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PORTFOLIO\"/>
    </mc:Choice>
  </mc:AlternateContent>
  <xr:revisionPtr revIDLastSave="0" documentId="8_{D932DE63-0E86-415D-B1F0-4894012C0B0D}" xr6:coauthVersionLast="47" xr6:coauthVersionMax="47" xr10:uidLastSave="{00000000-0000-0000-0000-000000000000}"/>
  <bookViews>
    <workbookView xWindow="-108" yWindow="-108" windowWidth="23256" windowHeight="12456" firstSheet="1" activeTab="2" xr2:uid="{55E84993-78FA-40E4-836D-31D105CF0CD4}"/>
  </bookViews>
  <sheets>
    <sheet name="Paid Claims " sheetId="8" r:id="rId1"/>
    <sheet name="Fire Domestic" sheetId="6" r:id="rId2"/>
    <sheet name="SUMMARY RESERVES" sheetId="9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'Paid Claims '!$B$2:$O$65</definedName>
    <definedName name="A">[1]bond!#REF!</definedName>
    <definedName name="class_conv">'[2]IRA GI Classes'!$C$3:$D$13</definedName>
    <definedName name="class_conv2">'[3]IRA GI Classes'!$F$3:$G$17</definedName>
    <definedName name="exp_pl">[4]Working!$E$8</definedName>
    <definedName name="inv_2010">'[5]Investment Income'!$C$3</definedName>
    <definedName name="inv_2011">'[5]Investment Income'!$C$4</definedName>
    <definedName name="inv_2012">'[5]Investment Income'!$C$5</definedName>
    <definedName name="inv_2013">'[5]Investment Income'!$C$6</definedName>
    <definedName name="inv_2014">'[5]Investment Income'!$C$7</definedName>
    <definedName name="inv_2015">'[5]Investment Income'!$C$8</definedName>
    <definedName name="inv_2016">'[5]Investment Income'!$C$9</definedName>
    <definedName name="inv_2017">'[5]Investment Income'!$C$10</definedName>
    <definedName name="inv_2018">'[5]Investment Income'!$C$11</definedName>
    <definedName name="inv_inc">[4]Working!$B$4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9" l="1"/>
  <c r="L4" i="9" s="1"/>
  <c r="P4" i="9"/>
  <c r="O4" i="9" s="1"/>
  <c r="M4" i="9"/>
  <c r="H4" i="9"/>
  <c r="G4" i="9"/>
  <c r="K78" i="6"/>
  <c r="B20" i="6"/>
  <c r="B19" i="6"/>
  <c r="H9" i="6"/>
  <c r="G10" i="6"/>
  <c r="G9" i="6"/>
  <c r="F11" i="6"/>
  <c r="F10" i="6"/>
  <c r="F9" i="6"/>
  <c r="E12" i="6"/>
  <c r="E11" i="6"/>
  <c r="E10" i="6"/>
  <c r="E9" i="6"/>
  <c r="D13" i="6"/>
  <c r="D12" i="6"/>
  <c r="D11" i="6"/>
  <c r="D10" i="6"/>
  <c r="D9" i="6"/>
  <c r="C14" i="6"/>
  <c r="C13" i="6"/>
  <c r="C12" i="6"/>
  <c r="C11" i="6"/>
  <c r="C10" i="6"/>
  <c r="C9" i="6"/>
  <c r="B15" i="6"/>
  <c r="B14" i="6"/>
  <c r="B13" i="6"/>
  <c r="B12" i="6"/>
  <c r="B11" i="6"/>
  <c r="B10" i="6"/>
  <c r="B9" i="6"/>
  <c r="Q13" i="8"/>
  <c r="W4" i="8"/>
  <c r="H7" i="8"/>
  <c r="W9" i="8"/>
  <c r="W10" i="8"/>
  <c r="W14" i="8"/>
  <c r="H19" i="8"/>
  <c r="W22" i="8"/>
  <c r="H31" i="8"/>
  <c r="W34" i="8"/>
  <c r="W37" i="8"/>
  <c r="W38" i="8"/>
  <c r="H40" i="8"/>
  <c r="W45" i="8"/>
  <c r="W46" i="8"/>
  <c r="W50" i="8"/>
  <c r="W52" i="8"/>
  <c r="W60" i="8"/>
  <c r="W62" i="8"/>
  <c r="W5" i="8"/>
  <c r="H9" i="8"/>
  <c r="W11" i="8"/>
  <c r="W15" i="8"/>
  <c r="W24" i="8"/>
  <c r="W25" i="8"/>
  <c r="W26" i="8"/>
  <c r="H27" i="8"/>
  <c r="W29" i="8"/>
  <c r="H35" i="8"/>
  <c r="W39" i="8"/>
  <c r="W41" i="8"/>
  <c r="H47" i="8"/>
  <c r="H48" i="8"/>
  <c r="W49" i="8"/>
  <c r="W51" i="8"/>
  <c r="W53" i="8"/>
  <c r="W58" i="8"/>
  <c r="W63" i="8"/>
  <c r="W65" i="8"/>
  <c r="W3" i="8"/>
  <c r="W12" i="8"/>
  <c r="H13" i="8"/>
  <c r="H20" i="8"/>
  <c r="W23" i="8"/>
  <c r="W33" i="8"/>
  <c r="W35" i="8"/>
  <c r="H36" i="8"/>
  <c r="H43" i="8"/>
  <c r="H54" i="8"/>
  <c r="H55" i="8"/>
  <c r="H56" i="8"/>
  <c r="W57" i="8"/>
  <c r="H59" i="8"/>
  <c r="W61" i="8"/>
  <c r="Q12" i="8"/>
  <c r="Q14" i="8"/>
  <c r="Q25" i="8"/>
  <c r="Q26" i="8"/>
  <c r="H32" i="8"/>
  <c r="Q37" i="8"/>
  <c r="Q38" i="8"/>
  <c r="Q49" i="8"/>
  <c r="Q50" i="8"/>
  <c r="Q61" i="8"/>
  <c r="Q62" i="8"/>
  <c r="Q4" i="8"/>
  <c r="Q6" i="8"/>
  <c r="Q8" i="8"/>
  <c r="Q10" i="8"/>
  <c r="Q16" i="8"/>
  <c r="Q17" i="8"/>
  <c r="Q18" i="8"/>
  <c r="Q21" i="8"/>
  <c r="Q22" i="8"/>
  <c r="Q28" i="8"/>
  <c r="Q29" i="8"/>
  <c r="H30" i="8"/>
  <c r="Q32" i="8"/>
  <c r="Q33" i="8"/>
  <c r="Q34" i="8"/>
  <c r="Q39" i="8"/>
  <c r="Q41" i="8"/>
  <c r="Q42" i="8"/>
  <c r="Q44" i="8"/>
  <c r="Q45" i="8"/>
  <c r="Q46" i="8"/>
  <c r="Q52" i="8"/>
  <c r="Q53" i="8"/>
  <c r="Q57" i="8"/>
  <c r="Q58" i="8"/>
  <c r="Q64" i="8"/>
  <c r="H65" i="8"/>
  <c r="Q3" i="8"/>
  <c r="R3" i="8"/>
  <c r="S3" i="8" s="1"/>
  <c r="R4" i="8"/>
  <c r="S4" i="8" s="1"/>
  <c r="R5" i="8"/>
  <c r="S5" i="8" s="1"/>
  <c r="R6" i="8"/>
  <c r="S6" i="8" s="1"/>
  <c r="W6" i="8"/>
  <c r="R7" i="8"/>
  <c r="S7" i="8" s="1"/>
  <c r="W7" i="8"/>
  <c r="R8" i="8"/>
  <c r="S8" i="8" s="1"/>
  <c r="W8" i="8"/>
  <c r="R9" i="8"/>
  <c r="S9" i="8" s="1"/>
  <c r="R10" i="8"/>
  <c r="S10" i="8" s="1"/>
  <c r="R11" i="8"/>
  <c r="S11" i="8" s="1"/>
  <c r="R12" i="8"/>
  <c r="S12" i="8" s="1"/>
  <c r="R13" i="8"/>
  <c r="S13" i="8" s="1"/>
  <c r="R14" i="8"/>
  <c r="S14" i="8" s="1"/>
  <c r="R15" i="8"/>
  <c r="S15" i="8" s="1"/>
  <c r="I3" i="8"/>
  <c r="M3" i="8" s="1"/>
  <c r="T3" i="8" s="1"/>
  <c r="L3" i="8"/>
  <c r="O3" i="8"/>
  <c r="R16" i="8"/>
  <c r="S16" i="8" s="1"/>
  <c r="W16" i="8"/>
  <c r="R17" i="8"/>
  <c r="S17" i="8" s="1"/>
  <c r="W17" i="8"/>
  <c r="R18" i="8"/>
  <c r="S18" i="8" s="1"/>
  <c r="W18" i="8"/>
  <c r="R19" i="8"/>
  <c r="S19" i="8" s="1"/>
  <c r="R20" i="8"/>
  <c r="S20" i="8" s="1"/>
  <c r="W20" i="8"/>
  <c r="R21" i="8"/>
  <c r="S21" i="8" s="1"/>
  <c r="W21" i="8"/>
  <c r="R22" i="8"/>
  <c r="S22" i="8" s="1"/>
  <c r="R23" i="8"/>
  <c r="S23" i="8" s="1"/>
  <c r="R24" i="8"/>
  <c r="S24" i="8" s="1"/>
  <c r="R25" i="8"/>
  <c r="S25" i="8" s="1"/>
  <c r="R26" i="8"/>
  <c r="S26" i="8" s="1"/>
  <c r="R27" i="8"/>
  <c r="S27" i="8" s="1"/>
  <c r="R28" i="8"/>
  <c r="S28" i="8" s="1"/>
  <c r="W28" i="8"/>
  <c r="R29" i="8"/>
  <c r="S29" i="8" s="1"/>
  <c r="Q30" i="8"/>
  <c r="R30" i="8"/>
  <c r="S30" i="8" s="1"/>
  <c r="W30" i="8"/>
  <c r="R31" i="8"/>
  <c r="S31" i="8" s="1"/>
  <c r="W31" i="8"/>
  <c r="R32" i="8"/>
  <c r="S32" i="8" s="1"/>
  <c r="W32" i="8"/>
  <c r="R33" i="8"/>
  <c r="S33" i="8" s="1"/>
  <c r="R34" i="8"/>
  <c r="S34" i="8" s="1"/>
  <c r="R35" i="8"/>
  <c r="S35" i="8" s="1"/>
  <c r="R36" i="8"/>
  <c r="S36" i="8" s="1"/>
  <c r="R37" i="8"/>
  <c r="S37" i="8" s="1"/>
  <c r="R38" i="8"/>
  <c r="S38" i="8" s="1"/>
  <c r="R39" i="8"/>
  <c r="S39" i="8" s="1"/>
  <c r="R40" i="8"/>
  <c r="S40" i="8" s="1"/>
  <c r="W40" i="8"/>
  <c r="R41" i="8"/>
  <c r="S41" i="8" s="1"/>
  <c r="R42" i="8"/>
  <c r="S42" i="8" s="1"/>
  <c r="W42" i="8"/>
  <c r="R43" i="8"/>
  <c r="S43" i="8" s="1"/>
  <c r="R44" i="8"/>
  <c r="S44" i="8" s="1"/>
  <c r="W44" i="8"/>
  <c r="R45" i="8"/>
  <c r="S45" i="8" s="1"/>
  <c r="R46" i="8"/>
  <c r="S46" i="8" s="1"/>
  <c r="R47" i="8"/>
  <c r="S47" i="8" s="1"/>
  <c r="R48" i="8"/>
  <c r="S48" i="8" s="1"/>
  <c r="R49" i="8"/>
  <c r="S49" i="8" s="1"/>
  <c r="R50" i="8"/>
  <c r="S50" i="8" s="1"/>
  <c r="R51" i="8"/>
  <c r="S51" i="8" s="1"/>
  <c r="R52" i="8"/>
  <c r="S52" i="8" s="1"/>
  <c r="R53" i="8"/>
  <c r="S53" i="8" s="1"/>
  <c r="R54" i="8"/>
  <c r="S54" i="8" s="1"/>
  <c r="W54" i="8"/>
  <c r="R55" i="8"/>
  <c r="S55" i="8" s="1"/>
  <c r="R56" i="8"/>
  <c r="S56" i="8" s="1"/>
  <c r="W56" i="8"/>
  <c r="R57" i="8"/>
  <c r="S57" i="8" s="1"/>
  <c r="R58" i="8"/>
  <c r="S58" i="8" s="1"/>
  <c r="R59" i="8"/>
  <c r="S59" i="8" s="1"/>
  <c r="R60" i="8"/>
  <c r="S60" i="8" s="1"/>
  <c r="R61" i="8"/>
  <c r="S61" i="8" s="1"/>
  <c r="R62" i="8"/>
  <c r="S62" i="8" s="1"/>
  <c r="R63" i="8"/>
  <c r="S63" i="8" s="1"/>
  <c r="R64" i="8"/>
  <c r="S64" i="8" s="1"/>
  <c r="W64" i="8"/>
  <c r="R65" i="8"/>
  <c r="S65" i="8" s="1"/>
  <c r="I4" i="8"/>
  <c r="O4" i="8"/>
  <c r="V4" i="8" s="1"/>
  <c r="I5" i="8"/>
  <c r="M5" i="8" s="1"/>
  <c r="O5" i="8"/>
  <c r="H6" i="8"/>
  <c r="I6" i="8"/>
  <c r="O6" i="8"/>
  <c r="I7" i="8"/>
  <c r="L7" i="8" s="1"/>
  <c r="O7" i="8"/>
  <c r="V7" i="8" s="1"/>
  <c r="I8" i="8"/>
  <c r="L8" i="8" s="1"/>
  <c r="O8" i="8"/>
  <c r="I9" i="8"/>
  <c r="O9" i="8"/>
  <c r="I10" i="8"/>
  <c r="O10" i="8"/>
  <c r="V10" i="8" s="1"/>
  <c r="I11" i="8"/>
  <c r="L11" i="8" s="1"/>
  <c r="O11" i="8"/>
  <c r="I12" i="8"/>
  <c r="O12" i="8"/>
  <c r="V12" i="8" s="1"/>
  <c r="I13" i="8"/>
  <c r="O13" i="8"/>
  <c r="I14" i="8"/>
  <c r="O14" i="8"/>
  <c r="I15" i="8"/>
  <c r="M15" i="8" s="1"/>
  <c r="O15" i="8"/>
  <c r="I16" i="8"/>
  <c r="O16" i="8"/>
  <c r="I17" i="8"/>
  <c r="M17" i="8" s="1"/>
  <c r="O17" i="8"/>
  <c r="I18" i="8"/>
  <c r="O18" i="8"/>
  <c r="I19" i="8"/>
  <c r="O19" i="8"/>
  <c r="I20" i="8"/>
  <c r="O20" i="8"/>
  <c r="I21" i="8"/>
  <c r="L21" i="8" s="1"/>
  <c r="M21" i="8"/>
  <c r="O21" i="8"/>
  <c r="I22" i="8"/>
  <c r="M22" i="8" s="1"/>
  <c r="O22" i="8"/>
  <c r="V22" i="8" s="1"/>
  <c r="I23" i="8"/>
  <c r="M23" i="8" s="1"/>
  <c r="O23" i="8"/>
  <c r="I24" i="8"/>
  <c r="O24" i="8"/>
  <c r="I25" i="8"/>
  <c r="O25" i="8"/>
  <c r="I26" i="8"/>
  <c r="O26" i="8"/>
  <c r="I27" i="8"/>
  <c r="L27" i="8" s="1"/>
  <c r="O27" i="8"/>
  <c r="I28" i="8"/>
  <c r="O28" i="8"/>
  <c r="I29" i="8"/>
  <c r="M29" i="8" s="1"/>
  <c r="O29" i="8"/>
  <c r="V29" i="8" s="1"/>
  <c r="I30" i="8"/>
  <c r="O30" i="8"/>
  <c r="I31" i="8"/>
  <c r="M31" i="8" s="1"/>
  <c r="O31" i="8"/>
  <c r="I32" i="8"/>
  <c r="L32" i="8" s="1"/>
  <c r="O32" i="8"/>
  <c r="I33" i="8"/>
  <c r="O33" i="8"/>
  <c r="I34" i="8"/>
  <c r="M34" i="8" s="1"/>
  <c r="O34" i="8"/>
  <c r="I35" i="8"/>
  <c r="M35" i="8" s="1"/>
  <c r="O35" i="8"/>
  <c r="I36" i="8"/>
  <c r="O36" i="8"/>
  <c r="I37" i="8"/>
  <c r="O37" i="8"/>
  <c r="I38" i="8"/>
  <c r="O38" i="8"/>
  <c r="I39" i="8"/>
  <c r="O39" i="8"/>
  <c r="I40" i="8"/>
  <c r="M40" i="8" s="1"/>
  <c r="L40" i="8"/>
  <c r="O40" i="8"/>
  <c r="I41" i="8"/>
  <c r="M41" i="8" s="1"/>
  <c r="O41" i="8"/>
  <c r="I42" i="8"/>
  <c r="O42" i="8"/>
  <c r="I43" i="8"/>
  <c r="L43" i="8" s="1"/>
  <c r="O43" i="8"/>
  <c r="I44" i="8"/>
  <c r="O44" i="8"/>
  <c r="I45" i="8"/>
  <c r="O45" i="8"/>
  <c r="I46" i="8"/>
  <c r="O46" i="8"/>
  <c r="I47" i="8"/>
  <c r="M47" i="8" s="1"/>
  <c r="O47" i="8"/>
  <c r="V47" i="8" s="1"/>
  <c r="I48" i="8"/>
  <c r="L48" i="8" s="1"/>
  <c r="O48" i="8"/>
  <c r="I49" i="8"/>
  <c r="M49" i="8" s="1"/>
  <c r="O49" i="8"/>
  <c r="I50" i="8"/>
  <c r="O50" i="8"/>
  <c r="I51" i="8"/>
  <c r="O51" i="8"/>
  <c r="I52" i="8"/>
  <c r="O52" i="8"/>
  <c r="I53" i="8"/>
  <c r="O53" i="8"/>
  <c r="V53" i="8" s="1"/>
  <c r="I54" i="8"/>
  <c r="L54" i="8" s="1"/>
  <c r="O54" i="8"/>
  <c r="I55" i="8"/>
  <c r="O55" i="8"/>
  <c r="I56" i="8"/>
  <c r="L56" i="8" s="1"/>
  <c r="O56" i="8"/>
  <c r="I57" i="8"/>
  <c r="L57" i="8" s="1"/>
  <c r="O57" i="8"/>
  <c r="I58" i="8"/>
  <c r="O58" i="8"/>
  <c r="I59" i="8"/>
  <c r="L59" i="8" s="1"/>
  <c r="O59" i="8"/>
  <c r="I60" i="8"/>
  <c r="L60" i="8" s="1"/>
  <c r="O60" i="8"/>
  <c r="I61" i="8"/>
  <c r="L61" i="8" s="1"/>
  <c r="O61" i="8"/>
  <c r="I62" i="8"/>
  <c r="M62" i="8" s="1"/>
  <c r="O62" i="8"/>
  <c r="I63" i="8"/>
  <c r="M63" i="8" s="1"/>
  <c r="L63" i="8"/>
  <c r="O63" i="8"/>
  <c r="I64" i="8"/>
  <c r="M64" i="8" s="1"/>
  <c r="O64" i="8"/>
  <c r="I65" i="8"/>
  <c r="O65" i="8"/>
  <c r="B4" i="6"/>
  <c r="C8" i="6"/>
  <c r="D8" i="6" s="1"/>
  <c r="E8" i="6" s="1"/>
  <c r="F8" i="6" s="1"/>
  <c r="G8" i="6" s="1"/>
  <c r="H8" i="6" s="1"/>
  <c r="A10" i="6"/>
  <c r="A11" i="6" s="1"/>
  <c r="A12" i="6" s="1"/>
  <c r="A13" i="6" s="1"/>
  <c r="A14" i="6" s="1"/>
  <c r="J16" i="6"/>
  <c r="C18" i="6"/>
  <c r="D18" i="6"/>
  <c r="E18" i="6"/>
  <c r="F18" i="6" s="1"/>
  <c r="G18" i="6" s="1"/>
  <c r="A19" i="6"/>
  <c r="A20" i="6"/>
  <c r="A21" i="6" s="1"/>
  <c r="A22" i="6" s="1"/>
  <c r="A23" i="6" s="1"/>
  <c r="A24" i="6" s="1"/>
  <c r="A25" i="6" s="1"/>
  <c r="C28" i="6"/>
  <c r="D28" i="6" s="1"/>
  <c r="E28" i="6" s="1"/>
  <c r="F28" i="6" s="1"/>
  <c r="G28" i="6" s="1"/>
  <c r="H28" i="6" s="1"/>
  <c r="A29" i="6"/>
  <c r="A30" i="6"/>
  <c r="A31" i="6" s="1"/>
  <c r="A32" i="6" s="1"/>
  <c r="A33" i="6" s="1"/>
  <c r="A34" i="6" s="1"/>
  <c r="A35" i="6" s="1"/>
  <c r="D43" i="6"/>
  <c r="E43" i="6"/>
  <c r="F43" i="6" s="1"/>
  <c r="G43" i="6" s="1"/>
  <c r="H43" i="6" s="1"/>
  <c r="I55" i="6"/>
  <c r="I56" i="6"/>
  <c r="I57" i="6" s="1"/>
  <c r="C62" i="6"/>
  <c r="D62" i="6"/>
  <c r="E62" i="6" s="1"/>
  <c r="F62" i="6" s="1"/>
  <c r="G62" i="6" s="1"/>
  <c r="H62" i="6" s="1"/>
  <c r="A63" i="6"/>
  <c r="A64" i="6"/>
  <c r="A65" i="6"/>
  <c r="A66" i="6" s="1"/>
  <c r="A67" i="6" s="1"/>
  <c r="A68" i="6" s="1"/>
  <c r="A69" i="6" s="1"/>
  <c r="D72" i="6"/>
  <c r="E72" i="6"/>
  <c r="F72" i="6" s="1"/>
  <c r="G72" i="6" s="1"/>
  <c r="H72" i="6" s="1"/>
  <c r="I72" i="6" s="1"/>
  <c r="B73" i="6"/>
  <c r="B74" i="6"/>
  <c r="B75" i="6" s="1"/>
  <c r="K77" i="6" l="1"/>
  <c r="K79" i="6"/>
  <c r="H5" i="8"/>
  <c r="W59" i="8"/>
  <c r="W43" i="8"/>
  <c r="W55" i="8"/>
  <c r="H60" i="8"/>
  <c r="H11" i="8"/>
  <c r="W47" i="8"/>
  <c r="W27" i="8"/>
  <c r="W19" i="8"/>
  <c r="H15" i="8"/>
  <c r="H24" i="8"/>
  <c r="H51" i="8"/>
  <c r="W48" i="8"/>
  <c r="W36" i="8"/>
  <c r="H23" i="8"/>
  <c r="W13" i="8"/>
  <c r="H63" i="8"/>
  <c r="H26" i="8"/>
  <c r="H14" i="8"/>
  <c r="H28" i="8"/>
  <c r="Q40" i="8"/>
  <c r="H22" i="8"/>
  <c r="H64" i="8"/>
  <c r="H53" i="8"/>
  <c r="Q20" i="8"/>
  <c r="H16" i="8"/>
  <c r="H41" i="8"/>
  <c r="Q9" i="8"/>
  <c r="H44" i="8"/>
  <c r="H8" i="8"/>
  <c r="H18" i="8"/>
  <c r="Q54" i="8"/>
  <c r="H45" i="8"/>
  <c r="H58" i="8"/>
  <c r="Q56" i="8"/>
  <c r="H4" i="8"/>
  <c r="H42" i="8"/>
  <c r="Q65" i="8"/>
  <c r="Q60" i="8"/>
  <c r="Q55" i="8"/>
  <c r="H52" i="8"/>
  <c r="H17" i="8"/>
  <c r="H29" i="8"/>
  <c r="Q36" i="8"/>
  <c r="Q31" i="8"/>
  <c r="H50" i="8"/>
  <c r="H21" i="8"/>
  <c r="Q5" i="8"/>
  <c r="H57" i="8"/>
  <c r="H38" i="8"/>
  <c r="H33" i="8"/>
  <c r="H10" i="8"/>
  <c r="Q7" i="8"/>
  <c r="H46" i="8"/>
  <c r="H62" i="8"/>
  <c r="H34" i="8"/>
  <c r="Q48" i="8"/>
  <c r="Q43" i="8"/>
  <c r="Q24" i="8"/>
  <c r="Q19" i="8"/>
  <c r="Q63" i="8"/>
  <c r="Q23" i="8"/>
  <c r="H61" i="8"/>
  <c r="Q51" i="8"/>
  <c r="H49" i="8"/>
  <c r="H37" i="8"/>
  <c r="H25" i="8"/>
  <c r="Q47" i="8"/>
  <c r="Q35" i="8"/>
  <c r="Q27" i="8"/>
  <c r="H12" i="8"/>
  <c r="Q15" i="8"/>
  <c r="H39" i="8"/>
  <c r="Q59" i="8"/>
  <c r="Q11" i="8"/>
  <c r="H3" i="8"/>
  <c r="L34" i="8"/>
  <c r="M54" i="8"/>
  <c r="N29" i="8"/>
  <c r="M7" i="8"/>
  <c r="N7" i="8" s="1"/>
  <c r="L64" i="8"/>
  <c r="L52" i="8"/>
  <c r="M52" i="8"/>
  <c r="L49" i="8"/>
  <c r="L15" i="8"/>
  <c r="T17" i="8"/>
  <c r="V26" i="8"/>
  <c r="M8" i="8"/>
  <c r="N8" i="8" s="1"/>
  <c r="L5" i="8"/>
  <c r="T5" i="8"/>
  <c r="V48" i="8"/>
  <c r="V14" i="8"/>
  <c r="V6" i="8"/>
  <c r="V56" i="8"/>
  <c r="L65" i="8"/>
  <c r="M65" i="8"/>
  <c r="N65" i="8" s="1"/>
  <c r="V55" i="8"/>
  <c r="V57" i="8"/>
  <c r="V52" i="8"/>
  <c r="V18" i="8"/>
  <c r="M46" i="8"/>
  <c r="L46" i="8"/>
  <c r="V59" i="8"/>
  <c r="L29" i="8"/>
  <c r="V32" i="8"/>
  <c r="M16" i="8"/>
  <c r="N16" i="8" s="1"/>
  <c r="L16" i="8"/>
  <c r="L37" i="8"/>
  <c r="M37" i="8"/>
  <c r="N37" i="8" s="1"/>
  <c r="L19" i="8"/>
  <c r="M19" i="8"/>
  <c r="T19" i="8" s="1"/>
  <c r="X19" i="8" s="1"/>
  <c r="V16" i="8"/>
  <c r="T63" i="8"/>
  <c r="V44" i="8"/>
  <c r="V11" i="8"/>
  <c r="V58" i="8"/>
  <c r="V35" i="8"/>
  <c r="V36" i="8"/>
  <c r="V42" i="8"/>
  <c r="V40" i="8"/>
  <c r="X40" i="8" s="1"/>
  <c r="V20" i="8"/>
  <c r="T49" i="8"/>
  <c r="V65" i="8"/>
  <c r="V54" i="8"/>
  <c r="V30" i="8"/>
  <c r="V43" i="8"/>
  <c r="V41" i="8"/>
  <c r="V19" i="8"/>
  <c r="T40" i="8"/>
  <c r="T23" i="8"/>
  <c r="V62" i="8"/>
  <c r="V50" i="8"/>
  <c r="V38" i="8"/>
  <c r="V31" i="8"/>
  <c r="V63" i="8"/>
  <c r="V51" i="8"/>
  <c r="V34" i="8"/>
  <c r="V61" i="8"/>
  <c r="L62" i="8"/>
  <c r="M60" i="8"/>
  <c r="N62" i="8"/>
  <c r="L38" i="8"/>
  <c r="M38" i="8"/>
  <c r="L24" i="8"/>
  <c r="M24" i="8"/>
  <c r="N24" i="8" s="1"/>
  <c r="N52" i="8"/>
  <c r="N47" i="8"/>
  <c r="N5" i="8"/>
  <c r="L50" i="8"/>
  <c r="M50" i="8"/>
  <c r="L51" i="8"/>
  <c r="M51" i="8"/>
  <c r="N3" i="8"/>
  <c r="M44" i="8"/>
  <c r="N44" i="8" s="1"/>
  <c r="L44" i="8"/>
  <c r="L33" i="8"/>
  <c r="M33" i="8"/>
  <c r="T33" i="8" s="1"/>
  <c r="L42" i="8"/>
  <c r="M42" i="8"/>
  <c r="N42" i="8" s="1"/>
  <c r="L36" i="8"/>
  <c r="M36" i="8"/>
  <c r="N36" i="8" s="1"/>
  <c r="N49" i="8"/>
  <c r="M45" i="8"/>
  <c r="T45" i="8" s="1"/>
  <c r="L45" i="8"/>
  <c r="L22" i="8"/>
  <c r="L17" i="8"/>
  <c r="N17" i="8"/>
  <c r="M20" i="8"/>
  <c r="T20" i="8" s="1"/>
  <c r="L20" i="8"/>
  <c r="M32" i="8"/>
  <c r="T32" i="8" s="1"/>
  <c r="X32" i="8" s="1"/>
  <c r="L23" i="8"/>
  <c r="L35" i="8"/>
  <c r="L31" i="8"/>
  <c r="V49" i="8"/>
  <c r="M26" i="8"/>
  <c r="L26" i="8"/>
  <c r="V60" i="8"/>
  <c r="M6" i="8"/>
  <c r="L6" i="8"/>
  <c r="V5" i="8"/>
  <c r="V28" i="8"/>
  <c r="T47" i="8"/>
  <c r="X47" i="8" s="1"/>
  <c r="V8" i="8"/>
  <c r="V23" i="8"/>
  <c r="M4" i="8"/>
  <c r="L4" i="8"/>
  <c r="V24" i="8"/>
  <c r="N63" i="8"/>
  <c r="N64" i="8"/>
  <c r="M61" i="8"/>
  <c r="L55" i="8"/>
  <c r="M55" i="8"/>
  <c r="T55" i="8" s="1"/>
  <c r="L58" i="8"/>
  <c r="M58" i="8"/>
  <c r="M57" i="8"/>
  <c r="M59" i="8"/>
  <c r="M56" i="8"/>
  <c r="N54" i="8"/>
  <c r="L53" i="8"/>
  <c r="M53" i="8"/>
  <c r="N40" i="8"/>
  <c r="L9" i="8"/>
  <c r="M9" i="8"/>
  <c r="N9" i="8" s="1"/>
  <c r="M18" i="8"/>
  <c r="N18" i="8" s="1"/>
  <c r="L18" i="8"/>
  <c r="N35" i="8"/>
  <c r="M43" i="8"/>
  <c r="L41" i="8"/>
  <c r="N41" i="8"/>
  <c r="V3" i="8"/>
  <c r="X3" i="8" s="1"/>
  <c r="M28" i="8"/>
  <c r="N28" i="8" s="1"/>
  <c r="L28" i="8"/>
  <c r="M25" i="8"/>
  <c r="T25" i="8" s="1"/>
  <c r="L25" i="8"/>
  <c r="N23" i="8"/>
  <c r="N31" i="8"/>
  <c r="V17" i="8"/>
  <c r="M48" i="8"/>
  <c r="T48" i="8" s="1"/>
  <c r="X48" i="8" s="1"/>
  <c r="L47" i="8"/>
  <c r="L30" i="8"/>
  <c r="M30" i="8"/>
  <c r="N30" i="8" s="1"/>
  <c r="M10" i="8"/>
  <c r="L10" i="8"/>
  <c r="N22" i="8"/>
  <c r="N34" i="8"/>
  <c r="M39" i="8"/>
  <c r="L39" i="8"/>
  <c r="M13" i="8"/>
  <c r="T13" i="8" s="1"/>
  <c r="L13" i="8"/>
  <c r="M12" i="8"/>
  <c r="L12" i="8"/>
  <c r="M27" i="8"/>
  <c r="L14" i="8"/>
  <c r="M14" i="8"/>
  <c r="N21" i="8"/>
  <c r="N15" i="8"/>
  <c r="M11" i="8"/>
  <c r="T29" i="8"/>
  <c r="X29" i="8" s="1"/>
  <c r="V64" i="8"/>
  <c r="V45" i="8"/>
  <c r="T31" i="8"/>
  <c r="V37" i="8"/>
  <c r="V33" i="8"/>
  <c r="V13" i="8"/>
  <c r="V46" i="8"/>
  <c r="V27" i="8"/>
  <c r="V9" i="8"/>
  <c r="V15" i="8"/>
  <c r="V25" i="8"/>
  <c r="V21" i="8"/>
  <c r="V39" i="8"/>
  <c r="T21" i="8"/>
  <c r="L1" i="8"/>
  <c r="I59" i="6"/>
  <c r="I63" i="6" s="1"/>
  <c r="J63" i="6" s="1"/>
  <c r="A15" i="6"/>
  <c r="I43" i="6"/>
  <c r="H18" i="6"/>
  <c r="B76" i="6"/>
  <c r="X55" i="8" l="1"/>
  <c r="X20" i="8"/>
  <c r="T65" i="8"/>
  <c r="X65" i="8" s="1"/>
  <c r="T42" i="8"/>
  <c r="X42" i="8" s="1"/>
  <c r="N19" i="8"/>
  <c r="X49" i="8"/>
  <c r="X63" i="8"/>
  <c r="X5" i="8"/>
  <c r="X31" i="8"/>
  <c r="X45" i="8"/>
  <c r="X17" i="8"/>
  <c r="T8" i="8"/>
  <c r="X8" i="8" s="1"/>
  <c r="T16" i="8"/>
  <c r="X16" i="8" s="1"/>
  <c r="X25" i="8"/>
  <c r="X23" i="8"/>
  <c r="X33" i="8"/>
  <c r="T61" i="8"/>
  <c r="X61" i="8" s="1"/>
  <c r="T43" i="8"/>
  <c r="X43" i="8" s="1"/>
  <c r="T44" i="8"/>
  <c r="X44" i="8" s="1"/>
  <c r="T46" i="8"/>
  <c r="X46" i="8" s="1"/>
  <c r="T18" i="8"/>
  <c r="X18" i="8" s="1"/>
  <c r="T9" i="8"/>
  <c r="X9" i="8" s="1"/>
  <c r="T28" i="8"/>
  <c r="X28" i="8" s="1"/>
  <c r="T34" i="8"/>
  <c r="X34" i="8" s="1"/>
  <c r="T11" i="8"/>
  <c r="X11" i="8" s="1"/>
  <c r="T50" i="8"/>
  <c r="X50" i="8" s="1"/>
  <c r="T57" i="8"/>
  <c r="X57" i="8" s="1"/>
  <c r="T6" i="8"/>
  <c r="X6" i="8" s="1"/>
  <c r="T53" i="8"/>
  <c r="X53" i="8" s="1"/>
  <c r="T36" i="8"/>
  <c r="X36" i="8" s="1"/>
  <c r="T37" i="8"/>
  <c r="X37" i="8" s="1"/>
  <c r="T4" i="8"/>
  <c r="X4" i="8" s="1"/>
  <c r="T12" i="8"/>
  <c r="X12" i="8" s="1"/>
  <c r="N4" i="8"/>
  <c r="T64" i="8"/>
  <c r="X64" i="8" s="1"/>
  <c r="T24" i="8"/>
  <c r="X24" i="8" s="1"/>
  <c r="T56" i="8"/>
  <c r="X56" i="8" s="1"/>
  <c r="T41" i="8"/>
  <c r="X41" i="8" s="1"/>
  <c r="N46" i="8"/>
  <c r="N6" i="8"/>
  <c r="T51" i="8"/>
  <c r="X51" i="8" s="1"/>
  <c r="T30" i="8"/>
  <c r="X30" i="8" s="1"/>
  <c r="T27" i="8"/>
  <c r="X27" i="8" s="1"/>
  <c r="T54" i="8"/>
  <c r="X54" i="8" s="1"/>
  <c r="T39" i="8"/>
  <c r="X39" i="8" s="1"/>
  <c r="T15" i="8"/>
  <c r="X15" i="8" s="1"/>
  <c r="T60" i="8"/>
  <c r="X60" i="8" s="1"/>
  <c r="N26" i="8"/>
  <c r="T59" i="8"/>
  <c r="X59" i="8" s="1"/>
  <c r="T52" i="8"/>
  <c r="X52" i="8" s="1"/>
  <c r="T35" i="8"/>
  <c r="X35" i="8" s="1"/>
  <c r="N33" i="8"/>
  <c r="N32" i="8"/>
  <c r="N38" i="8"/>
  <c r="N45" i="8"/>
  <c r="N50" i="8"/>
  <c r="N20" i="8"/>
  <c r="N51" i="8"/>
  <c r="N60" i="8"/>
  <c r="N56" i="8"/>
  <c r="N58" i="8"/>
  <c r="T38" i="8"/>
  <c r="X38" i="8" s="1"/>
  <c r="N39" i="8"/>
  <c r="N57" i="8"/>
  <c r="T62" i="8"/>
  <c r="X62" i="8" s="1"/>
  <c r="T58" i="8"/>
  <c r="X58" i="8" s="1"/>
  <c r="N12" i="8"/>
  <c r="T10" i="8"/>
  <c r="X10" i="8" s="1"/>
  <c r="T14" i="8"/>
  <c r="X14" i="8" s="1"/>
  <c r="N48" i="8"/>
  <c r="T7" i="8"/>
  <c r="X7" i="8" s="1"/>
  <c r="N11" i="8"/>
  <c r="N14" i="8"/>
  <c r="X13" i="8"/>
  <c r="T22" i="8"/>
  <c r="X22" i="8" s="1"/>
  <c r="N10" i="8"/>
  <c r="N53" i="8"/>
  <c r="N61" i="8"/>
  <c r="T26" i="8"/>
  <c r="X26" i="8" s="1"/>
  <c r="N27" i="8"/>
  <c r="N13" i="8"/>
  <c r="N59" i="8"/>
  <c r="N25" i="8"/>
  <c r="X21" i="8"/>
  <c r="N43" i="8"/>
  <c r="N55" i="8"/>
  <c r="B23" i="6"/>
  <c r="I47" i="6"/>
  <c r="I48" i="6"/>
  <c r="I45" i="6"/>
  <c r="B77" i="6"/>
  <c r="D23" i="6" l="1"/>
  <c r="F21" i="6"/>
  <c r="B24" i="6"/>
  <c r="B68" i="6" s="1"/>
  <c r="C23" i="6"/>
  <c r="C33" i="6" s="1"/>
  <c r="B25" i="6"/>
  <c r="B69" i="6" s="1"/>
  <c r="I15" i="6"/>
  <c r="I12" i="6"/>
  <c r="K12" i="6" s="1"/>
  <c r="D22" i="6"/>
  <c r="E22" i="6"/>
  <c r="B22" i="6"/>
  <c r="B66" i="6" s="1"/>
  <c r="C22" i="6"/>
  <c r="K75" i="6"/>
  <c r="B78" i="6"/>
  <c r="K76" i="6"/>
  <c r="B67" i="6"/>
  <c r="C21" i="6" l="1"/>
  <c r="C65" i="6" s="1"/>
  <c r="C67" i="6"/>
  <c r="C24" i="6"/>
  <c r="C68" i="6" s="1"/>
  <c r="I14" i="6"/>
  <c r="I13" i="6"/>
  <c r="K13" i="6" s="1"/>
  <c r="G20" i="6"/>
  <c r="G64" i="6" s="1"/>
  <c r="D20" i="6"/>
  <c r="E20" i="6"/>
  <c r="E64" i="6" s="1"/>
  <c r="F20" i="6"/>
  <c r="C20" i="6"/>
  <c r="C64" i="6" s="1"/>
  <c r="D21" i="6"/>
  <c r="B21" i="6"/>
  <c r="B65" i="6" s="1"/>
  <c r="I10" i="6"/>
  <c r="K10" i="6" s="1"/>
  <c r="B64" i="6"/>
  <c r="I11" i="6"/>
  <c r="K11" i="6" s="1"/>
  <c r="E21" i="6"/>
  <c r="D33" i="6"/>
  <c r="D41" i="6"/>
  <c r="D45" i="6"/>
  <c r="D67" i="6"/>
  <c r="B41" i="6"/>
  <c r="E32" i="6"/>
  <c r="E41" i="6"/>
  <c r="E66" i="6"/>
  <c r="D66" i="6"/>
  <c r="D32" i="6"/>
  <c r="E19" i="6"/>
  <c r="C19" i="6"/>
  <c r="D19" i="6"/>
  <c r="I9" i="6"/>
  <c r="K9" i="6" s="1"/>
  <c r="H19" i="6"/>
  <c r="F19" i="6"/>
  <c r="C32" i="6"/>
  <c r="C66" i="6"/>
  <c r="F41" i="6"/>
  <c r="F65" i="6"/>
  <c r="G19" i="6"/>
  <c r="B79" i="6"/>
  <c r="G41" i="6" l="1"/>
  <c r="D46" i="6"/>
  <c r="G30" i="6"/>
  <c r="D31" i="6"/>
  <c r="D51" i="6" s="1"/>
  <c r="F64" i="6"/>
  <c r="E45" i="6"/>
  <c r="C46" i="6"/>
  <c r="C41" i="6"/>
  <c r="C45" i="6"/>
  <c r="C34" i="6"/>
  <c r="C50" i="6" s="1"/>
  <c r="F31" i="6"/>
  <c r="C48" i="6"/>
  <c r="D65" i="6"/>
  <c r="C47" i="6"/>
  <c r="E46" i="6"/>
  <c r="C31" i="6"/>
  <c r="D47" i="6"/>
  <c r="F30" i="6"/>
  <c r="F45" i="6"/>
  <c r="E65" i="6"/>
  <c r="E31" i="6"/>
  <c r="E50" i="6" s="1"/>
  <c r="D30" i="6"/>
  <c r="D64" i="6"/>
  <c r="E30" i="6"/>
  <c r="E51" i="6" s="1"/>
  <c r="D50" i="6"/>
  <c r="C30" i="6"/>
  <c r="D29" i="6"/>
  <c r="D63" i="6"/>
  <c r="D40" i="6"/>
  <c r="D42" i="6" s="1"/>
  <c r="D48" i="6"/>
  <c r="G63" i="6"/>
  <c r="G46" i="6"/>
  <c r="G45" i="6"/>
  <c r="G40" i="6"/>
  <c r="G47" i="6"/>
  <c r="G48" i="6"/>
  <c r="E29" i="6"/>
  <c r="E63" i="6"/>
  <c r="E48" i="6"/>
  <c r="E47" i="6"/>
  <c r="E40" i="6"/>
  <c r="E42" i="6" s="1"/>
  <c r="G29" i="6"/>
  <c r="F46" i="6"/>
  <c r="F48" i="6"/>
  <c r="F47" i="6"/>
  <c r="F40" i="6"/>
  <c r="F42" i="6" s="1"/>
  <c r="F63" i="6"/>
  <c r="F29" i="6"/>
  <c r="C63" i="6"/>
  <c r="C29" i="6"/>
  <c r="C40" i="6"/>
  <c r="B63" i="6"/>
  <c r="B40" i="6"/>
  <c r="B42" i="6" s="1"/>
  <c r="H47" i="6"/>
  <c r="H41" i="6"/>
  <c r="H48" i="6"/>
  <c r="H45" i="6"/>
  <c r="H40" i="6"/>
  <c r="H63" i="6"/>
  <c r="H46" i="6"/>
  <c r="H29" i="6"/>
  <c r="I16" i="6"/>
  <c r="K74" i="6"/>
  <c r="K14" i="6"/>
  <c r="D81" i="6"/>
  <c r="E81" i="6" s="1"/>
  <c r="F81" i="6" s="1"/>
  <c r="G81" i="6" s="1"/>
  <c r="H81" i="6" s="1"/>
  <c r="I81" i="6" s="1"/>
  <c r="G42" i="6" l="1"/>
  <c r="H44" i="6" s="1"/>
  <c r="C51" i="6"/>
  <c r="G38" i="6"/>
  <c r="C42" i="6"/>
  <c r="D44" i="6" s="1"/>
  <c r="C52" i="6"/>
  <c r="D52" i="6"/>
  <c r="C53" i="6"/>
  <c r="F50" i="6"/>
  <c r="E44" i="6"/>
  <c r="G44" i="6"/>
  <c r="H42" i="6"/>
  <c r="G50" i="6"/>
  <c r="G52" i="6"/>
  <c r="G37" i="6"/>
  <c r="G49" i="6"/>
  <c r="G55" i="6" s="1"/>
  <c r="G51" i="6"/>
  <c r="G53" i="6"/>
  <c r="C44" i="6"/>
  <c r="F44" i="6"/>
  <c r="F38" i="6"/>
  <c r="F52" i="6"/>
  <c r="F37" i="6"/>
  <c r="F51" i="6"/>
  <c r="F49" i="6"/>
  <c r="F55" i="6" s="1"/>
  <c r="F53" i="6"/>
  <c r="C38" i="6"/>
  <c r="C37" i="6"/>
  <c r="C49" i="6"/>
  <c r="C55" i="6" s="1"/>
  <c r="H38" i="6"/>
  <c r="H52" i="6"/>
  <c r="H50" i="6"/>
  <c r="H51" i="6"/>
  <c r="H37" i="6"/>
  <c r="H49" i="6"/>
  <c r="H55" i="6" s="1"/>
  <c r="H56" i="6" s="1"/>
  <c r="H53" i="6"/>
  <c r="E37" i="6"/>
  <c r="E38" i="6"/>
  <c r="E52" i="6"/>
  <c r="E53" i="6"/>
  <c r="E49" i="6"/>
  <c r="E55" i="6" s="1"/>
  <c r="D49" i="6"/>
  <c r="D55" i="6" s="1"/>
  <c r="D37" i="6"/>
  <c r="D38" i="6"/>
  <c r="D53" i="6"/>
  <c r="K73" i="6"/>
  <c r="K15" i="6"/>
  <c r="C58" i="6" s="1"/>
  <c r="G54" i="6" l="1"/>
  <c r="H54" i="6"/>
  <c r="D54" i="6"/>
  <c r="D56" i="6"/>
  <c r="D57" i="6" s="1"/>
  <c r="E56" i="6"/>
  <c r="E59" i="6" s="1"/>
  <c r="I67" i="6" s="1"/>
  <c r="J67" i="6" s="1"/>
  <c r="G56" i="6"/>
  <c r="G59" i="6" s="1"/>
  <c r="I65" i="6" s="1"/>
  <c r="J65" i="6" s="1"/>
  <c r="G65" i="6" s="1"/>
  <c r="H75" i="6" s="1"/>
  <c r="E54" i="6"/>
  <c r="C54" i="6"/>
  <c r="C69" i="6"/>
  <c r="D79" i="6" s="1"/>
  <c r="C56" i="6"/>
  <c r="F56" i="6"/>
  <c r="H57" i="6"/>
  <c r="H59" i="6"/>
  <c r="I64" i="6" s="1"/>
  <c r="J64" i="6" s="1"/>
  <c r="H64" i="6" s="1"/>
  <c r="I74" i="6" s="1"/>
  <c r="D82" i="6" s="1"/>
  <c r="F54" i="6"/>
  <c r="K63" i="6"/>
  <c r="K64" i="6" l="1"/>
  <c r="G57" i="6"/>
  <c r="E57" i="6"/>
  <c r="D59" i="6"/>
  <c r="I68" i="6" s="1"/>
  <c r="D69" i="6"/>
  <c r="E69" i="6" s="1"/>
  <c r="F79" i="6" s="1"/>
  <c r="F57" i="6"/>
  <c r="F59" i="6"/>
  <c r="I66" i="6" s="1"/>
  <c r="E67" i="6"/>
  <c r="F77" i="6" s="1"/>
  <c r="C59" i="6"/>
  <c r="I69" i="6" s="1"/>
  <c r="K69" i="6" s="1"/>
  <c r="C57" i="6"/>
  <c r="K65" i="6"/>
  <c r="K67" i="6"/>
  <c r="H65" i="6"/>
  <c r="I75" i="6" s="1"/>
  <c r="E82" i="6" s="1"/>
  <c r="E83" i="6" s="1"/>
  <c r="D83" i="6"/>
  <c r="J82" i="6"/>
  <c r="E79" i="6" l="1"/>
  <c r="F69" i="6"/>
  <c r="G79" i="6" s="1"/>
  <c r="J68" i="6"/>
  <c r="D68" i="6" s="1"/>
  <c r="E78" i="6" s="1"/>
  <c r="K68" i="6"/>
  <c r="J83" i="6"/>
  <c r="F67" i="6"/>
  <c r="J66" i="6"/>
  <c r="K66" i="6"/>
  <c r="G69" i="6" l="1"/>
  <c r="H69" i="6" s="1"/>
  <c r="I79" i="6" s="1"/>
  <c r="E68" i="6"/>
  <c r="F78" i="6" s="1"/>
  <c r="F66" i="6"/>
  <c r="G76" i="6" s="1"/>
  <c r="G77" i="6"/>
  <c r="G67" i="6"/>
  <c r="H79" i="6" l="1"/>
  <c r="I82" i="6" s="1"/>
  <c r="I83" i="6" s="1"/>
  <c r="F68" i="6"/>
  <c r="G78" i="6" s="1"/>
  <c r="H77" i="6"/>
  <c r="H67" i="6"/>
  <c r="I77" i="6" s="1"/>
  <c r="G66" i="6"/>
  <c r="G68" i="6" l="1"/>
  <c r="H78" i="6" s="1"/>
  <c r="J87" i="6"/>
  <c r="G82" i="6"/>
  <c r="G83" i="6" s="1"/>
  <c r="H76" i="6"/>
  <c r="H66" i="6"/>
  <c r="I76" i="6" s="1"/>
  <c r="H68" i="6" l="1"/>
  <c r="I78" i="6" s="1"/>
  <c r="H82" i="6" s="1"/>
  <c r="J85" i="6"/>
  <c r="F82" i="6"/>
  <c r="F83" i="6" l="1"/>
  <c r="J84" i="6"/>
  <c r="D85" i="6"/>
  <c r="H83" i="6"/>
  <c r="J86" i="6"/>
  <c r="D86" i="6" l="1"/>
  <c r="D87" i="6" s="1"/>
  <c r="H1" i="8" l="1"/>
</calcChain>
</file>

<file path=xl/sharedStrings.xml><?xml version="1.0" encoding="utf-8"?>
<sst xmlns="http://schemas.openxmlformats.org/spreadsheetml/2006/main" count="211" uniqueCount="140">
  <si>
    <t>Fire Domestic</t>
  </si>
  <si>
    <t>Revised_Class</t>
  </si>
  <si>
    <t xml:space="preserve">Projected discounted cashflows using incremental triangles </t>
  </si>
  <si>
    <t>BCL</t>
  </si>
  <si>
    <t>Selected Methodology</t>
  </si>
  <si>
    <t>V</t>
  </si>
  <si>
    <t>Interest Rate</t>
  </si>
  <si>
    <t>Dev_Year</t>
  </si>
  <si>
    <t>Claim_Amount</t>
  </si>
  <si>
    <t>Payment_Year</t>
  </si>
  <si>
    <t>Notification Year</t>
  </si>
  <si>
    <t>Loss Year</t>
  </si>
  <si>
    <t>Class</t>
  </si>
  <si>
    <t>Claim_No</t>
  </si>
  <si>
    <t>Delay</t>
  </si>
  <si>
    <t>Date Reasonability Check</t>
  </si>
  <si>
    <t>Payment_Date_Check</t>
  </si>
  <si>
    <t>Date_Notified_Check</t>
  </si>
  <si>
    <t>Loss_Date_Check</t>
  </si>
  <si>
    <t>Missing Data</t>
  </si>
  <si>
    <t>Payment Year</t>
  </si>
  <si>
    <t xml:space="preserve">Date Notified </t>
  </si>
  <si>
    <t>Loss_Date</t>
  </si>
  <si>
    <t>Claim_Number</t>
  </si>
  <si>
    <t>Good Data</t>
  </si>
  <si>
    <t>Note: Cashflows highlighted in yellow are those expected to fall due in the next year - 2025 while those on green are expected to fall due a year later - 2026.</t>
  </si>
  <si>
    <t>Assuming claim payments occur mid-year</t>
  </si>
  <si>
    <t>Impact</t>
  </si>
  <si>
    <t>Discounted</t>
  </si>
  <si>
    <t>Undiscounted</t>
  </si>
  <si>
    <t>Discounted cashflow</t>
  </si>
  <si>
    <t>Undiscounted cashflow</t>
  </si>
  <si>
    <t>Cashflow year</t>
  </si>
  <si>
    <t>OS Claim</t>
  </si>
  <si>
    <t>Ultimate Loss (BF Methodology)</t>
  </si>
  <si>
    <t>% Development</t>
  </si>
  <si>
    <t>Dev %</t>
  </si>
  <si>
    <t>Ultimate Loss Ratio</t>
  </si>
  <si>
    <t>1-1/f</t>
  </si>
  <si>
    <t>Cumulative Development Factor</t>
  </si>
  <si>
    <t>Selected Development Factor</t>
  </si>
  <si>
    <t>average high  low</t>
  </si>
  <si>
    <t>5 year simple average</t>
  </si>
  <si>
    <t>4 year simple average</t>
  </si>
  <si>
    <t>3 year simple average</t>
  </si>
  <si>
    <t>2 year simple average</t>
  </si>
  <si>
    <t>All year simple average</t>
  </si>
  <si>
    <t>5 year period weighted average</t>
  </si>
  <si>
    <t>4 year period weighted average</t>
  </si>
  <si>
    <t>3 year period weighted average</t>
  </si>
  <si>
    <t>2 year period weighted average</t>
  </si>
  <si>
    <t>All year volume weighted average (crude)</t>
  </si>
  <si>
    <t>Total-Last Value</t>
  </si>
  <si>
    <t>Last Column Entry</t>
  </si>
  <si>
    <t>Totals Per Column</t>
  </si>
  <si>
    <t>Minimum DF</t>
  </si>
  <si>
    <t>Maximum DF</t>
  </si>
  <si>
    <t>Individual Cumulative Development Factors</t>
  </si>
  <si>
    <t>Cumulative Triangle</t>
  </si>
  <si>
    <t>Gross Earned Premiums</t>
  </si>
  <si>
    <t>Total claims paid</t>
  </si>
  <si>
    <t>Incremental Triangle</t>
  </si>
  <si>
    <t>Undiscounted incremental triangle</t>
  </si>
  <si>
    <t>Class of Business</t>
  </si>
  <si>
    <t>C6987</t>
  </si>
  <si>
    <t>C7210</t>
  </si>
  <si>
    <t>C3467</t>
  </si>
  <si>
    <t>C5979</t>
  </si>
  <si>
    <t>C7826</t>
  </si>
  <si>
    <t>C4283</t>
  </si>
  <si>
    <t>C8271</t>
  </si>
  <si>
    <t>C2142</t>
  </si>
  <si>
    <t>C4243</t>
  </si>
  <si>
    <t>C7428</t>
  </si>
  <si>
    <t>C2357</t>
  </si>
  <si>
    <t>C8580</t>
  </si>
  <si>
    <t>C7691</t>
  </si>
  <si>
    <t>C4521</t>
  </si>
  <si>
    <t>C4993</t>
  </si>
  <si>
    <t>C5451</t>
  </si>
  <si>
    <t>C5971</t>
  </si>
  <si>
    <t>C1146</t>
  </si>
  <si>
    <t>C2548</t>
  </si>
  <si>
    <t>C7706</t>
  </si>
  <si>
    <t>C2441</t>
  </si>
  <si>
    <t>C9750</t>
  </si>
  <si>
    <t>C7624</t>
  </si>
  <si>
    <t>C2389</t>
  </si>
  <si>
    <t>C6065</t>
  </si>
  <si>
    <t>C7987</t>
  </si>
  <si>
    <t>C2742</t>
  </si>
  <si>
    <t>C6991</t>
  </si>
  <si>
    <t>C5923</t>
  </si>
  <si>
    <t>C5334</t>
  </si>
  <si>
    <t>C6983</t>
  </si>
  <si>
    <t>C7299</t>
  </si>
  <si>
    <t>C7365</t>
  </si>
  <si>
    <t>C3848</t>
  </si>
  <si>
    <t>C3261</t>
  </si>
  <si>
    <t>C4563</t>
  </si>
  <si>
    <t>C2667</t>
  </si>
  <si>
    <t>C3711</t>
  </si>
  <si>
    <t>C4073</t>
  </si>
  <si>
    <t>C9162</t>
  </si>
  <si>
    <t>C4996</t>
  </si>
  <si>
    <t>C6183</t>
  </si>
  <si>
    <t>C9753</t>
  </si>
  <si>
    <t>C1295</t>
  </si>
  <si>
    <t>C7132</t>
  </si>
  <si>
    <t>C4233</t>
  </si>
  <si>
    <t>C6286</t>
  </si>
  <si>
    <t>C3337</t>
  </si>
  <si>
    <t>C2611</t>
  </si>
  <si>
    <t>C2159</t>
  </si>
  <si>
    <t>C3712</t>
  </si>
  <si>
    <t>C3895</t>
  </si>
  <si>
    <t>C2442</t>
  </si>
  <si>
    <t>C7439</t>
  </si>
  <si>
    <t>C3188</t>
  </si>
  <si>
    <t>C8892</t>
  </si>
  <si>
    <t>C8284</t>
  </si>
  <si>
    <t>C7228</t>
  </si>
  <si>
    <t>C8324</t>
  </si>
  <si>
    <t>C9406</t>
  </si>
  <si>
    <t>C8181</t>
  </si>
  <si>
    <t>C8613</t>
  </si>
  <si>
    <t>C4761</t>
  </si>
  <si>
    <t>Gross IBNR Triangulation</t>
  </si>
  <si>
    <t>IBNR (Quarterly Model)</t>
  </si>
  <si>
    <t>OS Claims</t>
  </si>
  <si>
    <t>Retention Ratios</t>
  </si>
  <si>
    <t>Net IBNR</t>
  </si>
  <si>
    <t>ULR</t>
  </si>
  <si>
    <t xml:space="preserve">Q3 2024 </t>
  </si>
  <si>
    <t>Diff (Annual Triangulation)</t>
  </si>
  <si>
    <t>Diff (%)</t>
  </si>
  <si>
    <t>Diff (Quarterly Triangulation)</t>
  </si>
  <si>
    <t>Q4 2023</t>
  </si>
  <si>
    <t>Diff (Selected)</t>
  </si>
  <si>
    <t>Selected IBNR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</si>
</sst>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00;\-00"/>
    <numFmt numFmtId="165" formatCode="_-* #,##0_-;\-* #,##0_-;_-* &quot;-&quot;??_-;_-@_-"/>
    <numFmt numFmtId="166" formatCode="_-* #,##0.0000_-;\-* #,##0.0000_-;_-* &quot;-&quot;??_-;_-@_-"/>
    <numFmt numFmtId="167" formatCode="0.00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77">
    <xf numFmtId="0" fontId="0" fillId="0" borderId="0" xfId="0"/>
    <xf numFmtId="9" fontId="0" fillId="0" borderId="0" xfId="0" applyNumberFormat="1"/>
    <xf numFmtId="165" fontId="3" fillId="0" borderId="0" xfId="2" applyNumberFormat="1" applyFont="1"/>
    <xf numFmtId="165" fontId="0" fillId="0" borderId="0" xfId="2" applyNumberFormat="1" applyFont="1"/>
    <xf numFmtId="0" fontId="5" fillId="0" borderId="0" xfId="4" applyFont="1"/>
    <xf numFmtId="1" fontId="5" fillId="0" borderId="0" xfId="4" applyNumberFormat="1" applyFont="1"/>
    <xf numFmtId="0" fontId="5" fillId="5" borderId="0" xfId="4" applyFont="1" applyFill="1"/>
    <xf numFmtId="165" fontId="5" fillId="0" borderId="0" xfId="2" applyNumberFormat="1" applyFont="1"/>
    <xf numFmtId="4" fontId="5" fillId="0" borderId="0" xfId="4" applyNumberFormat="1" applyFont="1"/>
    <xf numFmtId="14" fontId="5" fillId="0" borderId="0" xfId="4" applyNumberFormat="1" applyFont="1"/>
    <xf numFmtId="164" fontId="5" fillId="0" borderId="0" xfId="4" applyNumberFormat="1" applyFont="1"/>
    <xf numFmtId="14" fontId="0" fillId="0" borderId="0" xfId="0" applyNumberFormat="1"/>
    <xf numFmtId="0" fontId="6" fillId="0" borderId="0" xfId="4" applyFont="1"/>
    <xf numFmtId="165" fontId="6" fillId="4" borderId="0" xfId="2" applyNumberFormat="1" applyFont="1" applyFill="1"/>
    <xf numFmtId="1" fontId="6" fillId="4" borderId="0" xfId="4" applyNumberFormat="1" applyFont="1" applyFill="1"/>
    <xf numFmtId="0" fontId="6" fillId="4" borderId="0" xfId="4" applyFont="1" applyFill="1"/>
    <xf numFmtId="0" fontId="6" fillId="5" borderId="0" xfId="4" applyFont="1" applyFill="1"/>
    <xf numFmtId="0" fontId="5" fillId="2" borderId="0" xfId="4" applyFont="1" applyFill="1"/>
    <xf numFmtId="0" fontId="3" fillId="0" borderId="0" xfId="0" applyFont="1"/>
    <xf numFmtId="0" fontId="7" fillId="0" borderId="0" xfId="0" applyFont="1"/>
    <xf numFmtId="43" fontId="3" fillId="0" borderId="0" xfId="2" applyFont="1"/>
    <xf numFmtId="165" fontId="3" fillId="0" borderId="0" xfId="0" applyNumberFormat="1" applyFont="1"/>
    <xf numFmtId="165" fontId="3" fillId="6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/>
    </xf>
    <xf numFmtId="165" fontId="8" fillId="7" borderId="1" xfId="2" applyNumberFormat="1" applyFont="1" applyFill="1" applyBorder="1"/>
    <xf numFmtId="165" fontId="8" fillId="3" borderId="1" xfId="2" applyNumberFormat="1" applyFont="1" applyFill="1" applyBorder="1"/>
    <xf numFmtId="165" fontId="8" fillId="2" borderId="1" xfId="2" applyNumberFormat="1" applyFont="1" applyFill="1" applyBorder="1"/>
    <xf numFmtId="4" fontId="3" fillId="0" borderId="1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9" fillId="4" borderId="4" xfId="0" applyFont="1" applyFill="1" applyBorder="1"/>
    <xf numFmtId="0" fontId="9" fillId="4" borderId="5" xfId="0" applyFont="1" applyFill="1" applyBorder="1"/>
    <xf numFmtId="0" fontId="3" fillId="0" borderId="0" xfId="0" applyFont="1" applyAlignment="1">
      <alignment wrapText="1"/>
    </xf>
    <xf numFmtId="43" fontId="3" fillId="0" borderId="0" xfId="0" applyNumberFormat="1" applyFont="1"/>
    <xf numFmtId="43" fontId="3" fillId="0" borderId="6" xfId="2" applyFont="1" applyFill="1" applyBorder="1"/>
    <xf numFmtId="10" fontId="3" fillId="0" borderId="0" xfId="0" applyNumberFormat="1" applyFont="1"/>
    <xf numFmtId="165" fontId="8" fillId="7" borderId="7" xfId="2" applyNumberFormat="1" applyFont="1" applyFill="1" applyBorder="1"/>
    <xf numFmtId="43" fontId="3" fillId="0" borderId="1" xfId="2" applyFont="1" applyBorder="1"/>
    <xf numFmtId="0" fontId="2" fillId="0" borderId="0" xfId="0" applyFont="1" applyAlignment="1">
      <alignment wrapText="1"/>
    </xf>
    <xf numFmtId="10" fontId="2" fillId="0" borderId="0" xfId="0" applyNumberFormat="1" applyFont="1"/>
    <xf numFmtId="0" fontId="3" fillId="0" borderId="1" xfId="0" applyFont="1" applyBorder="1"/>
    <xf numFmtId="9" fontId="2" fillId="2" borderId="1" xfId="3" applyFont="1" applyFill="1" applyBorder="1"/>
    <xf numFmtId="0" fontId="2" fillId="0" borderId="1" xfId="0" applyFont="1" applyBorder="1"/>
    <xf numFmtId="166" fontId="2" fillId="0" borderId="1" xfId="2" applyNumberFormat="1" applyFont="1" applyFill="1" applyBorder="1"/>
    <xf numFmtId="4" fontId="2" fillId="0" borderId="1" xfId="0" applyNumberFormat="1" applyFont="1" applyBorder="1" applyAlignment="1">
      <alignment wrapText="1"/>
    </xf>
    <xf numFmtId="166" fontId="2" fillId="0" borderId="0" xfId="2" applyNumberFormat="1" applyFont="1" applyFill="1" applyBorder="1"/>
    <xf numFmtId="4" fontId="2" fillId="0" borderId="0" xfId="0" applyNumberFormat="1" applyFont="1" applyAlignment="1">
      <alignment wrapText="1"/>
    </xf>
    <xf numFmtId="167" fontId="3" fillId="0" borderId="1" xfId="0" applyNumberFormat="1" applyFont="1" applyBorder="1"/>
    <xf numFmtId="166" fontId="3" fillId="0" borderId="1" xfId="2" applyNumberFormat="1" applyFont="1" applyFill="1" applyBorder="1"/>
    <xf numFmtId="4" fontId="3" fillId="0" borderId="1" xfId="0" applyNumberFormat="1" applyFont="1" applyBorder="1" applyAlignment="1">
      <alignment wrapText="1"/>
    </xf>
    <xf numFmtId="166" fontId="3" fillId="0" borderId="1" xfId="2" applyNumberFormat="1" applyFont="1" applyFill="1" applyBorder="1" applyAlignment="1">
      <alignment vertical="center"/>
    </xf>
    <xf numFmtId="167" fontId="3" fillId="0" borderId="1" xfId="0" applyNumberFormat="1" applyFont="1" applyBorder="1" applyAlignment="1">
      <alignment vertical="center"/>
    </xf>
    <xf numFmtId="166" fontId="3" fillId="0" borderId="1" xfId="2" applyNumberFormat="1" applyFont="1" applyBorder="1" applyAlignment="1">
      <alignment vertical="center"/>
    </xf>
    <xf numFmtId="0" fontId="3" fillId="7" borderId="0" xfId="2" applyNumberFormat="1" applyFont="1" applyFill="1" applyBorder="1"/>
    <xf numFmtId="4" fontId="3" fillId="0" borderId="1" xfId="0" applyNumberFormat="1" applyFont="1" applyBorder="1" applyAlignment="1">
      <alignment horizontal="right"/>
    </xf>
    <xf numFmtId="43" fontId="3" fillId="0" borderId="1" xfId="2" applyFont="1" applyBorder="1" applyAlignment="1">
      <alignment horizontal="right"/>
    </xf>
    <xf numFmtId="165" fontId="3" fillId="0" borderId="0" xfId="2" applyNumberFormat="1" applyFont="1" applyFill="1" applyBorder="1"/>
    <xf numFmtId="4" fontId="3" fillId="0" borderId="0" xfId="0" applyNumberFormat="1" applyFont="1"/>
    <xf numFmtId="165" fontId="3" fillId="7" borderId="7" xfId="2" applyNumberFormat="1" applyFont="1" applyFill="1" applyBorder="1"/>
    <xf numFmtId="166" fontId="3" fillId="7" borderId="1" xfId="2" applyNumberFormat="1" applyFont="1" applyFill="1" applyBorder="1"/>
    <xf numFmtId="166" fontId="3" fillId="0" borderId="1" xfId="2" applyNumberFormat="1" applyFont="1" applyBorder="1"/>
    <xf numFmtId="165" fontId="3" fillId="7" borderId="1" xfId="2" applyNumberFormat="1" applyFont="1" applyFill="1" applyBorder="1"/>
    <xf numFmtId="4" fontId="2" fillId="0" borderId="0" xfId="0" applyNumberFormat="1" applyFont="1"/>
    <xf numFmtId="9" fontId="3" fillId="0" borderId="0" xfId="3" applyFont="1"/>
    <xf numFmtId="43" fontId="3" fillId="2" borderId="0" xfId="2" applyFont="1" applyFill="1"/>
    <xf numFmtId="165" fontId="3" fillId="7" borderId="7" xfId="1" applyNumberFormat="1" applyFont="1" applyFill="1" applyBorder="1"/>
    <xf numFmtId="165" fontId="3" fillId="0" borderId="1" xfId="2" applyNumberFormat="1" applyFont="1" applyBorder="1"/>
    <xf numFmtId="165" fontId="3" fillId="7" borderId="1" xfId="1" applyNumberFormat="1" applyFont="1" applyFill="1" applyBorder="1"/>
    <xf numFmtId="9" fontId="2" fillId="0" borderId="1" xfId="0" applyNumberFormat="1" applyFont="1" applyBorder="1"/>
    <xf numFmtId="0" fontId="3" fillId="2" borderId="0" xfId="0" applyFont="1" applyFill="1"/>
    <xf numFmtId="0" fontId="5" fillId="0" borderId="0" xfId="4" applyFont="1" applyBorder="1" applyAlignment="1">
      <alignment horizontal="left"/>
    </xf>
    <xf numFmtId="14" fontId="5" fillId="0" borderId="0" xfId="4" applyNumberFormat="1" applyFont="1" applyBorder="1" applyAlignment="1">
      <alignment horizontal="left"/>
    </xf>
    <xf numFmtId="0" fontId="2" fillId="0" borderId="8" xfId="0" applyFont="1" applyBorder="1"/>
    <xf numFmtId="0" fontId="0" fillId="0" borderId="0" xfId="0" applyAlignment="1">
      <alignment horizontal="left"/>
    </xf>
    <xf numFmtId="165" fontId="3" fillId="0" borderId="0" xfId="2" applyNumberFormat="1" applyFont="1" applyFill="1"/>
    <xf numFmtId="38" fontId="3" fillId="0" borderId="0" xfId="0" applyNumberFormat="1" applyFont="1"/>
  </cellXfs>
  <cellStyles count="5">
    <cellStyle name="Comma" xfId="2" builtinId="3"/>
    <cellStyle name="Comma 2" xfId="1" xr:uid="{3995ED4C-33F3-4B19-993D-6D9FEB385BB2}"/>
    <cellStyle name="Normal" xfId="0" builtinId="0"/>
    <cellStyle name="Normal 2" xfId="4" xr:uid="{4C2105F4-B56B-4C75-A035-924587A7F346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miniacoke-my.sharepoint.com/Users/Maureen/AppData/Local/Temp/claims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miniacoke-my.sharepoint.com/JN/Geminia/Data/General/Written%20Premiums/Written%20Premiums%20-%202010%20-%20Jan-De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miniacoke-my.sharepoint.com/JN/Geminia/Actuarial%20Valuation/2018/Quarterly/General/Q3/Calculations/Claims%20Outstanding%20-%20Sep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miniacoke-my.sharepoint.com/JN/Geminia/Actuarial%20Valuation/2019/Annual/General/Data/Financials/Revenue%20and%20Balance%20Sheet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miniacoke-my.sharepoint.com/JN/Geminia/Board%20Reporting/2019/08-August/30.08.2019/Balance%20Sheet%20and%20Revenue%20Account%20-%20G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early summary"/>
      <sheetName val="mpool"/>
      <sheetName val="t-paid-mot"/>
      <sheetName val="t-mot-os"/>
      <sheetName val="treaty summary"/>
      <sheetName val="wca"/>
      <sheetName val="pl"/>
      <sheetName val="pi"/>
      <sheetName val="pc"/>
      <sheetName val="pa"/>
      <sheetName val="mon"/>
      <sheetName val="misc"/>
      <sheetName val="mar"/>
      <sheetName val="git"/>
      <sheetName val="fire"/>
      <sheetName val="fg"/>
      <sheetName val="eng"/>
      <sheetName val="dp"/>
      <sheetName val="cv"/>
      <sheetName val="car"/>
      <sheetName val="bur"/>
      <sheetName val="bond"/>
      <sheetName val="net"/>
      <sheetName val="ibnr"/>
      <sheetName val="HMO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"/>
      <sheetName val="Manipulated"/>
      <sheetName val="IRA GI Classes"/>
      <sheetName val="Cleaned Data"/>
      <sheetName val="Summary"/>
    </sheetNames>
    <sheetDataSet>
      <sheetData sheetId="0" refreshError="1"/>
      <sheetData sheetId="1" refreshError="1"/>
      <sheetData sheetId="2">
        <row r="3">
          <cell r="C3">
            <v>2</v>
          </cell>
          <cell r="D3" t="str">
            <v>Engineering</v>
          </cell>
        </row>
        <row r="4">
          <cell r="C4">
            <v>3</v>
          </cell>
          <cell r="D4" t="str">
            <v>Fire domestic</v>
          </cell>
        </row>
        <row r="5">
          <cell r="C5">
            <v>4</v>
          </cell>
          <cell r="D5" t="str">
            <v>Fire Industrial</v>
          </cell>
        </row>
        <row r="6">
          <cell r="C6">
            <v>5</v>
          </cell>
          <cell r="D6" t="str">
            <v>Liability</v>
          </cell>
        </row>
        <row r="7">
          <cell r="C7">
            <v>6</v>
          </cell>
          <cell r="D7" t="str">
            <v>Marine</v>
          </cell>
        </row>
        <row r="8">
          <cell r="C8">
            <v>7</v>
          </cell>
          <cell r="D8" t="str">
            <v>Motor Private</v>
          </cell>
        </row>
        <row r="9">
          <cell r="C9">
            <v>8</v>
          </cell>
          <cell r="D9" t="str">
            <v>Motor Commercial</v>
          </cell>
        </row>
        <row r="10">
          <cell r="C10">
            <v>9</v>
          </cell>
          <cell r="D10" t="str">
            <v>Personal Accident</v>
          </cell>
        </row>
        <row r="11">
          <cell r="C11">
            <v>10</v>
          </cell>
          <cell r="D11" t="str">
            <v>Theft</v>
          </cell>
        </row>
        <row r="12">
          <cell r="C12">
            <v>11</v>
          </cell>
          <cell r="D12" t="str">
            <v>Workmen's Compensation</v>
          </cell>
        </row>
        <row r="13">
          <cell r="C13">
            <v>13</v>
          </cell>
          <cell r="D13" t="str">
            <v>Miscellaneous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RA GI Classes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Mar 2018"/>
      <sheetName val="June 2018"/>
      <sheetName val="Sep 2018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 Acc - Act (III)"/>
      <sheetName val="Balance Sheet"/>
      <sheetName val="Working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 - Q1"/>
      <sheetName val="2019 - Q2"/>
      <sheetName val="Investment Income"/>
      <sheetName val="Expense Breakdown"/>
      <sheetName val="Combined"/>
      <sheetName val="Business Performance Indicators"/>
      <sheetName val="CAR - 2018 Q4"/>
      <sheetName val="CAR - 2019 Q1"/>
      <sheetName val="CAR - 2019 Q2"/>
      <sheetName val="Board Dashboa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62664585</v>
          </cell>
        </row>
        <row r="4">
          <cell r="C4">
            <v>80441506</v>
          </cell>
        </row>
        <row r="5">
          <cell r="C5">
            <v>151395606</v>
          </cell>
        </row>
        <row r="6">
          <cell r="C6">
            <v>150558737</v>
          </cell>
        </row>
        <row r="7">
          <cell r="C7">
            <v>177298985</v>
          </cell>
        </row>
        <row r="8">
          <cell r="C8">
            <v>193341456</v>
          </cell>
        </row>
        <row r="9">
          <cell r="C9">
            <v>209820087</v>
          </cell>
        </row>
        <row r="10">
          <cell r="C10">
            <v>246010365</v>
          </cell>
        </row>
        <row r="11">
          <cell r="C11">
            <v>268302217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F0702-2780-4DC6-B3B8-DB03F5181FE9}">
  <sheetPr>
    <tabColor rgb="FFFFFF00"/>
  </sheetPr>
  <dimension ref="A1:X65"/>
  <sheetViews>
    <sheetView workbookViewId="0">
      <selection activeCell="G3" sqref="G3"/>
    </sheetView>
  </sheetViews>
  <sheetFormatPr defaultColWidth="8.77734375" defaultRowHeight="11.4" x14ac:dyDescent="0.2"/>
  <cols>
    <col min="1" max="1" width="8.77734375" style="4"/>
    <col min="2" max="2" width="32.21875" style="4" bestFit="1" customWidth="1"/>
    <col min="3" max="3" width="19.6640625" style="4" bestFit="1" customWidth="1"/>
    <col min="4" max="4" width="10.44140625" style="4" bestFit="1" customWidth="1"/>
    <col min="5" max="5" width="11.5546875" style="4" bestFit="1" customWidth="1"/>
    <col min="6" max="6" width="12.44140625" style="4" bestFit="1" customWidth="1"/>
    <col min="7" max="7" width="13.6640625" style="7" bestFit="1" customWidth="1"/>
    <col min="8" max="8" width="10.21875" style="4" bestFit="1" customWidth="1"/>
    <col min="9" max="9" width="16.5546875" style="4" bestFit="1" customWidth="1"/>
    <col min="10" max="10" width="16.33203125" style="4" bestFit="1" customWidth="1"/>
    <col min="11" max="11" width="17.21875" style="4" bestFit="1" customWidth="1"/>
    <col min="12" max="12" width="19.77734375" style="4" bestFit="1" customWidth="1"/>
    <col min="13" max="13" width="19.77734375" style="4" customWidth="1"/>
    <col min="14" max="14" width="13.5546875" style="4" customWidth="1"/>
    <col min="15" max="15" width="11.5546875" style="4" bestFit="1" customWidth="1"/>
    <col min="16" max="16" width="3.5546875" style="6" customWidth="1"/>
    <col min="17" max="17" width="20.88671875" style="4" bestFit="1" customWidth="1"/>
    <col min="18" max="19" width="24.77734375" style="4" bestFit="1" customWidth="1"/>
    <col min="20" max="20" width="10.44140625" style="5" bestFit="1" customWidth="1"/>
    <col min="21" max="21" width="10.77734375" style="4" bestFit="1" customWidth="1"/>
    <col min="22" max="22" width="11.5546875" style="5" bestFit="1" customWidth="1"/>
    <col min="23" max="23" width="12.77734375" style="4" bestFit="1" customWidth="1"/>
    <col min="24" max="16384" width="8.77734375" style="4"/>
  </cols>
  <sheetData>
    <row r="1" spans="1:24" x14ac:dyDescent="0.2">
      <c r="H1" s="17">
        <f ca="1">COUNTIF($H:$H,"check")</f>
        <v>0</v>
      </c>
      <c r="L1" s="17">
        <f>COUNTIF(L3:L1048576,"FALSE")</f>
        <v>0</v>
      </c>
      <c r="M1" s="17"/>
      <c r="N1" s="17"/>
      <c r="Q1" s="4" t="s">
        <v>24</v>
      </c>
    </row>
    <row r="2" spans="1:24" s="12" customFormat="1" ht="18.600000000000001" customHeight="1" x14ac:dyDescent="0.3">
      <c r="A2" s="4"/>
      <c r="B2" t="s">
        <v>23</v>
      </c>
      <c r="C2" t="s">
        <v>12</v>
      </c>
      <c r="D2" s="11" t="s">
        <v>22</v>
      </c>
      <c r="E2" s="11" t="s">
        <v>21</v>
      </c>
      <c r="F2" t="s">
        <v>20</v>
      </c>
      <c r="G2" s="3" t="s">
        <v>8</v>
      </c>
      <c r="H2" s="15" t="s">
        <v>19</v>
      </c>
      <c r="I2" s="15" t="s">
        <v>18</v>
      </c>
      <c r="J2" s="15" t="s">
        <v>17</v>
      </c>
      <c r="K2" s="15" t="s">
        <v>16</v>
      </c>
      <c r="L2" s="15" t="s">
        <v>15</v>
      </c>
      <c r="M2" s="15" t="s">
        <v>11</v>
      </c>
      <c r="N2" s="15" t="s">
        <v>14</v>
      </c>
      <c r="O2" s="15" t="s">
        <v>9</v>
      </c>
      <c r="P2" s="16"/>
      <c r="Q2" s="15" t="s">
        <v>13</v>
      </c>
      <c r="R2" s="15" t="s">
        <v>12</v>
      </c>
      <c r="S2" s="15" t="s">
        <v>1</v>
      </c>
      <c r="T2" s="14" t="s">
        <v>11</v>
      </c>
      <c r="U2" s="15" t="s">
        <v>10</v>
      </c>
      <c r="V2" s="14" t="s">
        <v>9</v>
      </c>
      <c r="W2" s="13" t="s">
        <v>8</v>
      </c>
      <c r="X2" s="13" t="s">
        <v>7</v>
      </c>
    </row>
    <row r="3" spans="1:24" ht="14.4" x14ac:dyDescent="0.3">
      <c r="B3" t="s">
        <v>65</v>
      </c>
      <c r="C3" t="s">
        <v>0</v>
      </c>
      <c r="D3" s="11">
        <v>42442</v>
      </c>
      <c r="F3">
        <v>2016</v>
      </c>
      <c r="G3" s="3">
        <v>466103</v>
      </c>
      <c r="H3" s="4" t="str">
        <f>IF(OR(B3="",C3="",D3="",F3="",G3=""),"check","ok")</f>
        <v>ok</v>
      </c>
      <c r="I3" s="9">
        <f>D3+0</f>
        <v>42442</v>
      </c>
      <c r="J3" s="9"/>
      <c r="K3" s="9"/>
      <c r="L3" s="4" t="b">
        <f>K3&gt;=J3&gt;=I3</f>
        <v>1</v>
      </c>
      <c r="M3" s="4">
        <f>YEAR(I3)</f>
        <v>2016</v>
      </c>
      <c r="N3" s="4">
        <f>O3-M3</f>
        <v>0</v>
      </c>
      <c r="O3" s="5">
        <f>F3</f>
        <v>2016</v>
      </c>
      <c r="Q3" s="10" t="str">
        <f>B3</f>
        <v>C7210</v>
      </c>
      <c r="R3" s="4" t="str">
        <f>C3</f>
        <v>Fire Domestic</v>
      </c>
      <c r="S3" s="4" t="str">
        <f>R3</f>
        <v>Fire Domestic</v>
      </c>
      <c r="T3" s="5">
        <f>M3</f>
        <v>2016</v>
      </c>
      <c r="U3" s="9"/>
      <c r="V3" s="5">
        <f>O3</f>
        <v>2016</v>
      </c>
      <c r="W3" s="8">
        <f>G3</f>
        <v>466103</v>
      </c>
      <c r="X3" s="5">
        <f>V3-T3</f>
        <v>0</v>
      </c>
    </row>
    <row r="4" spans="1:24" ht="14.4" x14ac:dyDescent="0.3">
      <c r="B4" t="s">
        <v>66</v>
      </c>
      <c r="C4" t="s">
        <v>0</v>
      </c>
      <c r="D4" s="11">
        <v>42373</v>
      </c>
      <c r="E4" s="11"/>
      <c r="F4">
        <v>2016</v>
      </c>
      <c r="G4" s="3">
        <v>112285</v>
      </c>
      <c r="H4" s="4" t="str">
        <f>IF(OR(B4="",C4="",D4="",F4="",G4=""),"check","ok")</f>
        <v>ok</v>
      </c>
      <c r="I4" s="9">
        <f>D4+0</f>
        <v>42373</v>
      </c>
      <c r="J4" s="9"/>
      <c r="K4" s="9"/>
      <c r="L4" s="4" t="b">
        <f>K4&gt;=J4&gt;=I4</f>
        <v>1</v>
      </c>
      <c r="M4" s="4">
        <f>YEAR(I4)</f>
        <v>2016</v>
      </c>
      <c r="N4" s="4">
        <f>O4-M4</f>
        <v>0</v>
      </c>
      <c r="O4" s="5">
        <f>F4</f>
        <v>2016</v>
      </c>
      <c r="Q4" s="10" t="str">
        <f>B4</f>
        <v>C3467</v>
      </c>
      <c r="R4" s="4" t="str">
        <f>C4</f>
        <v>Fire Domestic</v>
      </c>
      <c r="S4" s="4" t="str">
        <f>R4</f>
        <v>Fire Domestic</v>
      </c>
      <c r="T4" s="5">
        <f>M4</f>
        <v>2016</v>
      </c>
      <c r="U4" s="9"/>
      <c r="V4" s="5">
        <f>O4</f>
        <v>2016</v>
      </c>
      <c r="W4" s="8">
        <f>G4</f>
        <v>112285</v>
      </c>
      <c r="X4" s="5">
        <f>V4-T4</f>
        <v>0</v>
      </c>
    </row>
    <row r="5" spans="1:24" ht="14.4" x14ac:dyDescent="0.3">
      <c r="B5" t="s">
        <v>67</v>
      </c>
      <c r="C5" t="s">
        <v>0</v>
      </c>
      <c r="D5" s="11">
        <v>42504</v>
      </c>
      <c r="E5" s="11"/>
      <c r="F5">
        <v>2016</v>
      </c>
      <c r="G5" s="3">
        <v>986597</v>
      </c>
      <c r="H5" s="4" t="str">
        <f>IF(OR(B5="",C5="",D5="",F5="",G5=""),"check","ok")</f>
        <v>ok</v>
      </c>
      <c r="I5" s="9">
        <f>D5+0</f>
        <v>42504</v>
      </c>
      <c r="J5" s="9"/>
      <c r="K5" s="9"/>
      <c r="L5" s="4" t="b">
        <f>K5&gt;=J5&gt;=I5</f>
        <v>1</v>
      </c>
      <c r="M5" s="4">
        <f>YEAR(I5)</f>
        <v>2016</v>
      </c>
      <c r="N5" s="4">
        <f>O5-M5</f>
        <v>0</v>
      </c>
      <c r="O5" s="5">
        <f>F5</f>
        <v>2016</v>
      </c>
      <c r="Q5" s="10" t="str">
        <f>B5</f>
        <v>C5979</v>
      </c>
      <c r="R5" s="4" t="str">
        <f>C5</f>
        <v>Fire Domestic</v>
      </c>
      <c r="S5" s="4" t="str">
        <f>R5</f>
        <v>Fire Domestic</v>
      </c>
      <c r="T5" s="5">
        <f>M5</f>
        <v>2016</v>
      </c>
      <c r="U5" s="9"/>
      <c r="V5" s="5">
        <f>O5</f>
        <v>2016</v>
      </c>
      <c r="W5" s="8">
        <f>G5</f>
        <v>986597</v>
      </c>
      <c r="X5" s="5">
        <f>V5-T5</f>
        <v>0</v>
      </c>
    </row>
    <row r="6" spans="1:24" ht="14.4" x14ac:dyDescent="0.3">
      <c r="B6" t="s">
        <v>68</v>
      </c>
      <c r="C6" t="s">
        <v>0</v>
      </c>
      <c r="D6" s="11">
        <v>42300</v>
      </c>
      <c r="E6" s="11"/>
      <c r="F6">
        <v>2015</v>
      </c>
      <c r="G6" s="3">
        <v>839779</v>
      </c>
      <c r="H6" s="4" t="str">
        <f>IF(OR(B6="",C6="",D6="",F6="",G6=""),"check","ok")</f>
        <v>ok</v>
      </c>
      <c r="I6" s="9">
        <f>D6+0</f>
        <v>42300</v>
      </c>
      <c r="J6" s="9"/>
      <c r="K6" s="9"/>
      <c r="L6" s="4" t="b">
        <f>K6&gt;=J6&gt;=I6</f>
        <v>1</v>
      </c>
      <c r="M6" s="4">
        <f>YEAR(I6)</f>
        <v>2015</v>
      </c>
      <c r="N6" s="4">
        <f>O6-M6</f>
        <v>0</v>
      </c>
      <c r="O6" s="5">
        <f>F6</f>
        <v>2015</v>
      </c>
      <c r="Q6" s="10" t="str">
        <f>B6</f>
        <v>C7826</v>
      </c>
      <c r="R6" s="4" t="str">
        <f>C6</f>
        <v>Fire Domestic</v>
      </c>
      <c r="S6" s="4" t="str">
        <f>R6</f>
        <v>Fire Domestic</v>
      </c>
      <c r="T6" s="5">
        <f>M6</f>
        <v>2015</v>
      </c>
      <c r="U6" s="9"/>
      <c r="V6" s="5">
        <f>O6</f>
        <v>2015</v>
      </c>
      <c r="W6" s="8">
        <f>G6</f>
        <v>839779</v>
      </c>
      <c r="X6" s="5">
        <f>V6-T6</f>
        <v>0</v>
      </c>
    </row>
    <row r="7" spans="1:24" ht="14.4" x14ac:dyDescent="0.3">
      <c r="B7" t="s">
        <v>69</v>
      </c>
      <c r="C7" t="s">
        <v>0</v>
      </c>
      <c r="D7" s="11">
        <v>42079</v>
      </c>
      <c r="E7" s="11"/>
      <c r="F7">
        <v>2015</v>
      </c>
      <c r="G7" s="3">
        <v>772894</v>
      </c>
      <c r="H7" s="4" t="str">
        <f>IF(OR(B7="",C7="",D7="",F7="",G7=""),"check","ok")</f>
        <v>ok</v>
      </c>
      <c r="I7" s="9">
        <f>D7+0</f>
        <v>42079</v>
      </c>
      <c r="J7" s="9"/>
      <c r="K7" s="9"/>
      <c r="L7" s="4" t="b">
        <f>K7&gt;=J7&gt;=I7</f>
        <v>1</v>
      </c>
      <c r="M7" s="4">
        <f>YEAR(I7)</f>
        <v>2015</v>
      </c>
      <c r="N7" s="4">
        <f>O7-M7</f>
        <v>0</v>
      </c>
      <c r="O7" s="5">
        <f>F7</f>
        <v>2015</v>
      </c>
      <c r="Q7" s="10" t="str">
        <f>B7</f>
        <v>C4283</v>
      </c>
      <c r="R7" s="4" t="str">
        <f>C7</f>
        <v>Fire Domestic</v>
      </c>
      <c r="S7" s="4" t="str">
        <f>R7</f>
        <v>Fire Domestic</v>
      </c>
      <c r="T7" s="5">
        <f>M7</f>
        <v>2015</v>
      </c>
      <c r="U7" s="9"/>
      <c r="V7" s="5">
        <f>O7</f>
        <v>2015</v>
      </c>
      <c r="W7" s="8">
        <f>G7</f>
        <v>772894</v>
      </c>
      <c r="X7" s="5">
        <f>V7-T7</f>
        <v>0</v>
      </c>
    </row>
    <row r="8" spans="1:24" ht="14.4" x14ac:dyDescent="0.3">
      <c r="B8" t="s">
        <v>70</v>
      </c>
      <c r="C8" t="s">
        <v>0</v>
      </c>
      <c r="D8" s="11">
        <v>41759</v>
      </c>
      <c r="E8" s="11"/>
      <c r="F8">
        <v>2014</v>
      </c>
      <c r="G8" s="3">
        <v>727538</v>
      </c>
      <c r="H8" s="4" t="str">
        <f>IF(OR(B8="",C8="",D8="",F8="",G8=""),"check","ok")</f>
        <v>ok</v>
      </c>
      <c r="I8" s="9">
        <f>D8+0</f>
        <v>41759</v>
      </c>
      <c r="J8" s="9"/>
      <c r="K8" s="9"/>
      <c r="L8" s="4" t="b">
        <f>K8&gt;=J8&gt;=I8</f>
        <v>1</v>
      </c>
      <c r="M8" s="4">
        <f>YEAR(I8)</f>
        <v>2014</v>
      </c>
      <c r="N8" s="4">
        <f>O8-M8</f>
        <v>0</v>
      </c>
      <c r="O8" s="5">
        <f>F8</f>
        <v>2014</v>
      </c>
      <c r="Q8" s="10" t="str">
        <f>B8</f>
        <v>C8271</v>
      </c>
      <c r="R8" s="4" t="str">
        <f>C8</f>
        <v>Fire Domestic</v>
      </c>
      <c r="S8" s="4" t="str">
        <f>R8</f>
        <v>Fire Domestic</v>
      </c>
      <c r="T8" s="5">
        <f>M8</f>
        <v>2014</v>
      </c>
      <c r="U8" s="9"/>
      <c r="V8" s="5">
        <f>O8</f>
        <v>2014</v>
      </c>
      <c r="W8" s="8">
        <f>G8</f>
        <v>727538</v>
      </c>
      <c r="X8" s="5">
        <f>V8-T8</f>
        <v>0</v>
      </c>
    </row>
    <row r="9" spans="1:24" ht="14.4" x14ac:dyDescent="0.3">
      <c r="B9" t="s">
        <v>71</v>
      </c>
      <c r="C9" t="s">
        <v>0</v>
      </c>
      <c r="D9" s="11">
        <v>41753</v>
      </c>
      <c r="E9" s="11"/>
      <c r="F9">
        <v>2014</v>
      </c>
      <c r="G9" s="3">
        <v>144046</v>
      </c>
      <c r="H9" s="4" t="str">
        <f>IF(OR(B9="",C9="",D9="",F9="",G9=""),"check","ok")</f>
        <v>ok</v>
      </c>
      <c r="I9" s="9">
        <f>D9+0</f>
        <v>41753</v>
      </c>
      <c r="J9" s="9"/>
      <c r="K9" s="9"/>
      <c r="L9" s="4" t="b">
        <f>K9&gt;=J9&gt;=I9</f>
        <v>1</v>
      </c>
      <c r="M9" s="4">
        <f>YEAR(I9)</f>
        <v>2014</v>
      </c>
      <c r="N9" s="4">
        <f>O9-M9</f>
        <v>0</v>
      </c>
      <c r="O9" s="5">
        <f>F9</f>
        <v>2014</v>
      </c>
      <c r="Q9" s="10" t="str">
        <f>B9</f>
        <v>C2142</v>
      </c>
      <c r="R9" s="4" t="str">
        <f>C9</f>
        <v>Fire Domestic</v>
      </c>
      <c r="S9" s="4" t="str">
        <f>R9</f>
        <v>Fire Domestic</v>
      </c>
      <c r="T9" s="5">
        <f>M9</f>
        <v>2014</v>
      </c>
      <c r="U9" s="9"/>
      <c r="V9" s="5">
        <f>O9</f>
        <v>2014</v>
      </c>
      <c r="W9" s="8">
        <f>G9</f>
        <v>144046</v>
      </c>
      <c r="X9" s="5">
        <f>V9-T9</f>
        <v>0</v>
      </c>
    </row>
    <row r="10" spans="1:24" ht="14.4" x14ac:dyDescent="0.3">
      <c r="B10" t="s">
        <v>72</v>
      </c>
      <c r="C10" t="s">
        <v>0</v>
      </c>
      <c r="D10" s="11">
        <v>41698</v>
      </c>
      <c r="E10" s="11"/>
      <c r="F10">
        <v>2014</v>
      </c>
      <c r="G10" s="3">
        <v>72206</v>
      </c>
      <c r="H10" s="4" t="str">
        <f>IF(OR(B10="",C10="",D10="",F10="",G10=""),"check","ok")</f>
        <v>ok</v>
      </c>
      <c r="I10" s="9">
        <f>D10+0</f>
        <v>41698</v>
      </c>
      <c r="J10" s="9"/>
      <c r="K10" s="9"/>
      <c r="L10" s="4" t="b">
        <f>K10&gt;=J10&gt;=I10</f>
        <v>1</v>
      </c>
      <c r="M10" s="4">
        <f>YEAR(I10)</f>
        <v>2014</v>
      </c>
      <c r="N10" s="4">
        <f>O10-M10</f>
        <v>0</v>
      </c>
      <c r="O10" s="5">
        <f>F10</f>
        <v>2014</v>
      </c>
      <c r="Q10" s="10" t="str">
        <f>B10</f>
        <v>C4243</v>
      </c>
      <c r="R10" s="4" t="str">
        <f>C10</f>
        <v>Fire Domestic</v>
      </c>
      <c r="S10" s="4" t="str">
        <f>R10</f>
        <v>Fire Domestic</v>
      </c>
      <c r="T10" s="5">
        <f>M10</f>
        <v>2014</v>
      </c>
      <c r="U10" s="9"/>
      <c r="V10" s="5">
        <f>O10</f>
        <v>2014</v>
      </c>
      <c r="W10" s="8">
        <f>G10</f>
        <v>72206</v>
      </c>
      <c r="X10" s="5">
        <f>V10-T10</f>
        <v>0</v>
      </c>
    </row>
    <row r="11" spans="1:24" ht="14.4" x14ac:dyDescent="0.3">
      <c r="B11" t="s">
        <v>73</v>
      </c>
      <c r="C11" t="s">
        <v>0</v>
      </c>
      <c r="D11" s="11">
        <v>41561</v>
      </c>
      <c r="E11" s="11"/>
      <c r="F11">
        <v>2014</v>
      </c>
      <c r="G11" s="3">
        <v>846315</v>
      </c>
      <c r="H11" s="4" t="str">
        <f>IF(OR(B11="",C11="",D11="",F11="",G11=""),"check","ok")</f>
        <v>ok</v>
      </c>
      <c r="I11" s="9">
        <f>D11+0</f>
        <v>41561</v>
      </c>
      <c r="J11" s="9"/>
      <c r="K11" s="9"/>
      <c r="L11" s="4" t="b">
        <f>K11&gt;=J11&gt;=I11</f>
        <v>1</v>
      </c>
      <c r="M11" s="4">
        <f>YEAR(I11)</f>
        <v>2013</v>
      </c>
      <c r="N11" s="4">
        <f>O11-M11</f>
        <v>1</v>
      </c>
      <c r="O11" s="5">
        <f>F11</f>
        <v>2014</v>
      </c>
      <c r="Q11" s="10" t="str">
        <f>B11</f>
        <v>C7428</v>
      </c>
      <c r="R11" s="4" t="str">
        <f>C11</f>
        <v>Fire Domestic</v>
      </c>
      <c r="S11" s="4" t="str">
        <f>R11</f>
        <v>Fire Domestic</v>
      </c>
      <c r="T11" s="5">
        <f>M11</f>
        <v>2013</v>
      </c>
      <c r="U11" s="9"/>
      <c r="V11" s="5">
        <f>O11</f>
        <v>2014</v>
      </c>
      <c r="W11" s="8">
        <f>G11</f>
        <v>846315</v>
      </c>
      <c r="X11" s="5">
        <f>V11-T11</f>
        <v>1</v>
      </c>
    </row>
    <row r="12" spans="1:24" ht="14.4" x14ac:dyDescent="0.3">
      <c r="B12" t="s">
        <v>74</v>
      </c>
      <c r="C12" t="s">
        <v>0</v>
      </c>
      <c r="D12" s="11">
        <v>41599</v>
      </c>
      <c r="E12" s="11"/>
      <c r="F12">
        <v>2014</v>
      </c>
      <c r="G12" s="3">
        <v>705200</v>
      </c>
      <c r="H12" s="4" t="str">
        <f>IF(OR(B12="",C12="",D12="",F12="",G12=""),"check","ok")</f>
        <v>ok</v>
      </c>
      <c r="I12" s="9">
        <f>D12+0</f>
        <v>41599</v>
      </c>
      <c r="J12" s="9"/>
      <c r="K12" s="9"/>
      <c r="L12" s="4" t="b">
        <f>K12&gt;=J12&gt;=I12</f>
        <v>1</v>
      </c>
      <c r="M12" s="4">
        <f>YEAR(I12)</f>
        <v>2013</v>
      </c>
      <c r="N12" s="4">
        <f>O12-M12</f>
        <v>1</v>
      </c>
      <c r="O12" s="5">
        <f>F12</f>
        <v>2014</v>
      </c>
      <c r="Q12" s="10" t="str">
        <f>B12</f>
        <v>C2357</v>
      </c>
      <c r="R12" s="4" t="str">
        <f>C12</f>
        <v>Fire Domestic</v>
      </c>
      <c r="S12" s="4" t="str">
        <f>R12</f>
        <v>Fire Domestic</v>
      </c>
      <c r="T12" s="5">
        <f>M12</f>
        <v>2013</v>
      </c>
      <c r="U12" s="9"/>
      <c r="V12" s="5">
        <f>O12</f>
        <v>2014</v>
      </c>
      <c r="W12" s="8">
        <f>G12</f>
        <v>705200</v>
      </c>
      <c r="X12" s="5">
        <f>V12-T12</f>
        <v>1</v>
      </c>
    </row>
    <row r="13" spans="1:24" ht="14.4" x14ac:dyDescent="0.3">
      <c r="B13" t="s">
        <v>75</v>
      </c>
      <c r="C13" t="s">
        <v>0</v>
      </c>
      <c r="D13" s="11">
        <v>41726</v>
      </c>
      <c r="E13" s="11"/>
      <c r="F13">
        <v>2014</v>
      </c>
      <c r="G13" s="3">
        <v>902260</v>
      </c>
      <c r="H13" s="4" t="str">
        <f>IF(OR(B13="",C13="",D13="",F13="",G13=""),"check","ok")</f>
        <v>ok</v>
      </c>
      <c r="I13" s="9">
        <f>D13+0</f>
        <v>41726</v>
      </c>
      <c r="J13" s="9"/>
      <c r="K13" s="9"/>
      <c r="L13" s="4" t="b">
        <f>K13&gt;=J13&gt;=I13</f>
        <v>1</v>
      </c>
      <c r="M13" s="4">
        <f>YEAR(I13)</f>
        <v>2014</v>
      </c>
      <c r="N13" s="4">
        <f>O13-M13</f>
        <v>0</v>
      </c>
      <c r="O13" s="5">
        <f>F13</f>
        <v>2014</v>
      </c>
      <c r="Q13" s="10" t="str">
        <f>B13</f>
        <v>C8580</v>
      </c>
      <c r="R13" s="4" t="str">
        <f>C13</f>
        <v>Fire Domestic</v>
      </c>
      <c r="S13" s="4" t="str">
        <f>R13</f>
        <v>Fire Domestic</v>
      </c>
      <c r="T13" s="5">
        <f>M13</f>
        <v>2014</v>
      </c>
      <c r="U13" s="9"/>
      <c r="V13" s="5">
        <f>O13</f>
        <v>2014</v>
      </c>
      <c r="W13" s="8">
        <f>G13</f>
        <v>902260</v>
      </c>
      <c r="X13" s="5">
        <f>V13-T13</f>
        <v>0</v>
      </c>
    </row>
    <row r="14" spans="1:24" ht="14.4" x14ac:dyDescent="0.3">
      <c r="B14" t="s">
        <v>76</v>
      </c>
      <c r="C14" t="s">
        <v>0</v>
      </c>
      <c r="D14" s="11">
        <v>41716</v>
      </c>
      <c r="E14" s="11"/>
      <c r="F14">
        <v>2014</v>
      </c>
      <c r="G14" s="3">
        <v>546255</v>
      </c>
      <c r="H14" s="4" t="str">
        <f>IF(OR(B14="",C14="",D14="",F14="",G14=""),"check","ok")</f>
        <v>ok</v>
      </c>
      <c r="I14" s="9">
        <f>D14+0</f>
        <v>41716</v>
      </c>
      <c r="J14" s="9"/>
      <c r="K14" s="9"/>
      <c r="L14" s="4" t="b">
        <f>K14&gt;=J14&gt;=I14</f>
        <v>1</v>
      </c>
      <c r="M14" s="4">
        <f>YEAR(I14)</f>
        <v>2014</v>
      </c>
      <c r="N14" s="4">
        <f>O14-M14</f>
        <v>0</v>
      </c>
      <c r="O14" s="5">
        <f>F14</f>
        <v>2014</v>
      </c>
      <c r="Q14" s="10" t="str">
        <f>B14</f>
        <v>C7691</v>
      </c>
      <c r="R14" s="4" t="str">
        <f>C14</f>
        <v>Fire Domestic</v>
      </c>
      <c r="S14" s="4" t="str">
        <f>R14</f>
        <v>Fire Domestic</v>
      </c>
      <c r="T14" s="5">
        <f>M14</f>
        <v>2014</v>
      </c>
      <c r="U14" s="9"/>
      <c r="V14" s="5">
        <f>O14</f>
        <v>2014</v>
      </c>
      <c r="W14" s="8">
        <f>G14</f>
        <v>546255</v>
      </c>
      <c r="X14" s="5">
        <f>V14-T14</f>
        <v>0</v>
      </c>
    </row>
    <row r="15" spans="1:24" ht="14.4" x14ac:dyDescent="0.3">
      <c r="B15" t="s">
        <v>64</v>
      </c>
      <c r="C15" t="s">
        <v>0</v>
      </c>
      <c r="D15" s="11">
        <v>41615</v>
      </c>
      <c r="E15" s="11"/>
      <c r="F15">
        <v>2014</v>
      </c>
      <c r="G15" s="3">
        <v>924799</v>
      </c>
      <c r="H15" s="4" t="str">
        <f>IF(OR(B15="",C15="",D15="",F15="",G15=""),"check","ok")</f>
        <v>ok</v>
      </c>
      <c r="I15" s="9">
        <f>D15+0</f>
        <v>41615</v>
      </c>
      <c r="J15" s="9"/>
      <c r="K15" s="9"/>
      <c r="L15" s="4" t="b">
        <f>K15&gt;=J15&gt;=I15</f>
        <v>1</v>
      </c>
      <c r="M15" s="4">
        <f>YEAR(I15)</f>
        <v>2013</v>
      </c>
      <c r="N15" s="4">
        <f>O15-M15</f>
        <v>1</v>
      </c>
      <c r="O15" s="5">
        <f>F15</f>
        <v>2014</v>
      </c>
      <c r="Q15" s="10" t="str">
        <f>B15</f>
        <v>C6987</v>
      </c>
      <c r="R15" s="4" t="str">
        <f>C15</f>
        <v>Fire Domestic</v>
      </c>
      <c r="S15" s="4" t="str">
        <f>R15</f>
        <v>Fire Domestic</v>
      </c>
      <c r="T15" s="5">
        <f>M15</f>
        <v>2013</v>
      </c>
      <c r="U15" s="9"/>
      <c r="V15" s="5">
        <f>O15</f>
        <v>2014</v>
      </c>
      <c r="W15" s="8">
        <f>G15</f>
        <v>924799</v>
      </c>
      <c r="X15" s="5">
        <f>V15-T15</f>
        <v>1</v>
      </c>
    </row>
    <row r="16" spans="1:24" ht="14.4" x14ac:dyDescent="0.3">
      <c r="B16" t="s">
        <v>77</v>
      </c>
      <c r="C16" t="s">
        <v>0</v>
      </c>
      <c r="D16" s="11">
        <v>41666</v>
      </c>
      <c r="E16" s="11"/>
      <c r="F16">
        <v>2014</v>
      </c>
      <c r="G16" s="3">
        <v>241444</v>
      </c>
      <c r="H16" s="4" t="str">
        <f>IF(OR(B16="",C16="",D16="",F16="",G16=""),"check","ok")</f>
        <v>ok</v>
      </c>
      <c r="I16" s="9">
        <f>D16+0</f>
        <v>41666</v>
      </c>
      <c r="J16" s="9"/>
      <c r="K16" s="9"/>
      <c r="L16" s="4" t="b">
        <f>K16&gt;=J16&gt;=I16</f>
        <v>1</v>
      </c>
      <c r="M16" s="4">
        <f>YEAR(I16)</f>
        <v>2014</v>
      </c>
      <c r="N16" s="4">
        <f>O16-M16</f>
        <v>0</v>
      </c>
      <c r="O16" s="5">
        <f>F16</f>
        <v>2014</v>
      </c>
      <c r="Q16" s="10" t="str">
        <f>B16</f>
        <v>C4521</v>
      </c>
      <c r="R16" s="4" t="str">
        <f>C16</f>
        <v>Fire Domestic</v>
      </c>
      <c r="S16" s="4" t="str">
        <f>R16</f>
        <v>Fire Domestic</v>
      </c>
      <c r="T16" s="5">
        <f>M16</f>
        <v>2014</v>
      </c>
      <c r="U16" s="9"/>
      <c r="V16" s="5">
        <f>O16</f>
        <v>2014</v>
      </c>
      <c r="W16" s="8">
        <f>G16</f>
        <v>241444</v>
      </c>
      <c r="X16" s="5">
        <f>V16-T16</f>
        <v>0</v>
      </c>
    </row>
    <row r="17" spans="2:24" ht="14.4" x14ac:dyDescent="0.3">
      <c r="B17" t="s">
        <v>78</v>
      </c>
      <c r="C17" t="s">
        <v>0</v>
      </c>
      <c r="D17" s="11">
        <v>41394</v>
      </c>
      <c r="E17" s="11"/>
      <c r="F17">
        <v>2013</v>
      </c>
      <c r="G17" s="3">
        <v>252679</v>
      </c>
      <c r="H17" s="4" t="str">
        <f>IF(OR(B17="",C17="",D17="",F17="",G17=""),"check","ok")</f>
        <v>ok</v>
      </c>
      <c r="I17" s="9">
        <f>D17+0</f>
        <v>41394</v>
      </c>
      <c r="J17" s="9"/>
      <c r="K17" s="9"/>
      <c r="L17" s="4" t="b">
        <f>K17&gt;=J17&gt;=I17</f>
        <v>1</v>
      </c>
      <c r="M17" s="4">
        <f>YEAR(I17)</f>
        <v>2013</v>
      </c>
      <c r="N17" s="4">
        <f>O17-M17</f>
        <v>0</v>
      </c>
      <c r="O17" s="5">
        <f>F17</f>
        <v>2013</v>
      </c>
      <c r="Q17" s="10" t="str">
        <f>B17</f>
        <v>C4993</v>
      </c>
      <c r="R17" s="4" t="str">
        <f>C17</f>
        <v>Fire Domestic</v>
      </c>
      <c r="S17" s="4" t="str">
        <f>R17</f>
        <v>Fire Domestic</v>
      </c>
      <c r="T17" s="5">
        <f>M17</f>
        <v>2013</v>
      </c>
      <c r="U17" s="9"/>
      <c r="V17" s="5">
        <f>O17</f>
        <v>2013</v>
      </c>
      <c r="W17" s="8">
        <f>G17</f>
        <v>252679</v>
      </c>
      <c r="X17" s="5">
        <f>V17-T17</f>
        <v>0</v>
      </c>
    </row>
    <row r="18" spans="2:24" ht="14.4" x14ac:dyDescent="0.3">
      <c r="B18" t="s">
        <v>79</v>
      </c>
      <c r="C18" t="s">
        <v>0</v>
      </c>
      <c r="D18" s="11">
        <v>41191</v>
      </c>
      <c r="E18" s="11"/>
      <c r="F18">
        <v>2013</v>
      </c>
      <c r="G18" s="3">
        <v>282240</v>
      </c>
      <c r="H18" s="4" t="str">
        <f>IF(OR(B18="",C18="",D18="",F18="",G18=""),"check","ok")</f>
        <v>ok</v>
      </c>
      <c r="I18" s="9">
        <f>D18+0</f>
        <v>41191</v>
      </c>
      <c r="J18" s="9"/>
      <c r="K18" s="9"/>
      <c r="L18" s="4" t="b">
        <f>K18&gt;=J18&gt;=I18</f>
        <v>1</v>
      </c>
      <c r="M18" s="4">
        <f>YEAR(I18)</f>
        <v>2012</v>
      </c>
      <c r="N18" s="4">
        <f>O18-M18</f>
        <v>1</v>
      </c>
      <c r="O18" s="5">
        <f>F18</f>
        <v>2013</v>
      </c>
      <c r="Q18" s="10" t="str">
        <f>B18</f>
        <v>C5451</v>
      </c>
      <c r="R18" s="4" t="str">
        <f>C18</f>
        <v>Fire Domestic</v>
      </c>
      <c r="S18" s="4" t="str">
        <f>R18</f>
        <v>Fire Domestic</v>
      </c>
      <c r="T18" s="5">
        <f>M18</f>
        <v>2012</v>
      </c>
      <c r="U18" s="9"/>
      <c r="V18" s="5">
        <f>O18</f>
        <v>2013</v>
      </c>
      <c r="W18" s="8">
        <f>G18</f>
        <v>282240</v>
      </c>
      <c r="X18" s="5">
        <f>V18-T18</f>
        <v>1</v>
      </c>
    </row>
    <row r="19" spans="2:24" ht="14.4" x14ac:dyDescent="0.3">
      <c r="B19" t="s">
        <v>80</v>
      </c>
      <c r="C19" t="s">
        <v>0</v>
      </c>
      <c r="D19" s="11">
        <v>41140</v>
      </c>
      <c r="E19" s="11"/>
      <c r="F19">
        <v>2013</v>
      </c>
      <c r="G19" s="3">
        <v>989328</v>
      </c>
      <c r="H19" s="4" t="str">
        <f>IF(OR(B19="",C19="",D19="",F19="",G19=""),"check","ok")</f>
        <v>ok</v>
      </c>
      <c r="I19" s="9">
        <f>D19+0</f>
        <v>41140</v>
      </c>
      <c r="J19" s="9"/>
      <c r="K19" s="9"/>
      <c r="L19" s="4" t="b">
        <f>K19&gt;=J19&gt;=I19</f>
        <v>1</v>
      </c>
      <c r="M19" s="4">
        <f>YEAR(I19)</f>
        <v>2012</v>
      </c>
      <c r="N19" s="4">
        <f>O19-M19</f>
        <v>1</v>
      </c>
      <c r="O19" s="5">
        <f>F19</f>
        <v>2013</v>
      </c>
      <c r="Q19" s="10" t="str">
        <f>B19</f>
        <v>C5971</v>
      </c>
      <c r="R19" s="4" t="str">
        <f>C19</f>
        <v>Fire Domestic</v>
      </c>
      <c r="S19" s="4" t="str">
        <f>R19</f>
        <v>Fire Domestic</v>
      </c>
      <c r="T19" s="5">
        <f>M19</f>
        <v>2012</v>
      </c>
      <c r="U19" s="9"/>
      <c r="V19" s="5">
        <f>O19</f>
        <v>2013</v>
      </c>
      <c r="W19" s="8">
        <f>G19</f>
        <v>989328</v>
      </c>
      <c r="X19" s="5">
        <f>V19-T19</f>
        <v>1</v>
      </c>
    </row>
    <row r="20" spans="2:24" ht="14.4" x14ac:dyDescent="0.3">
      <c r="B20" t="s">
        <v>81</v>
      </c>
      <c r="C20" t="s">
        <v>0</v>
      </c>
      <c r="D20" s="11">
        <v>41315</v>
      </c>
      <c r="E20" s="11"/>
      <c r="F20">
        <v>2013</v>
      </c>
      <c r="G20" s="3">
        <v>632389</v>
      </c>
      <c r="H20" s="4" t="str">
        <f>IF(OR(B20="",C20="",D20="",F20="",G20=""),"check","ok")</f>
        <v>ok</v>
      </c>
      <c r="I20" s="9">
        <f>D20+0</f>
        <v>41315</v>
      </c>
      <c r="J20" s="9"/>
      <c r="K20" s="9"/>
      <c r="L20" s="4" t="b">
        <f>K20&gt;=J20&gt;=I20</f>
        <v>1</v>
      </c>
      <c r="M20" s="4">
        <f>YEAR(I20)</f>
        <v>2013</v>
      </c>
      <c r="N20" s="4">
        <f>O20-M20</f>
        <v>0</v>
      </c>
      <c r="O20" s="5">
        <f>F20</f>
        <v>2013</v>
      </c>
      <c r="Q20" s="10" t="str">
        <f>B20</f>
        <v>C1146</v>
      </c>
      <c r="R20" s="4" t="str">
        <f>C20</f>
        <v>Fire Domestic</v>
      </c>
      <c r="S20" s="4" t="str">
        <f>R20</f>
        <v>Fire Domestic</v>
      </c>
      <c r="T20" s="5">
        <f>M20</f>
        <v>2013</v>
      </c>
      <c r="U20" s="9"/>
      <c r="V20" s="5">
        <f>O20</f>
        <v>2013</v>
      </c>
      <c r="W20" s="8">
        <f>G20</f>
        <v>632389</v>
      </c>
      <c r="X20" s="5">
        <f>V20-T20</f>
        <v>0</v>
      </c>
    </row>
    <row r="21" spans="2:24" ht="14.4" x14ac:dyDescent="0.3">
      <c r="B21" t="s">
        <v>82</v>
      </c>
      <c r="C21" t="s">
        <v>0</v>
      </c>
      <c r="D21" s="11">
        <v>41131</v>
      </c>
      <c r="E21" s="11"/>
      <c r="F21">
        <v>2013</v>
      </c>
      <c r="G21" s="3">
        <v>339285</v>
      </c>
      <c r="H21" s="4" t="str">
        <f>IF(OR(B21="",C21="",D21="",F21="",G21=""),"check","ok")</f>
        <v>ok</v>
      </c>
      <c r="I21" s="9">
        <f>D21+0</f>
        <v>41131</v>
      </c>
      <c r="J21" s="9"/>
      <c r="K21" s="9"/>
      <c r="L21" s="4" t="b">
        <f>K21&gt;=J21&gt;=I21</f>
        <v>1</v>
      </c>
      <c r="M21" s="4">
        <f>YEAR(I21)</f>
        <v>2012</v>
      </c>
      <c r="N21" s="4">
        <f>O21-M21</f>
        <v>1</v>
      </c>
      <c r="O21" s="5">
        <f>F21</f>
        <v>2013</v>
      </c>
      <c r="Q21" s="10" t="str">
        <f>B21</f>
        <v>C2548</v>
      </c>
      <c r="R21" s="4" t="str">
        <f>C21</f>
        <v>Fire Domestic</v>
      </c>
      <c r="S21" s="4" t="str">
        <f>R21</f>
        <v>Fire Domestic</v>
      </c>
      <c r="T21" s="5">
        <f>M21</f>
        <v>2012</v>
      </c>
      <c r="U21" s="9"/>
      <c r="V21" s="5">
        <f>O21</f>
        <v>2013</v>
      </c>
      <c r="W21" s="8">
        <f>G21</f>
        <v>339285</v>
      </c>
      <c r="X21" s="5">
        <f>V21-T21</f>
        <v>1</v>
      </c>
    </row>
    <row r="22" spans="2:24" ht="14.4" x14ac:dyDescent="0.3">
      <c r="B22" t="s">
        <v>83</v>
      </c>
      <c r="C22" t="s">
        <v>0</v>
      </c>
      <c r="D22" s="11">
        <v>41223</v>
      </c>
      <c r="E22" s="11"/>
      <c r="F22">
        <v>2013</v>
      </c>
      <c r="G22" s="3">
        <v>803923</v>
      </c>
      <c r="H22" s="4" t="str">
        <f>IF(OR(B22="",C22="",D22="",F22="",G22=""),"check","ok")</f>
        <v>ok</v>
      </c>
      <c r="I22" s="9">
        <f>D22+0</f>
        <v>41223</v>
      </c>
      <c r="J22" s="9"/>
      <c r="K22" s="9"/>
      <c r="L22" s="4" t="b">
        <f>K22&gt;=J22&gt;=I22</f>
        <v>1</v>
      </c>
      <c r="M22" s="4">
        <f>YEAR(I22)</f>
        <v>2012</v>
      </c>
      <c r="N22" s="4">
        <f>O22-M22</f>
        <v>1</v>
      </c>
      <c r="O22" s="5">
        <f>F22</f>
        <v>2013</v>
      </c>
      <c r="Q22" s="10" t="str">
        <f>B22</f>
        <v>C7706</v>
      </c>
      <c r="R22" s="4" t="str">
        <f>C22</f>
        <v>Fire Domestic</v>
      </c>
      <c r="S22" s="4" t="str">
        <f>R22</f>
        <v>Fire Domestic</v>
      </c>
      <c r="T22" s="5">
        <f>M22</f>
        <v>2012</v>
      </c>
      <c r="U22" s="9"/>
      <c r="V22" s="5">
        <f>O22</f>
        <v>2013</v>
      </c>
      <c r="W22" s="8">
        <f>G22</f>
        <v>803923</v>
      </c>
      <c r="X22" s="5">
        <f>V22-T22</f>
        <v>1</v>
      </c>
    </row>
    <row r="23" spans="2:24" ht="14.4" x14ac:dyDescent="0.3">
      <c r="B23" t="s">
        <v>84</v>
      </c>
      <c r="C23" t="s">
        <v>0</v>
      </c>
      <c r="D23" s="11">
        <v>40916</v>
      </c>
      <c r="E23" s="11"/>
      <c r="F23">
        <v>2012</v>
      </c>
      <c r="G23" s="3">
        <v>956485</v>
      </c>
      <c r="H23" s="4" t="str">
        <f>IF(OR(B23="",C23="",D23="",F23="",G23=""),"check","ok")</f>
        <v>ok</v>
      </c>
      <c r="I23" s="9">
        <f>D23+0</f>
        <v>40916</v>
      </c>
      <c r="J23" s="9"/>
      <c r="K23" s="9"/>
      <c r="L23" s="4" t="b">
        <f>K23&gt;=J23&gt;=I23</f>
        <v>1</v>
      </c>
      <c r="M23" s="4">
        <f>YEAR(I23)</f>
        <v>2012</v>
      </c>
      <c r="N23" s="4">
        <f>O23-M23</f>
        <v>0</v>
      </c>
      <c r="O23" s="5">
        <f>F23</f>
        <v>2012</v>
      </c>
      <c r="Q23" s="10" t="str">
        <f>B23</f>
        <v>C2441</v>
      </c>
      <c r="R23" s="4" t="str">
        <f>C23</f>
        <v>Fire Domestic</v>
      </c>
      <c r="S23" s="4" t="str">
        <f>R23</f>
        <v>Fire Domestic</v>
      </c>
      <c r="T23" s="5">
        <f>M23</f>
        <v>2012</v>
      </c>
      <c r="U23" s="9"/>
      <c r="V23" s="5">
        <f>O23</f>
        <v>2012</v>
      </c>
      <c r="W23" s="8">
        <f>G23</f>
        <v>956485</v>
      </c>
      <c r="X23" s="5">
        <f>V23-T23</f>
        <v>0</v>
      </c>
    </row>
    <row r="24" spans="2:24" ht="14.4" x14ac:dyDescent="0.3">
      <c r="B24" t="s">
        <v>85</v>
      </c>
      <c r="C24" t="s">
        <v>0</v>
      </c>
      <c r="D24" s="11">
        <v>40916</v>
      </c>
      <c r="E24" s="11"/>
      <c r="F24">
        <v>2012</v>
      </c>
      <c r="G24" s="3">
        <v>877357</v>
      </c>
      <c r="H24" s="4" t="str">
        <f>IF(OR(B24="",C24="",D24="",F24="",G24=""),"check","ok")</f>
        <v>ok</v>
      </c>
      <c r="I24" s="9">
        <f>D24+0</f>
        <v>40916</v>
      </c>
      <c r="J24" s="9"/>
      <c r="K24" s="9"/>
      <c r="L24" s="4" t="b">
        <f>K24&gt;=J24&gt;=I24</f>
        <v>1</v>
      </c>
      <c r="M24" s="4">
        <f>YEAR(I24)</f>
        <v>2012</v>
      </c>
      <c r="N24" s="4">
        <f>O24-M24</f>
        <v>0</v>
      </c>
      <c r="O24" s="5">
        <f>F24</f>
        <v>2012</v>
      </c>
      <c r="Q24" s="10" t="str">
        <f>B24</f>
        <v>C9750</v>
      </c>
      <c r="R24" s="4" t="str">
        <f>C24</f>
        <v>Fire Domestic</v>
      </c>
      <c r="S24" s="4" t="str">
        <f>R24</f>
        <v>Fire Domestic</v>
      </c>
      <c r="T24" s="5">
        <f>M24</f>
        <v>2012</v>
      </c>
      <c r="U24" s="9"/>
      <c r="V24" s="5">
        <f>O24</f>
        <v>2012</v>
      </c>
      <c r="W24" s="8">
        <f>G24</f>
        <v>877357</v>
      </c>
      <c r="X24" s="5">
        <f>V24-T24</f>
        <v>0</v>
      </c>
    </row>
    <row r="25" spans="2:24" ht="14.4" x14ac:dyDescent="0.3">
      <c r="B25" t="s">
        <v>86</v>
      </c>
      <c r="C25" t="s">
        <v>0</v>
      </c>
      <c r="D25" s="11">
        <v>42431</v>
      </c>
      <c r="E25" s="11"/>
      <c r="F25">
        <v>2016</v>
      </c>
      <c r="G25" s="3">
        <v>127305</v>
      </c>
      <c r="H25" s="4" t="str">
        <f>IF(OR(B25="",C25="",D25="",F25="",G25=""),"check","ok")</f>
        <v>ok</v>
      </c>
      <c r="I25" s="9">
        <f>D25+0</f>
        <v>42431</v>
      </c>
      <c r="J25" s="9"/>
      <c r="K25" s="9"/>
      <c r="L25" s="4" t="b">
        <f>K25&gt;=J25&gt;=I25</f>
        <v>1</v>
      </c>
      <c r="M25" s="4">
        <f>YEAR(I25)</f>
        <v>2016</v>
      </c>
      <c r="N25" s="4">
        <f>O25-M25</f>
        <v>0</v>
      </c>
      <c r="O25" s="5">
        <f>F25</f>
        <v>2016</v>
      </c>
      <c r="Q25" s="10" t="str">
        <f>B25</f>
        <v>C7624</v>
      </c>
      <c r="R25" s="4" t="str">
        <f>C25</f>
        <v>Fire Domestic</v>
      </c>
      <c r="S25" s="4" t="str">
        <f>R25</f>
        <v>Fire Domestic</v>
      </c>
      <c r="T25" s="5">
        <f>M25</f>
        <v>2016</v>
      </c>
      <c r="U25" s="9"/>
      <c r="V25" s="5">
        <f>O25</f>
        <v>2016</v>
      </c>
      <c r="W25" s="8">
        <f>G25</f>
        <v>127305</v>
      </c>
      <c r="X25" s="5">
        <f>V25-T25</f>
        <v>0</v>
      </c>
    </row>
    <row r="26" spans="2:24" ht="14.4" x14ac:dyDescent="0.3">
      <c r="B26" t="s">
        <v>87</v>
      </c>
      <c r="C26" t="s">
        <v>0</v>
      </c>
      <c r="D26" s="11">
        <v>41726</v>
      </c>
      <c r="E26" s="11"/>
      <c r="F26">
        <v>2016</v>
      </c>
      <c r="G26" s="3">
        <v>44149</v>
      </c>
      <c r="H26" s="4" t="str">
        <f>IF(OR(B26="",C26="",D26="",F26="",G26=""),"check","ok")</f>
        <v>ok</v>
      </c>
      <c r="I26" s="9">
        <f>D26+0</f>
        <v>41726</v>
      </c>
      <c r="J26" s="9"/>
      <c r="K26" s="9"/>
      <c r="L26" s="4" t="b">
        <f>K26&gt;=J26&gt;=I26</f>
        <v>1</v>
      </c>
      <c r="M26" s="4">
        <f>YEAR(I26)</f>
        <v>2014</v>
      </c>
      <c r="N26" s="4">
        <f>O26-M26</f>
        <v>2</v>
      </c>
      <c r="O26" s="5">
        <f>F26</f>
        <v>2016</v>
      </c>
      <c r="Q26" s="10" t="str">
        <f>B26</f>
        <v>C2389</v>
      </c>
      <c r="R26" s="4" t="str">
        <f>C26</f>
        <v>Fire Domestic</v>
      </c>
      <c r="S26" s="4" t="str">
        <f>R26</f>
        <v>Fire Domestic</v>
      </c>
      <c r="T26" s="5">
        <f>M26</f>
        <v>2014</v>
      </c>
      <c r="U26" s="9"/>
      <c r="V26" s="5">
        <f>O26</f>
        <v>2016</v>
      </c>
      <c r="W26" s="8">
        <f>G26</f>
        <v>44149</v>
      </c>
      <c r="X26" s="5">
        <f>V26-T26</f>
        <v>2</v>
      </c>
    </row>
    <row r="27" spans="2:24" ht="14.4" x14ac:dyDescent="0.3">
      <c r="B27" t="s">
        <v>88</v>
      </c>
      <c r="C27" t="s">
        <v>0</v>
      </c>
      <c r="D27" s="11">
        <v>42177</v>
      </c>
      <c r="E27" s="11"/>
      <c r="F27">
        <v>2016</v>
      </c>
      <c r="G27" s="3">
        <v>953010</v>
      </c>
      <c r="H27" s="4" t="str">
        <f>IF(OR(B27="",C27="",D27="",F27="",G27=""),"check","ok")</f>
        <v>ok</v>
      </c>
      <c r="I27" s="9">
        <f>D27+0</f>
        <v>42177</v>
      </c>
      <c r="J27" s="9"/>
      <c r="K27" s="9"/>
      <c r="L27" s="4" t="b">
        <f>K27&gt;=J27&gt;=I27</f>
        <v>1</v>
      </c>
      <c r="M27" s="4">
        <f>YEAR(I27)</f>
        <v>2015</v>
      </c>
      <c r="N27" s="4">
        <f>O27-M27</f>
        <v>1</v>
      </c>
      <c r="O27" s="5">
        <f>F27</f>
        <v>2016</v>
      </c>
      <c r="Q27" s="10" t="str">
        <f>B27</f>
        <v>C6065</v>
      </c>
      <c r="R27" s="4" t="str">
        <f>C27</f>
        <v>Fire Domestic</v>
      </c>
      <c r="S27" s="4" t="str">
        <f>R27</f>
        <v>Fire Domestic</v>
      </c>
      <c r="T27" s="5">
        <f>M27</f>
        <v>2015</v>
      </c>
      <c r="U27" s="9"/>
      <c r="V27" s="5">
        <f>O27</f>
        <v>2016</v>
      </c>
      <c r="W27" s="8">
        <f>G27</f>
        <v>953010</v>
      </c>
      <c r="X27" s="5">
        <f>V27-T27</f>
        <v>1</v>
      </c>
    </row>
    <row r="28" spans="2:24" ht="14.4" x14ac:dyDescent="0.3">
      <c r="B28" t="s">
        <v>89</v>
      </c>
      <c r="C28" t="s">
        <v>0</v>
      </c>
      <c r="D28" s="11">
        <v>40956</v>
      </c>
      <c r="E28" s="11"/>
      <c r="F28">
        <v>2012</v>
      </c>
      <c r="G28" s="3">
        <v>20366</v>
      </c>
      <c r="H28" s="4" t="str">
        <f>IF(OR(B28="",C28="",D28="",F28="",G28=""),"check","ok")</f>
        <v>ok</v>
      </c>
      <c r="I28" s="9">
        <f>D28+0</f>
        <v>40956</v>
      </c>
      <c r="J28" s="9"/>
      <c r="K28" s="9"/>
      <c r="L28" s="4" t="b">
        <f>K28&gt;=J28&gt;=I28</f>
        <v>1</v>
      </c>
      <c r="M28" s="4">
        <f>YEAR(I28)</f>
        <v>2012</v>
      </c>
      <c r="N28" s="4">
        <f>O28-M28</f>
        <v>0</v>
      </c>
      <c r="O28" s="5">
        <f>F28</f>
        <v>2012</v>
      </c>
      <c r="Q28" s="10" t="str">
        <f>B28</f>
        <v>C7987</v>
      </c>
      <c r="R28" s="4" t="str">
        <f>C28</f>
        <v>Fire Domestic</v>
      </c>
      <c r="S28" s="4" t="str">
        <f>R28</f>
        <v>Fire Domestic</v>
      </c>
      <c r="T28" s="5">
        <f>M28</f>
        <v>2012</v>
      </c>
      <c r="U28" s="9"/>
      <c r="V28" s="5">
        <f>O28</f>
        <v>2012</v>
      </c>
      <c r="W28" s="8">
        <f>G28</f>
        <v>20366</v>
      </c>
      <c r="X28" s="5">
        <f>V28-T28</f>
        <v>0</v>
      </c>
    </row>
    <row r="29" spans="2:24" ht="14.4" x14ac:dyDescent="0.3">
      <c r="B29" t="s">
        <v>90</v>
      </c>
      <c r="C29" t="s">
        <v>0</v>
      </c>
      <c r="D29" s="11">
        <v>40953</v>
      </c>
      <c r="E29" s="11"/>
      <c r="F29">
        <v>2012</v>
      </c>
      <c r="G29" s="3">
        <v>302649</v>
      </c>
      <c r="H29" s="4" t="str">
        <f>IF(OR(B29="",C29="",D29="",F29="",G29=""),"check","ok")</f>
        <v>ok</v>
      </c>
      <c r="I29" s="9">
        <f>D29+0</f>
        <v>40953</v>
      </c>
      <c r="J29" s="9"/>
      <c r="K29" s="9"/>
      <c r="L29" s="4" t="b">
        <f>K29&gt;=J29&gt;=I29</f>
        <v>1</v>
      </c>
      <c r="M29" s="4">
        <f>YEAR(I29)</f>
        <v>2012</v>
      </c>
      <c r="N29" s="4">
        <f>O29-M29</f>
        <v>0</v>
      </c>
      <c r="O29" s="5">
        <f>F29</f>
        <v>2012</v>
      </c>
      <c r="Q29" s="10" t="str">
        <f>B29</f>
        <v>C2742</v>
      </c>
      <c r="R29" s="4" t="str">
        <f>C29</f>
        <v>Fire Domestic</v>
      </c>
      <c r="S29" s="4" t="str">
        <f>R29</f>
        <v>Fire Domestic</v>
      </c>
      <c r="T29" s="5">
        <f>M29</f>
        <v>2012</v>
      </c>
      <c r="U29" s="9"/>
      <c r="V29" s="5">
        <f>O29</f>
        <v>2012</v>
      </c>
      <c r="W29" s="8">
        <f>G29</f>
        <v>302649</v>
      </c>
      <c r="X29" s="5">
        <f>V29-T29</f>
        <v>0</v>
      </c>
    </row>
    <row r="30" spans="2:24" ht="14.4" x14ac:dyDescent="0.3">
      <c r="B30" t="s">
        <v>91</v>
      </c>
      <c r="C30" t="s">
        <v>0</v>
      </c>
      <c r="D30" s="11">
        <v>42159</v>
      </c>
      <c r="E30" s="11"/>
      <c r="F30">
        <v>2017</v>
      </c>
      <c r="G30" s="3">
        <v>430443</v>
      </c>
      <c r="H30" s="4" t="str">
        <f>IF(OR(B30="",C30="",D30="",F30="",G30=""),"check","ok")</f>
        <v>ok</v>
      </c>
      <c r="I30" s="9">
        <f>D30+0</f>
        <v>42159</v>
      </c>
      <c r="J30" s="9"/>
      <c r="K30" s="9"/>
      <c r="L30" s="4" t="b">
        <f>K30&gt;=J30&gt;=I30</f>
        <v>1</v>
      </c>
      <c r="M30" s="4">
        <f>YEAR(I30)</f>
        <v>2015</v>
      </c>
      <c r="N30" s="4">
        <f>O30-M30</f>
        <v>2</v>
      </c>
      <c r="O30" s="5">
        <f>F30</f>
        <v>2017</v>
      </c>
      <c r="Q30" s="10" t="str">
        <f>B30</f>
        <v>C6991</v>
      </c>
      <c r="R30" s="4" t="str">
        <f>C30</f>
        <v>Fire Domestic</v>
      </c>
      <c r="S30" s="4" t="str">
        <f>R30</f>
        <v>Fire Domestic</v>
      </c>
      <c r="T30" s="5">
        <f>M30</f>
        <v>2015</v>
      </c>
      <c r="U30" s="9"/>
      <c r="V30" s="5">
        <f>O30</f>
        <v>2017</v>
      </c>
      <c r="W30" s="8">
        <f>G30</f>
        <v>430443</v>
      </c>
      <c r="X30" s="5">
        <f>V30-T30</f>
        <v>2</v>
      </c>
    </row>
    <row r="31" spans="2:24" ht="14.4" x14ac:dyDescent="0.3">
      <c r="B31" t="s">
        <v>92</v>
      </c>
      <c r="C31" t="s">
        <v>0</v>
      </c>
      <c r="D31" s="11">
        <v>42696</v>
      </c>
      <c r="E31" s="11"/>
      <c r="F31">
        <v>2017</v>
      </c>
      <c r="G31" s="3">
        <v>611175</v>
      </c>
      <c r="H31" s="4" t="str">
        <f>IF(OR(B31="",C31="",D31="",F31="",G31=""),"check","ok")</f>
        <v>ok</v>
      </c>
      <c r="I31" s="9">
        <f>D31+0</f>
        <v>42696</v>
      </c>
      <c r="J31" s="9"/>
      <c r="K31" s="9"/>
      <c r="L31" s="4" t="b">
        <f>K31&gt;=J31&gt;=I31</f>
        <v>1</v>
      </c>
      <c r="M31" s="4">
        <f>YEAR(I31)</f>
        <v>2016</v>
      </c>
      <c r="N31" s="4">
        <f>O31-M31</f>
        <v>1</v>
      </c>
      <c r="O31" s="5">
        <f>F31</f>
        <v>2017</v>
      </c>
      <c r="Q31" s="10" t="str">
        <f>B31</f>
        <v>C5923</v>
      </c>
      <c r="R31" s="4" t="str">
        <f>C31</f>
        <v>Fire Domestic</v>
      </c>
      <c r="S31" s="4" t="str">
        <f>R31</f>
        <v>Fire Domestic</v>
      </c>
      <c r="T31" s="5">
        <f>M31</f>
        <v>2016</v>
      </c>
      <c r="U31" s="9"/>
      <c r="V31" s="5">
        <f>O31</f>
        <v>2017</v>
      </c>
      <c r="W31" s="8">
        <f>G31</f>
        <v>611175</v>
      </c>
      <c r="X31" s="5">
        <f>V31-T31</f>
        <v>1</v>
      </c>
    </row>
    <row r="32" spans="2:24" ht="14.4" x14ac:dyDescent="0.3">
      <c r="B32" t="s">
        <v>93</v>
      </c>
      <c r="C32" t="s">
        <v>0</v>
      </c>
      <c r="D32" s="11">
        <v>42863</v>
      </c>
      <c r="E32" s="11"/>
      <c r="F32">
        <v>2017</v>
      </c>
      <c r="G32" s="3">
        <v>860131</v>
      </c>
      <c r="H32" s="4" t="str">
        <f>IF(OR(B32="",C32="",D32="",F32="",G32=""),"check","ok")</f>
        <v>ok</v>
      </c>
      <c r="I32" s="9">
        <f>D32+0</f>
        <v>42863</v>
      </c>
      <c r="J32" s="9"/>
      <c r="K32" s="9"/>
      <c r="L32" s="4" t="b">
        <f>K32&gt;=J32&gt;=I32</f>
        <v>1</v>
      </c>
      <c r="M32" s="4">
        <f>YEAR(I32)</f>
        <v>2017</v>
      </c>
      <c r="N32" s="4">
        <f>O32-M32</f>
        <v>0</v>
      </c>
      <c r="O32" s="5">
        <f>F32</f>
        <v>2017</v>
      </c>
      <c r="Q32" s="10" t="str">
        <f>B32</f>
        <v>C5334</v>
      </c>
      <c r="R32" s="4" t="str">
        <f>C32</f>
        <v>Fire Domestic</v>
      </c>
      <c r="S32" s="4" t="str">
        <f>R32</f>
        <v>Fire Domestic</v>
      </c>
      <c r="T32" s="5">
        <f>M32</f>
        <v>2017</v>
      </c>
      <c r="U32" s="9"/>
      <c r="V32" s="5">
        <f>O32</f>
        <v>2017</v>
      </c>
      <c r="W32" s="8">
        <f>G32</f>
        <v>860131</v>
      </c>
      <c r="X32" s="5">
        <f>V32-T32</f>
        <v>0</v>
      </c>
    </row>
    <row r="33" spans="2:24" ht="14.4" x14ac:dyDescent="0.3">
      <c r="B33" t="s">
        <v>94</v>
      </c>
      <c r="C33" t="s">
        <v>0</v>
      </c>
      <c r="D33" s="11">
        <v>42863</v>
      </c>
      <c r="E33" s="11"/>
      <c r="F33">
        <v>2017</v>
      </c>
      <c r="G33" s="3">
        <v>753536</v>
      </c>
      <c r="H33" s="4" t="str">
        <f>IF(OR(B33="",C33="",D33="",F33="",G33=""),"check","ok")</f>
        <v>ok</v>
      </c>
      <c r="I33" s="9">
        <f>D33+0</f>
        <v>42863</v>
      </c>
      <c r="J33" s="9"/>
      <c r="K33" s="9"/>
      <c r="L33" s="4" t="b">
        <f>K33&gt;=J33&gt;=I33</f>
        <v>1</v>
      </c>
      <c r="M33" s="4">
        <f>YEAR(I33)</f>
        <v>2017</v>
      </c>
      <c r="N33" s="4">
        <f>O33-M33</f>
        <v>0</v>
      </c>
      <c r="O33" s="5">
        <f>F33</f>
        <v>2017</v>
      </c>
      <c r="Q33" s="10" t="str">
        <f>B33</f>
        <v>C6983</v>
      </c>
      <c r="R33" s="4" t="str">
        <f>C33</f>
        <v>Fire Domestic</v>
      </c>
      <c r="S33" s="4" t="str">
        <f>R33</f>
        <v>Fire Domestic</v>
      </c>
      <c r="T33" s="5">
        <f>M33</f>
        <v>2017</v>
      </c>
      <c r="U33" s="9"/>
      <c r="V33" s="5">
        <f>O33</f>
        <v>2017</v>
      </c>
      <c r="W33" s="8">
        <f>G33</f>
        <v>753536</v>
      </c>
      <c r="X33" s="5">
        <f>V33-T33</f>
        <v>0</v>
      </c>
    </row>
    <row r="34" spans="2:24" ht="14.4" x14ac:dyDescent="0.3">
      <c r="B34" t="s">
        <v>95</v>
      </c>
      <c r="C34" t="s">
        <v>0</v>
      </c>
      <c r="D34" s="11">
        <v>42393</v>
      </c>
      <c r="E34" s="11"/>
      <c r="F34">
        <v>2017</v>
      </c>
      <c r="G34" s="3">
        <v>918111</v>
      </c>
      <c r="H34" s="4" t="str">
        <f>IF(OR(B34="",C34="",D34="",F34="",G34=""),"check","ok")</f>
        <v>ok</v>
      </c>
      <c r="I34" s="9">
        <f>D34+0</f>
        <v>42393</v>
      </c>
      <c r="J34" s="9"/>
      <c r="K34" s="9"/>
      <c r="L34" s="4" t="b">
        <f>K34&gt;=J34&gt;=I34</f>
        <v>1</v>
      </c>
      <c r="M34" s="4">
        <f>YEAR(I34)</f>
        <v>2016</v>
      </c>
      <c r="N34" s="4">
        <f>O34-M34</f>
        <v>1</v>
      </c>
      <c r="O34" s="5">
        <f>F34</f>
        <v>2017</v>
      </c>
      <c r="Q34" s="10" t="str">
        <f>B34</f>
        <v>C7299</v>
      </c>
      <c r="R34" s="4" t="str">
        <f>C34</f>
        <v>Fire Domestic</v>
      </c>
      <c r="S34" s="4" t="str">
        <f>R34</f>
        <v>Fire Domestic</v>
      </c>
      <c r="T34" s="5">
        <f>M34</f>
        <v>2016</v>
      </c>
      <c r="U34" s="9"/>
      <c r="V34" s="5">
        <f>O34</f>
        <v>2017</v>
      </c>
      <c r="W34" s="8">
        <f>G34</f>
        <v>918111</v>
      </c>
      <c r="X34" s="5">
        <f>V34-T34</f>
        <v>1</v>
      </c>
    </row>
    <row r="35" spans="2:24" ht="14.4" x14ac:dyDescent="0.3">
      <c r="B35" t="s">
        <v>96</v>
      </c>
      <c r="C35" t="s">
        <v>0</v>
      </c>
      <c r="D35" s="11">
        <v>42998</v>
      </c>
      <c r="E35" s="11"/>
      <c r="F35">
        <v>2017</v>
      </c>
      <c r="G35" s="3">
        <v>129038</v>
      </c>
      <c r="H35" s="4" t="str">
        <f>IF(OR(B35="",C35="",D35="",F35="",G35=""),"check","ok")</f>
        <v>ok</v>
      </c>
      <c r="I35" s="9">
        <f>D35+0</f>
        <v>42998</v>
      </c>
      <c r="J35" s="9"/>
      <c r="K35" s="9"/>
      <c r="L35" s="4" t="b">
        <f>K35&gt;=J35&gt;=I35</f>
        <v>1</v>
      </c>
      <c r="M35" s="4">
        <f>YEAR(I35)</f>
        <v>2017</v>
      </c>
      <c r="N35" s="4">
        <f>O35-M35</f>
        <v>0</v>
      </c>
      <c r="O35" s="5">
        <f>F35</f>
        <v>2017</v>
      </c>
      <c r="Q35" s="10" t="str">
        <f>B35</f>
        <v>C7365</v>
      </c>
      <c r="R35" s="4" t="str">
        <f>C35</f>
        <v>Fire Domestic</v>
      </c>
      <c r="S35" s="4" t="str">
        <f>R35</f>
        <v>Fire Domestic</v>
      </c>
      <c r="T35" s="5">
        <f>M35</f>
        <v>2017</v>
      </c>
      <c r="U35" s="9"/>
      <c r="V35" s="5">
        <f>O35</f>
        <v>2017</v>
      </c>
      <c r="W35" s="8">
        <f>G35</f>
        <v>129038</v>
      </c>
      <c r="X35" s="5">
        <f>V35-T35</f>
        <v>0</v>
      </c>
    </row>
    <row r="36" spans="2:24" ht="14.4" x14ac:dyDescent="0.3">
      <c r="B36" t="s">
        <v>97</v>
      </c>
      <c r="C36" t="s">
        <v>0</v>
      </c>
      <c r="D36" s="11">
        <v>42863</v>
      </c>
      <c r="E36" s="11"/>
      <c r="F36">
        <v>2017</v>
      </c>
      <c r="G36" s="3">
        <v>123043</v>
      </c>
      <c r="H36" s="4" t="str">
        <f>IF(OR(B36="",C36="",D36="",F36="",G36=""),"check","ok")</f>
        <v>ok</v>
      </c>
      <c r="I36" s="9">
        <f>D36+0</f>
        <v>42863</v>
      </c>
      <c r="J36" s="9"/>
      <c r="K36" s="9"/>
      <c r="L36" s="4" t="b">
        <f>K36&gt;=J36&gt;=I36</f>
        <v>1</v>
      </c>
      <c r="M36" s="4">
        <f>YEAR(I36)</f>
        <v>2017</v>
      </c>
      <c r="N36" s="4">
        <f>O36-M36</f>
        <v>0</v>
      </c>
      <c r="O36" s="5">
        <f>F36</f>
        <v>2017</v>
      </c>
      <c r="Q36" s="10" t="str">
        <f>B36</f>
        <v>C3848</v>
      </c>
      <c r="R36" s="4" t="str">
        <f>C36</f>
        <v>Fire Domestic</v>
      </c>
      <c r="S36" s="4" t="str">
        <f>R36</f>
        <v>Fire Domestic</v>
      </c>
      <c r="T36" s="5">
        <f>M36</f>
        <v>2017</v>
      </c>
      <c r="U36" s="9"/>
      <c r="V36" s="5">
        <f>O36</f>
        <v>2017</v>
      </c>
      <c r="W36" s="8">
        <f>G36</f>
        <v>123043</v>
      </c>
      <c r="X36" s="5">
        <f>V36-T36</f>
        <v>0</v>
      </c>
    </row>
    <row r="37" spans="2:24" ht="14.4" x14ac:dyDescent="0.3">
      <c r="B37" t="s">
        <v>98</v>
      </c>
      <c r="C37" t="s">
        <v>0</v>
      </c>
      <c r="D37" s="11">
        <v>42863</v>
      </c>
      <c r="E37" s="11"/>
      <c r="F37">
        <v>2017</v>
      </c>
      <c r="G37" s="3">
        <v>330944</v>
      </c>
      <c r="H37" s="4" t="str">
        <f>IF(OR(B37="",C37="",D37="",F37="",G37=""),"check","ok")</f>
        <v>ok</v>
      </c>
      <c r="I37" s="9">
        <f>D37+0</f>
        <v>42863</v>
      </c>
      <c r="J37" s="9"/>
      <c r="K37" s="9"/>
      <c r="L37" s="4" t="b">
        <f>K37&gt;=J37&gt;=I37</f>
        <v>1</v>
      </c>
      <c r="M37" s="4">
        <f>YEAR(I37)</f>
        <v>2017</v>
      </c>
      <c r="N37" s="4">
        <f>O37-M37</f>
        <v>0</v>
      </c>
      <c r="O37" s="5">
        <f>F37</f>
        <v>2017</v>
      </c>
      <c r="Q37" s="10" t="str">
        <f>B37</f>
        <v>C3261</v>
      </c>
      <c r="R37" s="4" t="str">
        <f>C37</f>
        <v>Fire Domestic</v>
      </c>
      <c r="S37" s="4" t="str">
        <f>R37</f>
        <v>Fire Domestic</v>
      </c>
      <c r="T37" s="5">
        <f>M37</f>
        <v>2017</v>
      </c>
      <c r="U37" s="9"/>
      <c r="V37" s="5">
        <f>O37</f>
        <v>2017</v>
      </c>
      <c r="W37" s="8">
        <f>G37</f>
        <v>330944</v>
      </c>
      <c r="X37" s="5">
        <f>V37-T37</f>
        <v>0</v>
      </c>
    </row>
    <row r="38" spans="2:24" ht="14.4" x14ac:dyDescent="0.3">
      <c r="B38" t="s">
        <v>99</v>
      </c>
      <c r="C38" t="s">
        <v>0</v>
      </c>
      <c r="D38" s="11">
        <v>43191</v>
      </c>
      <c r="E38" s="11"/>
      <c r="F38">
        <v>2018</v>
      </c>
      <c r="G38" s="3">
        <v>644011</v>
      </c>
      <c r="H38" s="4" t="str">
        <f>IF(OR(B38="",C38="",D38="",F38="",G38=""),"check","ok")</f>
        <v>ok</v>
      </c>
      <c r="I38" s="9">
        <f>D38+0</f>
        <v>43191</v>
      </c>
      <c r="J38" s="9"/>
      <c r="K38" s="9"/>
      <c r="L38" s="4" t="b">
        <f>K38&gt;=J38&gt;=I38</f>
        <v>1</v>
      </c>
      <c r="M38" s="4">
        <f>YEAR(I38)</f>
        <v>2018</v>
      </c>
      <c r="N38" s="4">
        <f>O38-M38</f>
        <v>0</v>
      </c>
      <c r="O38" s="5">
        <f>F38</f>
        <v>2018</v>
      </c>
      <c r="Q38" s="10" t="str">
        <f>B38</f>
        <v>C4563</v>
      </c>
      <c r="R38" s="4" t="str">
        <f>C38</f>
        <v>Fire Domestic</v>
      </c>
      <c r="S38" s="4" t="str">
        <f>R38</f>
        <v>Fire Domestic</v>
      </c>
      <c r="T38" s="5">
        <f>M38</f>
        <v>2018</v>
      </c>
      <c r="U38" s="9"/>
      <c r="V38" s="5">
        <f>O38</f>
        <v>2018</v>
      </c>
      <c r="W38" s="8">
        <f>G38</f>
        <v>644011</v>
      </c>
      <c r="X38" s="5">
        <f>V38-T38</f>
        <v>0</v>
      </c>
    </row>
    <row r="39" spans="2:24" ht="14.4" x14ac:dyDescent="0.3">
      <c r="B39" t="s">
        <v>100</v>
      </c>
      <c r="C39" t="s">
        <v>0</v>
      </c>
      <c r="D39" s="11">
        <v>43347</v>
      </c>
      <c r="E39" s="11"/>
      <c r="F39">
        <v>2018</v>
      </c>
      <c r="G39" s="3">
        <v>543912</v>
      </c>
      <c r="H39" s="4" t="str">
        <f>IF(OR(B39="",C39="",D39="",F39="",G39=""),"check","ok")</f>
        <v>ok</v>
      </c>
      <c r="I39" s="9">
        <f>D39+0</f>
        <v>43347</v>
      </c>
      <c r="J39" s="9"/>
      <c r="K39" s="9"/>
      <c r="L39" s="4" t="b">
        <f>K39&gt;=J39&gt;=I39</f>
        <v>1</v>
      </c>
      <c r="M39" s="4">
        <f>YEAR(I39)</f>
        <v>2018</v>
      </c>
      <c r="N39" s="4">
        <f>O39-M39</f>
        <v>0</v>
      </c>
      <c r="O39" s="5">
        <f>F39</f>
        <v>2018</v>
      </c>
      <c r="Q39" s="10" t="str">
        <f>B39</f>
        <v>C2667</v>
      </c>
      <c r="R39" s="4" t="str">
        <f>C39</f>
        <v>Fire Domestic</v>
      </c>
      <c r="S39" s="4" t="str">
        <f>R39</f>
        <v>Fire Domestic</v>
      </c>
      <c r="T39" s="5">
        <f>M39</f>
        <v>2018</v>
      </c>
      <c r="U39" s="9"/>
      <c r="V39" s="5">
        <f>O39</f>
        <v>2018</v>
      </c>
      <c r="W39" s="8">
        <f>G39</f>
        <v>543912</v>
      </c>
      <c r="X39" s="5">
        <f>V39-T39</f>
        <v>0</v>
      </c>
    </row>
    <row r="40" spans="2:24" ht="14.4" x14ac:dyDescent="0.3">
      <c r="B40" t="s">
        <v>101</v>
      </c>
      <c r="C40" t="s">
        <v>0</v>
      </c>
      <c r="D40" s="11">
        <v>43343</v>
      </c>
      <c r="E40" s="11"/>
      <c r="F40">
        <v>2018</v>
      </c>
      <c r="G40" s="3">
        <v>101984</v>
      </c>
      <c r="H40" s="4" t="str">
        <f>IF(OR(B40="",C40="",D40="",F40="",G40=""),"check","ok")</f>
        <v>ok</v>
      </c>
      <c r="I40" s="9">
        <f>D40+0</f>
        <v>43343</v>
      </c>
      <c r="J40" s="9"/>
      <c r="K40" s="9"/>
      <c r="L40" s="4" t="b">
        <f>K40&gt;=J40&gt;=I40</f>
        <v>1</v>
      </c>
      <c r="M40" s="4">
        <f>YEAR(I40)</f>
        <v>2018</v>
      </c>
      <c r="N40" s="4">
        <f>O40-M40</f>
        <v>0</v>
      </c>
      <c r="O40" s="5">
        <f>F40</f>
        <v>2018</v>
      </c>
      <c r="Q40" s="10" t="str">
        <f>B40</f>
        <v>C3711</v>
      </c>
      <c r="R40" s="4" t="str">
        <f>C40</f>
        <v>Fire Domestic</v>
      </c>
      <c r="S40" s="4" t="str">
        <f>R40</f>
        <v>Fire Domestic</v>
      </c>
      <c r="T40" s="5">
        <f>M40</f>
        <v>2018</v>
      </c>
      <c r="U40" s="9"/>
      <c r="V40" s="5">
        <f>O40</f>
        <v>2018</v>
      </c>
      <c r="W40" s="8">
        <f>G40</f>
        <v>101984</v>
      </c>
      <c r="X40" s="5">
        <f>V40-T40</f>
        <v>0</v>
      </c>
    </row>
    <row r="41" spans="2:24" ht="14.4" x14ac:dyDescent="0.3">
      <c r="B41" t="s">
        <v>102</v>
      </c>
      <c r="C41" t="s">
        <v>0</v>
      </c>
      <c r="D41" s="11">
        <v>43354</v>
      </c>
      <c r="E41" s="11"/>
      <c r="F41">
        <v>2018</v>
      </c>
      <c r="G41" s="3">
        <v>561370</v>
      </c>
      <c r="H41" s="4" t="str">
        <f>IF(OR(B41="",C41="",D41="",F41="",G41=""),"check","ok")</f>
        <v>ok</v>
      </c>
      <c r="I41" s="9">
        <f>D41+0</f>
        <v>43354</v>
      </c>
      <c r="J41" s="9"/>
      <c r="K41" s="9"/>
      <c r="L41" s="4" t="b">
        <f>K41&gt;=J41&gt;=I41</f>
        <v>1</v>
      </c>
      <c r="M41" s="4">
        <f>YEAR(I41)</f>
        <v>2018</v>
      </c>
      <c r="N41" s="4">
        <f>O41-M41</f>
        <v>0</v>
      </c>
      <c r="O41" s="5">
        <f>F41</f>
        <v>2018</v>
      </c>
      <c r="Q41" s="10" t="str">
        <f>B41</f>
        <v>C4073</v>
      </c>
      <c r="R41" s="4" t="str">
        <f>C41</f>
        <v>Fire Domestic</v>
      </c>
      <c r="S41" s="4" t="str">
        <f>R41</f>
        <v>Fire Domestic</v>
      </c>
      <c r="T41" s="5">
        <f>M41</f>
        <v>2018</v>
      </c>
      <c r="U41" s="9"/>
      <c r="V41" s="5">
        <f>O41</f>
        <v>2018</v>
      </c>
      <c r="W41" s="8">
        <f>G41</f>
        <v>561370</v>
      </c>
      <c r="X41" s="5">
        <f>V41-T41</f>
        <v>0</v>
      </c>
    </row>
    <row r="42" spans="2:24" ht="14.4" x14ac:dyDescent="0.3">
      <c r="B42" t="s">
        <v>103</v>
      </c>
      <c r="C42" t="s">
        <v>0</v>
      </c>
      <c r="D42" s="11">
        <v>42978</v>
      </c>
      <c r="E42" s="11"/>
      <c r="F42">
        <v>2018</v>
      </c>
      <c r="G42" s="3">
        <v>187840</v>
      </c>
      <c r="H42" s="4" t="str">
        <f>IF(OR(B42="",C42="",D42="",F42="",G42=""),"check","ok")</f>
        <v>ok</v>
      </c>
      <c r="I42" s="9">
        <f>D42+0</f>
        <v>42978</v>
      </c>
      <c r="J42" s="9"/>
      <c r="K42" s="9"/>
      <c r="L42" s="4" t="b">
        <f>K42&gt;=J42&gt;=I42</f>
        <v>1</v>
      </c>
      <c r="M42" s="4">
        <f>YEAR(I42)</f>
        <v>2017</v>
      </c>
      <c r="N42" s="4">
        <f>O42-M42</f>
        <v>1</v>
      </c>
      <c r="O42" s="5">
        <f>F42</f>
        <v>2018</v>
      </c>
      <c r="Q42" s="10" t="str">
        <f>B42</f>
        <v>C9162</v>
      </c>
      <c r="R42" s="4" t="str">
        <f>C42</f>
        <v>Fire Domestic</v>
      </c>
      <c r="S42" s="4" t="str">
        <f>R42</f>
        <v>Fire Domestic</v>
      </c>
      <c r="T42" s="5">
        <f>M42</f>
        <v>2017</v>
      </c>
      <c r="U42" s="9"/>
      <c r="V42" s="5">
        <f>O42</f>
        <v>2018</v>
      </c>
      <c r="W42" s="8">
        <f>G42</f>
        <v>187840</v>
      </c>
      <c r="X42" s="5">
        <f>V42-T42</f>
        <v>1</v>
      </c>
    </row>
    <row r="43" spans="2:24" ht="14.4" customHeight="1" x14ac:dyDescent="0.3">
      <c r="B43" t="s">
        <v>104</v>
      </c>
      <c r="C43" s="71" t="s">
        <v>0</v>
      </c>
      <c r="D43" s="72">
        <v>43117</v>
      </c>
      <c r="E43" s="72"/>
      <c r="F43" s="71">
        <v>2018</v>
      </c>
      <c r="G43" s="3">
        <v>19832</v>
      </c>
      <c r="H43" s="4" t="str">
        <f>IF(OR(B43="",C43="",D43="",F43="",G43=""),"check","ok")</f>
        <v>ok</v>
      </c>
      <c r="I43" s="9">
        <f>D43+0</f>
        <v>43117</v>
      </c>
      <c r="J43" s="9"/>
      <c r="K43" s="9"/>
      <c r="L43" s="4" t="b">
        <f>K43&gt;=J43&gt;=I43</f>
        <v>1</v>
      </c>
      <c r="M43" s="4">
        <f>YEAR(I43)</f>
        <v>2018</v>
      </c>
      <c r="N43" s="4">
        <f>O43-M43</f>
        <v>0</v>
      </c>
      <c r="O43" s="5">
        <f>F43</f>
        <v>2018</v>
      </c>
      <c r="Q43" s="10" t="str">
        <f>B43</f>
        <v>C4996</v>
      </c>
      <c r="R43" s="4" t="str">
        <f>C43</f>
        <v>Fire Domestic</v>
      </c>
      <c r="S43" s="4" t="str">
        <f>R43</f>
        <v>Fire Domestic</v>
      </c>
      <c r="T43" s="5">
        <f>M43</f>
        <v>2018</v>
      </c>
      <c r="U43" s="9"/>
      <c r="V43" s="5">
        <f>O43</f>
        <v>2018</v>
      </c>
      <c r="W43" s="8">
        <f>G43</f>
        <v>19832</v>
      </c>
      <c r="X43" s="5">
        <f>V43-T43</f>
        <v>0</v>
      </c>
    </row>
    <row r="44" spans="2:24" ht="14.4" customHeight="1" x14ac:dyDescent="0.3">
      <c r="B44" t="s">
        <v>105</v>
      </c>
      <c r="C44" s="71" t="s">
        <v>0</v>
      </c>
      <c r="D44" s="72">
        <v>43117</v>
      </c>
      <c r="E44" s="72"/>
      <c r="F44" s="71">
        <v>2018</v>
      </c>
      <c r="G44" s="3">
        <v>38790</v>
      </c>
      <c r="H44" s="4" t="str">
        <f>IF(OR(B44="",C44="",D44="",F44="",G44=""),"check","ok")</f>
        <v>ok</v>
      </c>
      <c r="I44" s="9">
        <f>D44+0</f>
        <v>43117</v>
      </c>
      <c r="J44" s="9"/>
      <c r="K44" s="9"/>
      <c r="L44" s="4" t="b">
        <f>K44&gt;=J44&gt;=I44</f>
        <v>1</v>
      </c>
      <c r="M44" s="4">
        <f>YEAR(I44)</f>
        <v>2018</v>
      </c>
      <c r="N44" s="4">
        <f>O44-M44</f>
        <v>0</v>
      </c>
      <c r="O44" s="5">
        <f>F44</f>
        <v>2018</v>
      </c>
      <c r="Q44" s="10" t="str">
        <f>B44</f>
        <v>C6183</v>
      </c>
      <c r="R44" s="4" t="str">
        <f>C44</f>
        <v>Fire Domestic</v>
      </c>
      <c r="S44" s="4" t="str">
        <f>R44</f>
        <v>Fire Domestic</v>
      </c>
      <c r="T44" s="5">
        <f>M44</f>
        <v>2018</v>
      </c>
      <c r="U44" s="9"/>
      <c r="V44" s="5">
        <f>O44</f>
        <v>2018</v>
      </c>
      <c r="W44" s="8">
        <f>G44</f>
        <v>38790</v>
      </c>
      <c r="X44" s="5">
        <f>V44-T44</f>
        <v>0</v>
      </c>
    </row>
    <row r="45" spans="2:24" ht="14.4" customHeight="1" x14ac:dyDescent="0.3">
      <c r="B45" t="s">
        <v>106</v>
      </c>
      <c r="C45" s="71" t="s">
        <v>0</v>
      </c>
      <c r="D45" s="72">
        <v>43341</v>
      </c>
      <c r="E45" s="72"/>
      <c r="F45" s="71">
        <v>2019</v>
      </c>
      <c r="G45" s="3">
        <v>740580</v>
      </c>
      <c r="H45" s="4" t="str">
        <f>IF(OR(B45="",C45="",D45="",F45="",G45=""),"check","ok")</f>
        <v>ok</v>
      </c>
      <c r="I45" s="9">
        <f>D45+0</f>
        <v>43341</v>
      </c>
      <c r="J45" s="9"/>
      <c r="K45" s="9"/>
      <c r="L45" s="4" t="b">
        <f>K45&gt;=J45&gt;=I45</f>
        <v>1</v>
      </c>
      <c r="M45" s="4">
        <f>YEAR(I45)</f>
        <v>2018</v>
      </c>
      <c r="N45" s="4">
        <f>O45-M45</f>
        <v>1</v>
      </c>
      <c r="O45" s="5">
        <f>F45</f>
        <v>2019</v>
      </c>
      <c r="Q45" s="10" t="str">
        <f>B45</f>
        <v>C9753</v>
      </c>
      <c r="R45" s="4" t="str">
        <f>C45</f>
        <v>Fire Domestic</v>
      </c>
      <c r="S45" s="4" t="str">
        <f>R45</f>
        <v>Fire Domestic</v>
      </c>
      <c r="T45" s="5">
        <f>M45</f>
        <v>2018</v>
      </c>
      <c r="U45" s="9"/>
      <c r="V45" s="5">
        <f>O45</f>
        <v>2019</v>
      </c>
      <c r="W45" s="8">
        <f>G45</f>
        <v>740580</v>
      </c>
      <c r="X45" s="5">
        <f>V45-T45</f>
        <v>1</v>
      </c>
    </row>
    <row r="46" spans="2:24" ht="14.4" customHeight="1" x14ac:dyDescent="0.3">
      <c r="B46" t="s">
        <v>107</v>
      </c>
      <c r="C46" s="71" t="s">
        <v>0</v>
      </c>
      <c r="D46" s="72">
        <v>43341</v>
      </c>
      <c r="E46" s="72"/>
      <c r="F46" s="71">
        <v>2019</v>
      </c>
      <c r="G46" s="3">
        <v>13407</v>
      </c>
      <c r="H46" s="4" t="str">
        <f>IF(OR(B46="",C46="",D46="",F46="",G46=""),"check","ok")</f>
        <v>ok</v>
      </c>
      <c r="I46" s="9">
        <f>D46+0</f>
        <v>43341</v>
      </c>
      <c r="J46" s="9"/>
      <c r="K46" s="9"/>
      <c r="L46" s="4" t="b">
        <f>K46&gt;=J46&gt;=I46</f>
        <v>1</v>
      </c>
      <c r="M46" s="4">
        <f>YEAR(I46)</f>
        <v>2018</v>
      </c>
      <c r="N46" s="4">
        <f>O46-M46</f>
        <v>1</v>
      </c>
      <c r="O46" s="5">
        <f>F46</f>
        <v>2019</v>
      </c>
      <c r="Q46" s="10" t="str">
        <f>B46</f>
        <v>C1295</v>
      </c>
      <c r="R46" s="4" t="str">
        <f>C46</f>
        <v>Fire Domestic</v>
      </c>
      <c r="S46" s="4" t="str">
        <f>R46</f>
        <v>Fire Domestic</v>
      </c>
      <c r="T46" s="5">
        <f>M46</f>
        <v>2018</v>
      </c>
      <c r="U46" s="9"/>
      <c r="V46" s="5">
        <f>O46</f>
        <v>2019</v>
      </c>
      <c r="W46" s="8">
        <f>G46</f>
        <v>13407</v>
      </c>
      <c r="X46" s="5">
        <f>V46-T46</f>
        <v>1</v>
      </c>
    </row>
    <row r="47" spans="2:24" ht="14.4" customHeight="1" x14ac:dyDescent="0.3">
      <c r="B47" t="s">
        <v>108</v>
      </c>
      <c r="C47" s="71" t="s">
        <v>0</v>
      </c>
      <c r="D47" s="72">
        <v>43772</v>
      </c>
      <c r="E47" s="72"/>
      <c r="F47" s="71">
        <v>2019</v>
      </c>
      <c r="G47" s="3">
        <v>585343</v>
      </c>
      <c r="H47" s="4" t="str">
        <f>IF(OR(B47="",C47="",D47="",F47="",G47=""),"check","ok")</f>
        <v>ok</v>
      </c>
      <c r="I47" s="9">
        <f>D47+0</f>
        <v>43772</v>
      </c>
      <c r="J47" s="9"/>
      <c r="K47" s="9"/>
      <c r="L47" s="4" t="b">
        <f>K47&gt;=J47&gt;=I47</f>
        <v>1</v>
      </c>
      <c r="M47" s="4">
        <f>YEAR(I47)</f>
        <v>2019</v>
      </c>
      <c r="N47" s="4">
        <f>O47-M47</f>
        <v>0</v>
      </c>
      <c r="O47" s="5">
        <f>F47</f>
        <v>2019</v>
      </c>
      <c r="Q47" s="10" t="str">
        <f>B47</f>
        <v>C7132</v>
      </c>
      <c r="R47" s="4" t="str">
        <f>C47</f>
        <v>Fire Domestic</v>
      </c>
      <c r="S47" s="4" t="str">
        <f>R47</f>
        <v>Fire Domestic</v>
      </c>
      <c r="T47" s="5">
        <f>M47</f>
        <v>2019</v>
      </c>
      <c r="U47" s="9"/>
      <c r="V47" s="5">
        <f>O47</f>
        <v>2019</v>
      </c>
      <c r="W47" s="8">
        <f>G47</f>
        <v>585343</v>
      </c>
      <c r="X47" s="5">
        <f>V47-T47</f>
        <v>0</v>
      </c>
    </row>
    <row r="48" spans="2:24" ht="14.4" customHeight="1" x14ac:dyDescent="0.3">
      <c r="B48" t="s">
        <v>109</v>
      </c>
      <c r="C48" s="71" t="s">
        <v>0</v>
      </c>
      <c r="D48" s="72">
        <v>43710</v>
      </c>
      <c r="E48" s="72"/>
      <c r="F48" s="71">
        <v>2019</v>
      </c>
      <c r="G48" s="3">
        <v>706180</v>
      </c>
      <c r="H48" s="4" t="str">
        <f>IF(OR(B48="",C48="",D48="",F48="",G48=""),"check","ok")</f>
        <v>ok</v>
      </c>
      <c r="I48" s="9">
        <f>D48+0</f>
        <v>43710</v>
      </c>
      <c r="J48" s="9"/>
      <c r="K48" s="9"/>
      <c r="L48" s="4" t="b">
        <f>K48&gt;=J48&gt;=I48</f>
        <v>1</v>
      </c>
      <c r="M48" s="4">
        <f>YEAR(I48)</f>
        <v>2019</v>
      </c>
      <c r="N48" s="4">
        <f>O48-M48</f>
        <v>0</v>
      </c>
      <c r="O48" s="5">
        <f>F48</f>
        <v>2019</v>
      </c>
      <c r="Q48" s="10" t="str">
        <f>B48</f>
        <v>C4233</v>
      </c>
      <c r="R48" s="4" t="str">
        <f>C48</f>
        <v>Fire Domestic</v>
      </c>
      <c r="S48" s="4" t="str">
        <f>R48</f>
        <v>Fire Domestic</v>
      </c>
      <c r="T48" s="5">
        <f>M48</f>
        <v>2019</v>
      </c>
      <c r="U48" s="9"/>
      <c r="V48" s="5">
        <f>O48</f>
        <v>2019</v>
      </c>
      <c r="W48" s="8">
        <f>G48</f>
        <v>706180</v>
      </c>
      <c r="X48" s="5">
        <f>V48-T48</f>
        <v>0</v>
      </c>
    </row>
    <row r="49" spans="2:24" ht="14.4" customHeight="1" x14ac:dyDescent="0.3">
      <c r="B49" t="s">
        <v>110</v>
      </c>
      <c r="C49" s="71" t="s">
        <v>0</v>
      </c>
      <c r="D49" s="72">
        <v>43772</v>
      </c>
      <c r="E49" s="72"/>
      <c r="F49" s="71">
        <v>2019</v>
      </c>
      <c r="G49" s="3">
        <v>549696</v>
      </c>
      <c r="H49" s="4" t="str">
        <f>IF(OR(B49="",C49="",D49="",F49="",G49=""),"check","ok")</f>
        <v>ok</v>
      </c>
      <c r="I49" s="9">
        <f>D49+0</f>
        <v>43772</v>
      </c>
      <c r="J49" s="9"/>
      <c r="K49" s="9"/>
      <c r="L49" s="4" t="b">
        <f>K49&gt;=J49&gt;=I49</f>
        <v>1</v>
      </c>
      <c r="M49" s="4">
        <f>YEAR(I49)</f>
        <v>2019</v>
      </c>
      <c r="N49" s="4">
        <f>O49-M49</f>
        <v>0</v>
      </c>
      <c r="O49" s="5">
        <f>F49</f>
        <v>2019</v>
      </c>
      <c r="Q49" s="10" t="str">
        <f>B49</f>
        <v>C6286</v>
      </c>
      <c r="R49" s="4" t="str">
        <f>C49</f>
        <v>Fire Domestic</v>
      </c>
      <c r="S49" s="4" t="str">
        <f>R49</f>
        <v>Fire Domestic</v>
      </c>
      <c r="T49" s="5">
        <f>M49</f>
        <v>2019</v>
      </c>
      <c r="U49" s="9"/>
      <c r="V49" s="5">
        <f>O49</f>
        <v>2019</v>
      </c>
      <c r="W49" s="8">
        <f>G49</f>
        <v>549696</v>
      </c>
      <c r="X49" s="5">
        <f>V49-T49</f>
        <v>0</v>
      </c>
    </row>
    <row r="50" spans="2:24" ht="14.4" customHeight="1" x14ac:dyDescent="0.3">
      <c r="B50" t="s">
        <v>111</v>
      </c>
      <c r="C50" s="71" t="s">
        <v>0</v>
      </c>
      <c r="D50" s="72">
        <v>43686</v>
      </c>
      <c r="E50" s="72"/>
      <c r="F50" s="71">
        <v>2020</v>
      </c>
      <c r="G50" s="3">
        <v>632118</v>
      </c>
      <c r="H50" s="4" t="str">
        <f>IF(OR(B50="",C50="",D50="",F50="",G50=""),"check","ok")</f>
        <v>ok</v>
      </c>
      <c r="I50" s="9">
        <f>D50+0</f>
        <v>43686</v>
      </c>
      <c r="J50" s="9"/>
      <c r="K50" s="9"/>
      <c r="L50" s="4" t="b">
        <f>K50&gt;=J50&gt;=I50</f>
        <v>1</v>
      </c>
      <c r="M50" s="4">
        <f>YEAR(I50)</f>
        <v>2019</v>
      </c>
      <c r="N50" s="4">
        <f>O50-M50</f>
        <v>1</v>
      </c>
      <c r="O50" s="5">
        <f>F50</f>
        <v>2020</v>
      </c>
      <c r="Q50" s="10" t="str">
        <f>B50</f>
        <v>C3337</v>
      </c>
      <c r="R50" s="4" t="str">
        <f>C50</f>
        <v>Fire Domestic</v>
      </c>
      <c r="S50" s="4" t="str">
        <f>R50</f>
        <v>Fire Domestic</v>
      </c>
      <c r="T50" s="5">
        <f>M50</f>
        <v>2019</v>
      </c>
      <c r="U50" s="9"/>
      <c r="V50" s="5">
        <f>O50</f>
        <v>2020</v>
      </c>
      <c r="W50" s="8">
        <f>G50</f>
        <v>632118</v>
      </c>
      <c r="X50" s="5">
        <f>V50-T50</f>
        <v>1</v>
      </c>
    </row>
    <row r="51" spans="2:24" ht="14.4" customHeight="1" x14ac:dyDescent="0.3">
      <c r="B51" t="s">
        <v>112</v>
      </c>
      <c r="C51" s="71" t="s">
        <v>0</v>
      </c>
      <c r="D51" s="72">
        <v>43930</v>
      </c>
      <c r="E51" s="72"/>
      <c r="F51" s="71">
        <v>2020</v>
      </c>
      <c r="G51" s="3">
        <v>952981</v>
      </c>
      <c r="H51" s="4" t="str">
        <f>IF(OR(B51="",C51="",D51="",F51="",G51=""),"check","ok")</f>
        <v>ok</v>
      </c>
      <c r="I51" s="9">
        <f>D51+0</f>
        <v>43930</v>
      </c>
      <c r="J51" s="9"/>
      <c r="K51" s="9"/>
      <c r="L51" s="4" t="b">
        <f>K51&gt;=J51&gt;=I51</f>
        <v>1</v>
      </c>
      <c r="M51" s="4">
        <f>YEAR(I51)</f>
        <v>2020</v>
      </c>
      <c r="N51" s="4">
        <f>O51-M51</f>
        <v>0</v>
      </c>
      <c r="O51" s="5">
        <f>F51</f>
        <v>2020</v>
      </c>
      <c r="Q51" s="10" t="str">
        <f>B51</f>
        <v>C2611</v>
      </c>
      <c r="R51" s="4" t="str">
        <f>C51</f>
        <v>Fire Domestic</v>
      </c>
      <c r="S51" s="4" t="str">
        <f>R51</f>
        <v>Fire Domestic</v>
      </c>
      <c r="T51" s="5">
        <f>M51</f>
        <v>2020</v>
      </c>
      <c r="U51" s="9"/>
      <c r="V51" s="5">
        <f>O51</f>
        <v>2020</v>
      </c>
      <c r="W51" s="8">
        <f>G51</f>
        <v>952981</v>
      </c>
      <c r="X51" s="5">
        <f>V51-T51</f>
        <v>0</v>
      </c>
    </row>
    <row r="52" spans="2:24" ht="14.4" customHeight="1" x14ac:dyDescent="0.3">
      <c r="B52" t="s">
        <v>113</v>
      </c>
      <c r="C52" s="71" t="s">
        <v>0</v>
      </c>
      <c r="D52" s="72">
        <v>44512</v>
      </c>
      <c r="E52" s="72"/>
      <c r="F52" s="71">
        <v>2022</v>
      </c>
      <c r="G52" s="3">
        <v>283309</v>
      </c>
      <c r="H52" s="4" t="str">
        <f>IF(OR(B52="",C52="",D52="",F52="",G52=""),"check","ok")</f>
        <v>ok</v>
      </c>
      <c r="I52" s="9">
        <f>D52+0</f>
        <v>44512</v>
      </c>
      <c r="J52" s="9"/>
      <c r="K52" s="9"/>
      <c r="L52" s="4" t="b">
        <f>K52&gt;=J52&gt;=I52</f>
        <v>1</v>
      </c>
      <c r="M52" s="4">
        <f>YEAR(I52)</f>
        <v>2021</v>
      </c>
      <c r="N52" s="4">
        <f>O52-M52</f>
        <v>1</v>
      </c>
      <c r="O52" s="5">
        <f>F52</f>
        <v>2022</v>
      </c>
      <c r="Q52" s="10" t="str">
        <f>B52</f>
        <v>C2159</v>
      </c>
      <c r="R52" s="4" t="str">
        <f>C52</f>
        <v>Fire Domestic</v>
      </c>
      <c r="S52" s="4" t="str">
        <f>R52</f>
        <v>Fire Domestic</v>
      </c>
      <c r="T52" s="5">
        <f>M52</f>
        <v>2021</v>
      </c>
      <c r="U52" s="9"/>
      <c r="V52" s="5">
        <f>O52</f>
        <v>2022</v>
      </c>
      <c r="W52" s="8">
        <f>G52</f>
        <v>283309</v>
      </c>
      <c r="X52" s="5">
        <f>V52-T52</f>
        <v>1</v>
      </c>
    </row>
    <row r="53" spans="2:24" ht="14.4" customHeight="1" x14ac:dyDescent="0.3">
      <c r="B53" t="s">
        <v>114</v>
      </c>
      <c r="C53" s="71" t="s">
        <v>0</v>
      </c>
      <c r="D53" s="72">
        <v>44633</v>
      </c>
      <c r="E53" s="72"/>
      <c r="F53" s="71">
        <v>2022</v>
      </c>
      <c r="G53" s="3">
        <v>771281</v>
      </c>
      <c r="H53" s="4" t="str">
        <f>IF(OR(B53="",C53="",D53="",F53="",G53=""),"check","ok")</f>
        <v>ok</v>
      </c>
      <c r="I53" s="9">
        <f>D53+0</f>
        <v>44633</v>
      </c>
      <c r="J53" s="9"/>
      <c r="K53" s="9"/>
      <c r="L53" s="4" t="b">
        <f>K53&gt;=J53&gt;=I53</f>
        <v>1</v>
      </c>
      <c r="M53" s="4">
        <f>YEAR(I53)</f>
        <v>2022</v>
      </c>
      <c r="N53" s="4">
        <f>O53-M53</f>
        <v>0</v>
      </c>
      <c r="O53" s="5">
        <f>F53</f>
        <v>2022</v>
      </c>
      <c r="Q53" s="10" t="str">
        <f>B53</f>
        <v>C3712</v>
      </c>
      <c r="R53" s="4" t="str">
        <f>C53</f>
        <v>Fire Domestic</v>
      </c>
      <c r="S53" s="4" t="str">
        <f>R53</f>
        <v>Fire Domestic</v>
      </c>
      <c r="T53" s="5">
        <f>M53</f>
        <v>2022</v>
      </c>
      <c r="U53" s="9"/>
      <c r="V53" s="5">
        <f>O53</f>
        <v>2022</v>
      </c>
      <c r="W53" s="8">
        <f>G53</f>
        <v>771281</v>
      </c>
      <c r="X53" s="5">
        <f>V53-T53</f>
        <v>0</v>
      </c>
    </row>
    <row r="54" spans="2:24" ht="14.4" customHeight="1" x14ac:dyDescent="0.3">
      <c r="B54" t="s">
        <v>115</v>
      </c>
      <c r="C54" s="71" t="s">
        <v>0</v>
      </c>
      <c r="D54" s="72">
        <v>44512</v>
      </c>
      <c r="E54" s="72"/>
      <c r="F54" s="71">
        <v>2022</v>
      </c>
      <c r="G54" s="3">
        <v>451022</v>
      </c>
      <c r="H54" s="4" t="str">
        <f>IF(OR(B54="",C54="",D54="",F54="",G54=""),"check","ok")</f>
        <v>ok</v>
      </c>
      <c r="I54" s="9">
        <f>D54+0</f>
        <v>44512</v>
      </c>
      <c r="J54" s="9"/>
      <c r="K54" s="9"/>
      <c r="L54" s="4" t="b">
        <f>K54&gt;=J54&gt;=I54</f>
        <v>1</v>
      </c>
      <c r="M54" s="4">
        <f>YEAR(I54)</f>
        <v>2021</v>
      </c>
      <c r="N54" s="4">
        <f>O54-M54</f>
        <v>1</v>
      </c>
      <c r="O54" s="5">
        <f>F54</f>
        <v>2022</v>
      </c>
      <c r="Q54" s="10" t="str">
        <f>B54</f>
        <v>C3895</v>
      </c>
      <c r="R54" s="4" t="str">
        <f>C54</f>
        <v>Fire Domestic</v>
      </c>
      <c r="S54" s="4" t="str">
        <f>R54</f>
        <v>Fire Domestic</v>
      </c>
      <c r="T54" s="5">
        <f>M54</f>
        <v>2021</v>
      </c>
      <c r="U54" s="9"/>
      <c r="V54" s="5">
        <f>O54</f>
        <v>2022</v>
      </c>
      <c r="W54" s="8">
        <f>G54</f>
        <v>451022</v>
      </c>
      <c r="X54" s="5">
        <f>V54-T54</f>
        <v>1</v>
      </c>
    </row>
    <row r="55" spans="2:24" ht="14.4" customHeight="1" x14ac:dyDescent="0.3">
      <c r="B55" t="s">
        <v>116</v>
      </c>
      <c r="C55" s="71" t="s">
        <v>0</v>
      </c>
      <c r="D55" s="72">
        <v>43939</v>
      </c>
      <c r="E55" s="72"/>
      <c r="F55" s="71">
        <v>2021</v>
      </c>
      <c r="G55" s="3">
        <v>545013</v>
      </c>
      <c r="H55" s="4" t="str">
        <f>IF(OR(B55="",C55="",D55="",F55="",G55=""),"check","ok")</f>
        <v>ok</v>
      </c>
      <c r="I55" s="9">
        <f>D55+0</f>
        <v>43939</v>
      </c>
      <c r="J55" s="9"/>
      <c r="K55" s="9"/>
      <c r="L55" s="4" t="b">
        <f>K55&gt;=J55&gt;=I55</f>
        <v>1</v>
      </c>
      <c r="M55" s="4">
        <f>YEAR(I55)</f>
        <v>2020</v>
      </c>
      <c r="N55" s="4">
        <f>O55-M55</f>
        <v>1</v>
      </c>
      <c r="O55" s="5">
        <f>F55</f>
        <v>2021</v>
      </c>
      <c r="Q55" s="10" t="str">
        <f>B55</f>
        <v>C2442</v>
      </c>
      <c r="R55" s="4" t="str">
        <f>C55</f>
        <v>Fire Domestic</v>
      </c>
      <c r="S55" s="4" t="str">
        <f>R55</f>
        <v>Fire Domestic</v>
      </c>
      <c r="T55" s="5">
        <f>M55</f>
        <v>2020</v>
      </c>
      <c r="U55" s="9"/>
      <c r="V55" s="5">
        <f>O55</f>
        <v>2021</v>
      </c>
      <c r="W55" s="8">
        <f>G55</f>
        <v>545013</v>
      </c>
      <c r="X55" s="5">
        <f>V55-T55</f>
        <v>1</v>
      </c>
    </row>
    <row r="56" spans="2:24" ht="14.4" customHeight="1" x14ac:dyDescent="0.3">
      <c r="B56" t="s">
        <v>117</v>
      </c>
      <c r="C56" s="71" t="s">
        <v>0</v>
      </c>
      <c r="D56" s="72">
        <v>43182</v>
      </c>
      <c r="E56" s="72"/>
      <c r="F56" s="71">
        <v>2021</v>
      </c>
      <c r="G56" s="3">
        <v>388447</v>
      </c>
      <c r="H56" s="4" t="str">
        <f>IF(OR(B56="",C56="",D56="",F56="",G56=""),"check","ok")</f>
        <v>ok</v>
      </c>
      <c r="I56" s="9">
        <f>D56+0</f>
        <v>43182</v>
      </c>
      <c r="J56" s="9"/>
      <c r="K56" s="9"/>
      <c r="L56" s="4" t="b">
        <f>K56&gt;=J56&gt;=I56</f>
        <v>1</v>
      </c>
      <c r="M56" s="4">
        <f>YEAR(I56)</f>
        <v>2018</v>
      </c>
      <c r="N56" s="4">
        <f>O56-M56</f>
        <v>3</v>
      </c>
      <c r="O56" s="5">
        <f>F56</f>
        <v>2021</v>
      </c>
      <c r="Q56" s="10" t="str">
        <f>B56</f>
        <v>C7439</v>
      </c>
      <c r="R56" s="4" t="str">
        <f>C56</f>
        <v>Fire Domestic</v>
      </c>
      <c r="S56" s="4" t="str">
        <f>R56</f>
        <v>Fire Domestic</v>
      </c>
      <c r="T56" s="5">
        <f>M56</f>
        <v>2018</v>
      </c>
      <c r="U56" s="9"/>
      <c r="V56" s="5">
        <f>O56</f>
        <v>2021</v>
      </c>
      <c r="W56" s="8">
        <f>G56</f>
        <v>388447</v>
      </c>
      <c r="X56" s="5">
        <f>V56-T56</f>
        <v>3</v>
      </c>
    </row>
    <row r="57" spans="2:24" ht="14.4" customHeight="1" x14ac:dyDescent="0.3">
      <c r="B57" t="s">
        <v>118</v>
      </c>
      <c r="C57" s="71" t="s">
        <v>0</v>
      </c>
      <c r="D57" s="72">
        <v>44941</v>
      </c>
      <c r="E57" s="72">
        <v>44985</v>
      </c>
      <c r="F57" s="71">
        <v>2023</v>
      </c>
      <c r="G57" s="3">
        <v>656627</v>
      </c>
      <c r="H57" s="4" t="str">
        <f>IF(OR(B57="",C57="",D57="",F57="",G57=""),"check","ok")</f>
        <v>ok</v>
      </c>
      <c r="I57" s="9">
        <f>D57+0</f>
        <v>44941</v>
      </c>
      <c r="J57" s="9"/>
      <c r="K57" s="9"/>
      <c r="L57" s="4" t="b">
        <f>K57&gt;=J57&gt;=I57</f>
        <v>1</v>
      </c>
      <c r="M57" s="4">
        <f>YEAR(I57)</f>
        <v>2023</v>
      </c>
      <c r="N57" s="4">
        <f>O57-M57</f>
        <v>0</v>
      </c>
      <c r="O57" s="5">
        <f>F57</f>
        <v>2023</v>
      </c>
      <c r="Q57" s="10" t="str">
        <f>B57</f>
        <v>C3188</v>
      </c>
      <c r="R57" s="4" t="str">
        <f>C57</f>
        <v>Fire Domestic</v>
      </c>
      <c r="S57" s="4" t="str">
        <f>R57</f>
        <v>Fire Domestic</v>
      </c>
      <c r="T57" s="5">
        <f>M57</f>
        <v>2023</v>
      </c>
      <c r="U57" s="9"/>
      <c r="V57" s="5">
        <f>O57</f>
        <v>2023</v>
      </c>
      <c r="W57" s="8">
        <f>G57</f>
        <v>656627</v>
      </c>
      <c r="X57" s="5">
        <f>V57-T57</f>
        <v>0</v>
      </c>
    </row>
    <row r="58" spans="2:24" ht="14.4" customHeight="1" x14ac:dyDescent="0.3">
      <c r="B58" t="s">
        <v>119</v>
      </c>
      <c r="C58" s="71" t="s">
        <v>0</v>
      </c>
      <c r="D58" s="72">
        <v>44808</v>
      </c>
      <c r="E58" s="72">
        <v>44886</v>
      </c>
      <c r="F58" s="71">
        <v>2023</v>
      </c>
      <c r="G58" s="3">
        <v>60065</v>
      </c>
      <c r="H58" s="4" t="str">
        <f>IF(OR(B58="",C58="",D58="",F58="",G58=""),"check","ok")</f>
        <v>ok</v>
      </c>
      <c r="I58" s="9">
        <f>D58+0</f>
        <v>44808</v>
      </c>
      <c r="J58" s="9"/>
      <c r="K58" s="9"/>
      <c r="L58" s="4" t="b">
        <f>K58&gt;=J58&gt;=I58</f>
        <v>1</v>
      </c>
      <c r="M58" s="4">
        <f>YEAR(I58)</f>
        <v>2022</v>
      </c>
      <c r="N58" s="4">
        <f>O58-M58</f>
        <v>1</v>
      </c>
      <c r="O58" s="5">
        <f>F58</f>
        <v>2023</v>
      </c>
      <c r="Q58" s="10" t="str">
        <f>B58</f>
        <v>C8892</v>
      </c>
      <c r="R58" s="4" t="str">
        <f>C58</f>
        <v>Fire Domestic</v>
      </c>
      <c r="S58" s="4" t="str">
        <f>R58</f>
        <v>Fire Domestic</v>
      </c>
      <c r="T58" s="5">
        <f>M58</f>
        <v>2022</v>
      </c>
      <c r="U58" s="9"/>
      <c r="V58" s="5">
        <f>O58</f>
        <v>2023</v>
      </c>
      <c r="W58" s="8">
        <f>G58</f>
        <v>60065</v>
      </c>
      <c r="X58" s="5">
        <f>V58-T58</f>
        <v>1</v>
      </c>
    </row>
    <row r="59" spans="2:24" ht="14.4" customHeight="1" x14ac:dyDescent="0.3">
      <c r="B59" t="s">
        <v>120</v>
      </c>
      <c r="C59" s="71" t="s">
        <v>0</v>
      </c>
      <c r="D59" s="72">
        <v>45250</v>
      </c>
      <c r="E59" s="72">
        <v>45252</v>
      </c>
      <c r="F59" s="71">
        <v>2023</v>
      </c>
      <c r="G59" s="3">
        <v>995847</v>
      </c>
      <c r="H59" s="4" t="str">
        <f>IF(OR(B59="",C59="",D59="",F59="",G59=""),"check","ok")</f>
        <v>ok</v>
      </c>
      <c r="I59" s="9">
        <f>D59+0</f>
        <v>45250</v>
      </c>
      <c r="J59" s="9"/>
      <c r="K59" s="9"/>
      <c r="L59" s="4" t="b">
        <f>K59&gt;=J59&gt;=I59</f>
        <v>1</v>
      </c>
      <c r="M59" s="4">
        <f>YEAR(I59)</f>
        <v>2023</v>
      </c>
      <c r="N59" s="4">
        <f>O59-M59</f>
        <v>0</v>
      </c>
      <c r="O59" s="5">
        <f>F59</f>
        <v>2023</v>
      </c>
      <c r="Q59" s="10" t="str">
        <f>B59</f>
        <v>C8284</v>
      </c>
      <c r="R59" s="4" t="str">
        <f>C59</f>
        <v>Fire Domestic</v>
      </c>
      <c r="S59" s="4" t="str">
        <f>R59</f>
        <v>Fire Domestic</v>
      </c>
      <c r="T59" s="5">
        <f>M59</f>
        <v>2023</v>
      </c>
      <c r="U59" s="9"/>
      <c r="V59" s="5">
        <f>O59</f>
        <v>2023</v>
      </c>
      <c r="W59" s="8">
        <f>G59</f>
        <v>995847</v>
      </c>
      <c r="X59" s="5">
        <f>V59-T59</f>
        <v>0</v>
      </c>
    </row>
    <row r="60" spans="2:24" ht="14.4" customHeight="1" x14ac:dyDescent="0.3">
      <c r="B60" t="s">
        <v>121</v>
      </c>
      <c r="C60" s="71" t="s">
        <v>0</v>
      </c>
      <c r="D60" s="72">
        <v>44963</v>
      </c>
      <c r="E60" s="72">
        <v>44971</v>
      </c>
      <c r="F60" s="71">
        <v>2023</v>
      </c>
      <c r="G60" s="3">
        <v>447424</v>
      </c>
      <c r="H60" s="4" t="str">
        <f>IF(OR(B60="",C60="",D60="",F60="",G60=""),"check","ok")</f>
        <v>ok</v>
      </c>
      <c r="I60" s="9">
        <f>D60+0</f>
        <v>44963</v>
      </c>
      <c r="J60" s="9"/>
      <c r="K60" s="9"/>
      <c r="L60" s="4" t="b">
        <f>K60&gt;=J60&gt;=I60</f>
        <v>1</v>
      </c>
      <c r="M60" s="4">
        <f>YEAR(I60)</f>
        <v>2023</v>
      </c>
      <c r="N60" s="4">
        <f>O60-M60</f>
        <v>0</v>
      </c>
      <c r="O60" s="5">
        <f>F60</f>
        <v>2023</v>
      </c>
      <c r="Q60" s="10" t="str">
        <f>B60</f>
        <v>C7228</v>
      </c>
      <c r="R60" s="4" t="str">
        <f>C60</f>
        <v>Fire Domestic</v>
      </c>
      <c r="S60" s="4" t="str">
        <f>R60</f>
        <v>Fire Domestic</v>
      </c>
      <c r="T60" s="5">
        <f>M60</f>
        <v>2023</v>
      </c>
      <c r="U60" s="9"/>
      <c r="V60" s="5">
        <f>O60</f>
        <v>2023</v>
      </c>
      <c r="W60" s="8">
        <f>G60</f>
        <v>447424</v>
      </c>
      <c r="X60" s="5">
        <f>V60-T60</f>
        <v>0</v>
      </c>
    </row>
    <row r="61" spans="2:24" ht="14.4" customHeight="1" x14ac:dyDescent="0.3">
      <c r="B61" t="s">
        <v>122</v>
      </c>
      <c r="C61" s="71" t="s">
        <v>0</v>
      </c>
      <c r="D61" s="72">
        <v>45165</v>
      </c>
      <c r="E61" s="72">
        <v>45224</v>
      </c>
      <c r="F61" s="71">
        <v>2023</v>
      </c>
      <c r="G61" s="3">
        <v>214886</v>
      </c>
      <c r="H61" s="4" t="str">
        <f>IF(OR(B61="",C61="",D61="",F61="",G61=""),"check","ok")</f>
        <v>ok</v>
      </c>
      <c r="I61" s="9">
        <f>D61+0</f>
        <v>45165</v>
      </c>
      <c r="J61" s="9"/>
      <c r="K61" s="9"/>
      <c r="L61" s="4" t="b">
        <f>K61&gt;=J61&gt;=I61</f>
        <v>1</v>
      </c>
      <c r="M61" s="4">
        <f>YEAR(I61)</f>
        <v>2023</v>
      </c>
      <c r="N61" s="4">
        <f>O61-M61</f>
        <v>0</v>
      </c>
      <c r="O61" s="5">
        <f>F61</f>
        <v>2023</v>
      </c>
      <c r="Q61" s="10" t="str">
        <f>B61</f>
        <v>C8324</v>
      </c>
      <c r="R61" s="4" t="str">
        <f>C61</f>
        <v>Fire Domestic</v>
      </c>
      <c r="S61" s="4" t="str">
        <f>R61</f>
        <v>Fire Domestic</v>
      </c>
      <c r="T61" s="5">
        <f>M61</f>
        <v>2023</v>
      </c>
      <c r="U61" s="9"/>
      <c r="V61" s="5">
        <f>O61</f>
        <v>2023</v>
      </c>
      <c r="W61" s="8">
        <f>G61</f>
        <v>214886</v>
      </c>
      <c r="X61" s="5">
        <f>V61-T61</f>
        <v>0</v>
      </c>
    </row>
    <row r="62" spans="2:24" ht="14.4" customHeight="1" x14ac:dyDescent="0.3">
      <c r="B62" t="s">
        <v>123</v>
      </c>
      <c r="C62" s="71" t="s">
        <v>0</v>
      </c>
      <c r="D62" s="72">
        <v>45046</v>
      </c>
      <c r="E62" s="72">
        <v>45212</v>
      </c>
      <c r="F62" s="71">
        <v>2024</v>
      </c>
      <c r="G62" s="3">
        <v>218672</v>
      </c>
      <c r="H62" s="4" t="str">
        <f>IF(OR(B62="",C62="",D62="",F62="",G62=""),"check","ok")</f>
        <v>ok</v>
      </c>
      <c r="I62" s="9">
        <f>D62+0</f>
        <v>45046</v>
      </c>
      <c r="J62" s="9"/>
      <c r="K62" s="9"/>
      <c r="L62" s="4" t="b">
        <f>K62&gt;=J62&gt;=I62</f>
        <v>1</v>
      </c>
      <c r="M62" s="4">
        <f>YEAR(I62)</f>
        <v>2023</v>
      </c>
      <c r="N62" s="4">
        <f>O62-M62</f>
        <v>1</v>
      </c>
      <c r="O62" s="5">
        <f>F62</f>
        <v>2024</v>
      </c>
      <c r="Q62" s="10" t="str">
        <f>B62</f>
        <v>C9406</v>
      </c>
      <c r="R62" s="4" t="str">
        <f>C62</f>
        <v>Fire Domestic</v>
      </c>
      <c r="S62" s="4" t="str">
        <f>R62</f>
        <v>Fire Domestic</v>
      </c>
      <c r="T62" s="5">
        <f>M62</f>
        <v>2023</v>
      </c>
      <c r="U62" s="9"/>
      <c r="V62" s="5">
        <f>O62</f>
        <v>2024</v>
      </c>
      <c r="W62" s="8">
        <f>G62</f>
        <v>218672</v>
      </c>
      <c r="X62" s="5">
        <f>V62-T62</f>
        <v>1</v>
      </c>
    </row>
    <row r="63" spans="2:24" ht="14.4" customHeight="1" x14ac:dyDescent="0.3">
      <c r="B63" t="s">
        <v>124</v>
      </c>
      <c r="C63" s="71" t="s">
        <v>0</v>
      </c>
      <c r="D63" s="72">
        <v>45250</v>
      </c>
      <c r="E63" s="72">
        <v>45252</v>
      </c>
      <c r="F63" s="71">
        <v>2024</v>
      </c>
      <c r="G63" s="3">
        <v>902637</v>
      </c>
      <c r="H63" s="4" t="str">
        <f>IF(OR(B63="",C63="",D63="",F63="",G63=""),"check","ok")</f>
        <v>ok</v>
      </c>
      <c r="I63" s="9">
        <f>D63+0</f>
        <v>45250</v>
      </c>
      <c r="J63" s="9"/>
      <c r="K63" s="9"/>
      <c r="L63" s="4" t="b">
        <f>K63&gt;=J63&gt;=I63</f>
        <v>1</v>
      </c>
      <c r="M63" s="4">
        <f>YEAR(I63)</f>
        <v>2023</v>
      </c>
      <c r="N63" s="4">
        <f>O63-M63</f>
        <v>1</v>
      </c>
      <c r="O63" s="5">
        <f>F63</f>
        <v>2024</v>
      </c>
      <c r="Q63" s="10" t="str">
        <f>B63</f>
        <v>C8181</v>
      </c>
      <c r="R63" s="4" t="str">
        <f>C63</f>
        <v>Fire Domestic</v>
      </c>
      <c r="S63" s="4" t="str">
        <f>R63</f>
        <v>Fire Domestic</v>
      </c>
      <c r="T63" s="5">
        <f>M63</f>
        <v>2023</v>
      </c>
      <c r="U63" s="9"/>
      <c r="V63" s="5">
        <f>O63</f>
        <v>2024</v>
      </c>
      <c r="W63" s="8">
        <f>G63</f>
        <v>902637</v>
      </c>
      <c r="X63" s="5">
        <f>V63-T63</f>
        <v>1</v>
      </c>
    </row>
    <row r="64" spans="2:24" ht="14.4" customHeight="1" x14ac:dyDescent="0.3">
      <c r="B64" t="s">
        <v>125</v>
      </c>
      <c r="C64" s="71" t="s">
        <v>0</v>
      </c>
      <c r="D64" s="72">
        <v>45396</v>
      </c>
      <c r="E64" s="72">
        <v>45429</v>
      </c>
      <c r="F64" s="71">
        <v>2024</v>
      </c>
      <c r="G64" s="3">
        <v>340444</v>
      </c>
      <c r="H64" s="4" t="str">
        <f>IF(OR(B64="",C64="",D64="",F64="",G64=""),"check","ok")</f>
        <v>ok</v>
      </c>
      <c r="I64" s="9">
        <f>D64+0</f>
        <v>45396</v>
      </c>
      <c r="J64" s="9"/>
      <c r="K64" s="9"/>
      <c r="L64" s="4" t="b">
        <f>K64&gt;=J64&gt;=I64</f>
        <v>1</v>
      </c>
      <c r="M64" s="4">
        <f>YEAR(I64)</f>
        <v>2024</v>
      </c>
      <c r="N64" s="4">
        <f>O64-M64</f>
        <v>0</v>
      </c>
      <c r="O64" s="5">
        <f>F64</f>
        <v>2024</v>
      </c>
      <c r="Q64" s="10" t="str">
        <f>B64</f>
        <v>C8613</v>
      </c>
      <c r="R64" s="4" t="str">
        <f>C64</f>
        <v>Fire Domestic</v>
      </c>
      <c r="S64" s="4" t="str">
        <f>R64</f>
        <v>Fire Domestic</v>
      </c>
      <c r="T64" s="5">
        <f>M64</f>
        <v>2024</v>
      </c>
      <c r="U64" s="9"/>
      <c r="V64" s="5">
        <f>O64</f>
        <v>2024</v>
      </c>
      <c r="W64" s="8">
        <f>G64</f>
        <v>340444</v>
      </c>
      <c r="X64" s="5">
        <f>V64-T64</f>
        <v>0</v>
      </c>
    </row>
    <row r="65" spans="2:24" ht="14.4" customHeight="1" x14ac:dyDescent="0.3">
      <c r="B65" t="s">
        <v>126</v>
      </c>
      <c r="C65" s="71" t="s">
        <v>0</v>
      </c>
      <c r="D65" s="72">
        <v>45396</v>
      </c>
      <c r="E65" s="72">
        <v>45429</v>
      </c>
      <c r="F65" s="71">
        <v>2024</v>
      </c>
      <c r="G65" s="3">
        <v>370491</v>
      </c>
      <c r="H65" s="4" t="str">
        <f>IF(OR(B65="",C65="",D65="",F65="",G65=""),"check","ok")</f>
        <v>ok</v>
      </c>
      <c r="I65" s="9">
        <f>D65+0</f>
        <v>45396</v>
      </c>
      <c r="J65" s="9"/>
      <c r="K65" s="9"/>
      <c r="L65" s="4" t="b">
        <f>K65&gt;=J65&gt;=I65</f>
        <v>1</v>
      </c>
      <c r="M65" s="4">
        <f>YEAR(I65)</f>
        <v>2024</v>
      </c>
      <c r="N65" s="4">
        <f>O65-M65</f>
        <v>0</v>
      </c>
      <c r="O65" s="5">
        <f>F65</f>
        <v>2024</v>
      </c>
      <c r="Q65" s="10" t="str">
        <f>B65</f>
        <v>C4761</v>
      </c>
      <c r="R65" s="4" t="str">
        <f>C65</f>
        <v>Fire Domestic</v>
      </c>
      <c r="S65" s="4" t="str">
        <f>R65</f>
        <v>Fire Domestic</v>
      </c>
      <c r="T65" s="5">
        <f>M65</f>
        <v>2024</v>
      </c>
      <c r="U65" s="9"/>
      <c r="V65" s="5">
        <f>O65</f>
        <v>2024</v>
      </c>
      <c r="W65" s="8">
        <f>G65</f>
        <v>370491</v>
      </c>
      <c r="X65" s="5">
        <f>V65-T65</f>
        <v>0</v>
      </c>
    </row>
  </sheetData>
  <autoFilter ref="B2:O65" xr:uid="{B1D96FC3-8232-4C42-9D29-FE5A223F897E}">
    <sortState xmlns:xlrd2="http://schemas.microsoft.com/office/spreadsheetml/2017/richdata2" ref="B3:O65">
      <sortCondition ref="C3:C65"/>
    </sortState>
  </autoFilter>
  <pageMargins left="0.75" right="0.75" top="1" bottom="1" header="0.5" footer="0.5"/>
  <pageSetup orientation="portrait" horizontalDpi="0" verticalDpi="0" copies="0"/>
  <headerFooter alignWithMargins="0">
    <oddHeader>&amp;C&amp;F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04961-82F9-4579-8E5D-DCC67D8157C1}">
  <dimension ref="A1:K90"/>
  <sheetViews>
    <sheetView topLeftCell="A67" zoomScale="69" workbookViewId="0">
      <selection activeCell="G99" sqref="G99"/>
    </sheetView>
  </sheetViews>
  <sheetFormatPr defaultColWidth="8.77734375" defaultRowHeight="13.2" x14ac:dyDescent="0.25"/>
  <cols>
    <col min="1" max="1" width="29.44140625" style="18" customWidth="1"/>
    <col min="2" max="2" width="23.77734375" style="18" customWidth="1"/>
    <col min="3" max="3" width="34.44140625" style="18" customWidth="1"/>
    <col min="4" max="4" width="16.33203125" style="18" bestFit="1" customWidth="1"/>
    <col min="5" max="5" width="16.109375" style="18" customWidth="1"/>
    <col min="6" max="6" width="14.77734375" style="18" customWidth="1"/>
    <col min="7" max="7" width="15.109375" style="18" bestFit="1" customWidth="1"/>
    <col min="8" max="8" width="14.77734375" style="18" bestFit="1" customWidth="1"/>
    <col min="9" max="9" width="16.21875" style="18" customWidth="1"/>
    <col min="10" max="10" width="22.77734375" style="18" customWidth="1"/>
    <col min="11" max="11" width="25.33203125" style="18" customWidth="1"/>
    <col min="12" max="16384" width="8.77734375" style="18"/>
  </cols>
  <sheetData>
    <row r="1" spans="1:11" x14ac:dyDescent="0.25">
      <c r="A1" s="23" t="s">
        <v>63</v>
      </c>
      <c r="B1" s="70" t="s">
        <v>0</v>
      </c>
    </row>
    <row r="3" spans="1:11" x14ac:dyDescent="0.25">
      <c r="A3" s="43" t="s">
        <v>6</v>
      </c>
      <c r="B3" s="69">
        <v>0</v>
      </c>
    </row>
    <row r="4" spans="1:11" x14ac:dyDescent="0.25">
      <c r="A4" s="43" t="s">
        <v>5</v>
      </c>
      <c r="B4" s="43">
        <f>1/(1+B3)</f>
        <v>1</v>
      </c>
    </row>
    <row r="6" spans="1:11" x14ac:dyDescent="0.25">
      <c r="A6" s="18" t="s">
        <v>62</v>
      </c>
    </row>
    <row r="7" spans="1:11" ht="13.8" thickBot="1" x14ac:dyDescent="0.3">
      <c r="A7" s="18" t="s">
        <v>61</v>
      </c>
    </row>
    <row r="8" spans="1:11" x14ac:dyDescent="0.25">
      <c r="A8" s="32"/>
      <c r="B8" s="31">
        <v>0</v>
      </c>
      <c r="C8" s="31">
        <f>B8+1</f>
        <v>1</v>
      </c>
      <c r="D8" s="31">
        <f>C8+1</f>
        <v>2</v>
      </c>
      <c r="E8" s="31">
        <f>D8+1</f>
        <v>3</v>
      </c>
      <c r="F8" s="31">
        <f>E8+1</f>
        <v>4</v>
      </c>
      <c r="G8" s="31">
        <f>F8+1</f>
        <v>5</v>
      </c>
      <c r="H8" s="31">
        <f>G8+1</f>
        <v>6</v>
      </c>
      <c r="I8" s="23" t="s">
        <v>60</v>
      </c>
      <c r="J8" s="23" t="s">
        <v>59</v>
      </c>
    </row>
    <row r="9" spans="1:11" x14ac:dyDescent="0.25">
      <c r="A9" s="30">
        <v>2018</v>
      </c>
      <c r="B9" s="67">
        <f>SUMIFS('Paid Claims '!$W:$W,'Paid Claims '!$S:$S,$B$1,'Paid Claims '!$M:$M,$A9,'Paid Claims '!$N:$N,B$8)</f>
        <v>1909899</v>
      </c>
      <c r="C9" s="38">
        <f>SUMIFS('Paid Claims '!$W:$W,'Paid Claims '!$S:$S,$B$1,'Paid Claims '!$M:$M,$A9,'Paid Claims '!$N:$N,C$8)</f>
        <v>753987</v>
      </c>
      <c r="D9" s="38">
        <f>SUMIFS('Paid Claims '!$W:$W,'Paid Claims '!$S:$S,$B$1,'Paid Claims '!$M:$M,$A9,'Paid Claims '!$N:$N,D$8)</f>
        <v>0</v>
      </c>
      <c r="E9" s="38">
        <f>SUMIFS('Paid Claims '!$W:$W,'Paid Claims '!$S:$S,$B$1,'Paid Claims '!$M:$M,$A9,'Paid Claims '!$N:$N,E$8)</f>
        <v>388447</v>
      </c>
      <c r="F9" s="38">
        <f>SUMIFS('Paid Claims '!$W:$W,'Paid Claims '!$S:$S,$B$1,'Paid Claims '!$M:$M,$A9,'Paid Claims '!$N:$N,F$8)</f>
        <v>0</v>
      </c>
      <c r="G9" s="38">
        <f>SUMIFS('Paid Claims '!$W:$W,'Paid Claims '!$S:$S,$B$1,'Paid Claims '!$M:$M,$A9,'Paid Claims '!$N:$N,G$8)</f>
        <v>0</v>
      </c>
      <c r="H9" s="38">
        <f>SUMIFS('Paid Claims '!$W:$W,'Paid Claims '!$S:$S,$B$1,'Paid Claims '!$M:$M,$A9,'Paid Claims '!$N:$N,H$8)</f>
        <v>0</v>
      </c>
      <c r="I9" s="58">
        <f>SUM(B9:H9)</f>
        <v>3052333</v>
      </c>
      <c r="J9" s="65">
        <v>6364860.1951386249</v>
      </c>
      <c r="K9" s="64">
        <f>(I9+J73)/J9</f>
        <v>0.47956010130926702</v>
      </c>
    </row>
    <row r="10" spans="1:11" x14ac:dyDescent="0.25">
      <c r="A10" s="30">
        <f>A9+1</f>
        <v>2019</v>
      </c>
      <c r="B10" s="67">
        <f>SUMIFS('Paid Claims '!$W:$W,'Paid Claims '!$S:$S,$B$1,'Paid Claims '!$M:$M,$A10,'Paid Claims '!$N:$N,B$8)</f>
        <v>1841219</v>
      </c>
      <c r="C10" s="38">
        <f>SUMIFS('Paid Claims '!$W:$W,'Paid Claims '!$S:$S,$B$1,'Paid Claims '!$M:$M,$A10,'Paid Claims '!$N:$N,C$8)</f>
        <v>632118</v>
      </c>
      <c r="D10" s="38">
        <f>SUMIFS('Paid Claims '!$W:$W,'Paid Claims '!$S:$S,$B$1,'Paid Claims '!$M:$M,$A10,'Paid Claims '!$N:$N,D$8)</f>
        <v>0</v>
      </c>
      <c r="E10" s="38">
        <f>SUMIFS('Paid Claims '!$W:$W,'Paid Claims '!$S:$S,$B$1,'Paid Claims '!$M:$M,$A10,'Paid Claims '!$N:$N,E$8)</f>
        <v>0</v>
      </c>
      <c r="F10" s="38">
        <f>SUMIFS('Paid Claims '!$W:$W,'Paid Claims '!$S:$S,$B$1,'Paid Claims '!$M:$M,$A10,'Paid Claims '!$N:$N,F$8)</f>
        <v>0</v>
      </c>
      <c r="G10" s="38">
        <f>SUMIFS('Paid Claims '!$W:$W,'Paid Claims '!$S:$S,$B$1,'Paid Claims '!$M:$M,$A10,'Paid Claims '!$N:$N,G$8)</f>
        <v>0</v>
      </c>
      <c r="H10" s="68"/>
      <c r="I10" s="58">
        <f>SUM(B10:H10)</f>
        <v>2473337</v>
      </c>
      <c r="J10" s="65">
        <v>7965582.2251075422</v>
      </c>
      <c r="K10" s="64">
        <f>(I10+J74)/J10</f>
        <v>0.31050297769873408</v>
      </c>
    </row>
    <row r="11" spans="1:11" x14ac:dyDescent="0.25">
      <c r="A11" s="30">
        <f>A10+1</f>
        <v>2020</v>
      </c>
      <c r="B11" s="67">
        <f>SUMIFS('Paid Claims '!$W:$W,'Paid Claims '!$S:$S,$B$1,'Paid Claims '!$M:$M,$A11,'Paid Claims '!$N:$N,B$8)</f>
        <v>952981</v>
      </c>
      <c r="C11" s="38">
        <f>SUMIFS('Paid Claims '!$W:$W,'Paid Claims '!$S:$S,$B$1,'Paid Claims '!$M:$M,$A11,'Paid Claims '!$N:$N,C$8)</f>
        <v>545013</v>
      </c>
      <c r="D11" s="38">
        <f>SUMIFS('Paid Claims '!$W:$W,'Paid Claims '!$S:$S,$B$1,'Paid Claims '!$M:$M,$A11,'Paid Claims '!$N:$N,D$8)</f>
        <v>0</v>
      </c>
      <c r="E11" s="38">
        <f>SUMIFS('Paid Claims '!$W:$W,'Paid Claims '!$S:$S,$B$1,'Paid Claims '!$M:$M,$A11,'Paid Claims '!$N:$N,E$8)</f>
        <v>0</v>
      </c>
      <c r="F11" s="38">
        <f>SUMIFS('Paid Claims '!$W:$W,'Paid Claims '!$S:$S,$B$1,'Paid Claims '!$M:$M,$A11,'Paid Claims '!$N:$N,F$8)</f>
        <v>0</v>
      </c>
      <c r="G11" s="68"/>
      <c r="H11" s="68"/>
      <c r="I11" s="58">
        <f>SUM(B11:H11)</f>
        <v>1497994</v>
      </c>
      <c r="J11" s="65">
        <v>7148902.1775274295</v>
      </c>
      <c r="K11" s="64">
        <f>(I11+J75)/J11</f>
        <v>0.20954182373748845</v>
      </c>
    </row>
    <row r="12" spans="1:11" x14ac:dyDescent="0.25">
      <c r="A12" s="30">
        <f>A11+1</f>
        <v>2021</v>
      </c>
      <c r="B12" s="67">
        <f>SUMIFS('Paid Claims '!$W:$W,'Paid Claims '!$S:$S,$B$1,'Paid Claims '!$M:$M,$A12,'Paid Claims '!$N:$N,B$8)</f>
        <v>0</v>
      </c>
      <c r="C12" s="38">
        <f>SUMIFS('Paid Claims '!$W:$W,'Paid Claims '!$S:$S,$B$1,'Paid Claims '!$M:$M,$A12,'Paid Claims '!$N:$N,C$8)</f>
        <v>734331</v>
      </c>
      <c r="D12" s="38">
        <f>SUMIFS('Paid Claims '!$W:$W,'Paid Claims '!$S:$S,$B$1,'Paid Claims '!$M:$M,$A12,'Paid Claims '!$N:$N,D$8)</f>
        <v>0</v>
      </c>
      <c r="E12" s="38">
        <f>SUMIFS('Paid Claims '!$W:$W,'Paid Claims '!$S:$S,$B$1,'Paid Claims '!$M:$M,$A12,'Paid Claims '!$N:$N,E$8)</f>
        <v>0</v>
      </c>
      <c r="F12" s="68"/>
      <c r="G12" s="68"/>
      <c r="H12" s="68"/>
      <c r="I12" s="58">
        <f>SUM(B12:H12)</f>
        <v>734331</v>
      </c>
      <c r="J12" s="65">
        <v>8424951.7616438381</v>
      </c>
      <c r="K12" s="64">
        <f>(I12+J76)/J12</f>
        <v>8.7161448608308795E-2</v>
      </c>
    </row>
    <row r="13" spans="1:11" x14ac:dyDescent="0.25">
      <c r="A13" s="30">
        <f>A12+1</f>
        <v>2022</v>
      </c>
      <c r="B13" s="67">
        <f>SUMIFS('Paid Claims '!$W:$W,'Paid Claims '!$S:$S,$B$1,'Paid Claims '!$M:$M,$A13,'Paid Claims '!$N:$N,B$8)</f>
        <v>771281</v>
      </c>
      <c r="C13" s="38">
        <f>SUMIFS('Paid Claims '!$W:$W,'Paid Claims '!$S:$S,$B$1,'Paid Claims '!$M:$M,$A13,'Paid Claims '!$N:$N,C$8)</f>
        <v>60065</v>
      </c>
      <c r="D13" s="38">
        <f>SUMIFS('Paid Claims '!$W:$W,'Paid Claims '!$S:$S,$B$1,'Paid Claims '!$M:$M,$A13,'Paid Claims '!$N:$N,D$8)</f>
        <v>0</v>
      </c>
      <c r="E13" s="68"/>
      <c r="F13" s="68"/>
      <c r="G13" s="68"/>
      <c r="H13" s="68"/>
      <c r="I13" s="58">
        <f>SUM(B13:H13)</f>
        <v>831346</v>
      </c>
      <c r="J13" s="65">
        <v>8337252.9099132903</v>
      </c>
      <c r="K13" s="64">
        <f>(I13+J77)/J13</f>
        <v>0.10571179854122552</v>
      </c>
    </row>
    <row r="14" spans="1:11" x14ac:dyDescent="0.25">
      <c r="A14" s="30">
        <f>A13+1</f>
        <v>2023</v>
      </c>
      <c r="B14" s="67">
        <f>SUMIFS('Paid Claims '!$W:$W,'Paid Claims '!$S:$S,$B$1,'Paid Claims '!$M:$M,$A14,'Paid Claims '!$N:$N,B$8)</f>
        <v>2314784</v>
      </c>
      <c r="C14" s="38">
        <f>SUMIFS('Paid Claims '!$W:$W,'Paid Claims '!$S:$S,$B$1,'Paid Claims '!$M:$M,$A14,'Paid Claims '!$N:$N,C$8)</f>
        <v>1121309</v>
      </c>
      <c r="D14" s="68"/>
      <c r="E14" s="68"/>
      <c r="F14" s="68"/>
      <c r="G14" s="68"/>
      <c r="H14" s="68"/>
      <c r="I14" s="58">
        <f>SUM(B14:H14)</f>
        <v>3436093</v>
      </c>
      <c r="J14" s="65">
        <v>7146209.4483096264</v>
      </c>
      <c r="K14" s="64">
        <f>(I14+J78)/J14</f>
        <v>0.48082735677622462</v>
      </c>
    </row>
    <row r="15" spans="1:11" ht="13.8" thickBot="1" x14ac:dyDescent="0.3">
      <c r="A15" s="29">
        <f>A14+1</f>
        <v>2024</v>
      </c>
      <c r="B15" s="67">
        <f>SUMIFS('Paid Claims '!$W:$W,'Paid Claims '!$S:$S,$B$1,'Paid Claims '!$M:$M,$A15,'Paid Claims '!$N:$N,B$8)</f>
        <v>710935</v>
      </c>
      <c r="C15" s="66"/>
      <c r="D15" s="66"/>
      <c r="E15" s="66"/>
      <c r="F15" s="66"/>
      <c r="G15" s="66"/>
      <c r="H15" s="66"/>
      <c r="I15" s="58">
        <f>SUM(B15:H15)</f>
        <v>710935</v>
      </c>
      <c r="J15" s="65">
        <v>6739760.4330043551</v>
      </c>
      <c r="K15" s="64">
        <f>(I15+J79)/J15</f>
        <v>0.10548371964655863</v>
      </c>
    </row>
    <row r="16" spans="1:11" x14ac:dyDescent="0.25">
      <c r="I16" s="63">
        <f>SUM(I9:I15)</f>
        <v>12736369</v>
      </c>
      <c r="J16" s="63">
        <f>SUM(J9:J15)</f>
        <v>52127519.150644712</v>
      </c>
    </row>
    <row r="17" spans="1:8" ht="13.8" thickBot="1" x14ac:dyDescent="0.3">
      <c r="A17" s="18" t="s">
        <v>58</v>
      </c>
    </row>
    <row r="18" spans="1:8" x14ac:dyDescent="0.25">
      <c r="A18" s="32"/>
      <c r="B18" s="31">
        <v>0</v>
      </c>
      <c r="C18" s="31">
        <f>B18+1</f>
        <v>1</v>
      </c>
      <c r="D18" s="31">
        <f>C18+1</f>
        <v>2</v>
      </c>
      <c r="E18" s="31">
        <f>D18+1</f>
        <v>3</v>
      </c>
      <c r="F18" s="31">
        <f>E18+1</f>
        <v>4</v>
      </c>
      <c r="G18" s="31">
        <f>F18+1</f>
        <v>5</v>
      </c>
      <c r="H18" s="31">
        <f>G18+1</f>
        <v>6</v>
      </c>
    </row>
    <row r="19" spans="1:8" x14ac:dyDescent="0.25">
      <c r="A19" s="30">
        <f>A9</f>
        <v>2018</v>
      </c>
      <c r="B19" s="38">
        <f>SUM($B9:B9)</f>
        <v>1909899</v>
      </c>
      <c r="C19" s="38">
        <f>SUM($B9:C9)</f>
        <v>2663886</v>
      </c>
      <c r="D19" s="38">
        <f>SUM($B9:D9)</f>
        <v>2663886</v>
      </c>
      <c r="E19" s="38">
        <f>SUM($B9:E9)</f>
        <v>3052333</v>
      </c>
      <c r="F19" s="38">
        <f>SUM($B9:F9)</f>
        <v>3052333</v>
      </c>
      <c r="G19" s="38">
        <f>SUM($B9:G9)</f>
        <v>3052333</v>
      </c>
      <c r="H19" s="38">
        <f>SUM($B9:H9)</f>
        <v>3052333</v>
      </c>
    </row>
    <row r="20" spans="1:8" x14ac:dyDescent="0.25">
      <c r="A20" s="30">
        <f>A19+1</f>
        <v>2019</v>
      </c>
      <c r="B20" s="38">
        <f>SUM($B10:B10)</f>
        <v>1841219</v>
      </c>
      <c r="C20" s="38">
        <f>SUM($B10:C10)</f>
        <v>2473337</v>
      </c>
      <c r="D20" s="38">
        <f>SUM($B10:D10)</f>
        <v>2473337</v>
      </c>
      <c r="E20" s="38">
        <f>SUM($B10:E10)</f>
        <v>2473337</v>
      </c>
      <c r="F20" s="38">
        <f>SUM($B10:F10)</f>
        <v>2473337</v>
      </c>
      <c r="G20" s="38">
        <f>SUM($B10:G10)</f>
        <v>2473337</v>
      </c>
      <c r="H20" s="62"/>
    </row>
    <row r="21" spans="1:8" x14ac:dyDescent="0.25">
      <c r="A21" s="30">
        <f>A20+1</f>
        <v>2020</v>
      </c>
      <c r="B21" s="38">
        <f>SUM($B11:B11)</f>
        <v>952981</v>
      </c>
      <c r="C21" s="38">
        <f>SUM($B11:C11)</f>
        <v>1497994</v>
      </c>
      <c r="D21" s="38">
        <f>SUM($B11:D11)</f>
        <v>1497994</v>
      </c>
      <c r="E21" s="38">
        <f>SUM($B11:E11)</f>
        <v>1497994</v>
      </c>
      <c r="F21" s="38">
        <f>SUM($B11:F11)</f>
        <v>1497994</v>
      </c>
      <c r="G21" s="62"/>
      <c r="H21" s="62"/>
    </row>
    <row r="22" spans="1:8" x14ac:dyDescent="0.25">
      <c r="A22" s="30">
        <f>A21+1</f>
        <v>2021</v>
      </c>
      <c r="B22" s="38">
        <f>SUM($B12:B12)</f>
        <v>0</v>
      </c>
      <c r="C22" s="38">
        <f>SUM($B12:C12)</f>
        <v>734331</v>
      </c>
      <c r="D22" s="38">
        <f>SUM($B12:D12)</f>
        <v>734331</v>
      </c>
      <c r="E22" s="38">
        <f>SUM($B12:E12)</f>
        <v>734331</v>
      </c>
      <c r="F22" s="62"/>
      <c r="G22" s="62"/>
      <c r="H22" s="62"/>
    </row>
    <row r="23" spans="1:8" x14ac:dyDescent="0.25">
      <c r="A23" s="30">
        <f>A22+1</f>
        <v>2022</v>
      </c>
      <c r="B23" s="38">
        <f>SUM($B13:B13)</f>
        <v>771281</v>
      </c>
      <c r="C23" s="38">
        <f>SUM($B13:C13)</f>
        <v>831346</v>
      </c>
      <c r="D23" s="38">
        <f>SUM($B13:D13)</f>
        <v>831346</v>
      </c>
      <c r="E23" s="62"/>
      <c r="F23" s="62"/>
      <c r="G23" s="62"/>
      <c r="H23" s="62"/>
    </row>
    <row r="24" spans="1:8" x14ac:dyDescent="0.25">
      <c r="A24" s="30">
        <f>A23+1</f>
        <v>2023</v>
      </c>
      <c r="B24" s="38">
        <f>SUM($B14:B14)</f>
        <v>2314784</v>
      </c>
      <c r="C24" s="38">
        <f>SUM($B14:C14)</f>
        <v>3436093</v>
      </c>
      <c r="D24" s="62"/>
      <c r="E24" s="62"/>
      <c r="F24" s="62"/>
      <c r="G24" s="62"/>
      <c r="H24" s="62"/>
    </row>
    <row r="25" spans="1:8" ht="13.8" thickBot="1" x14ac:dyDescent="0.3">
      <c r="A25" s="29">
        <f>A24+1</f>
        <v>2024</v>
      </c>
      <c r="B25" s="38">
        <f>SUM($B15:B15)</f>
        <v>710935</v>
      </c>
      <c r="C25" s="59"/>
      <c r="D25" s="59"/>
      <c r="E25" s="59"/>
      <c r="F25" s="59"/>
      <c r="G25" s="59"/>
      <c r="H25" s="59"/>
    </row>
    <row r="26" spans="1:8" x14ac:dyDescent="0.25">
      <c r="B26" s="58"/>
      <c r="C26" s="57"/>
      <c r="D26" s="57"/>
      <c r="E26" s="57"/>
      <c r="F26" s="57"/>
      <c r="G26" s="57"/>
      <c r="H26" s="57"/>
    </row>
    <row r="27" spans="1:8" ht="13.8" thickBot="1" x14ac:dyDescent="0.3">
      <c r="A27" s="18" t="s">
        <v>57</v>
      </c>
    </row>
    <row r="28" spans="1:8" x14ac:dyDescent="0.25">
      <c r="A28" s="32"/>
      <c r="B28" s="31">
        <v>0</v>
      </c>
      <c r="C28" s="31">
        <f>B28+1</f>
        <v>1</v>
      </c>
      <c r="D28" s="31">
        <f>C28+1</f>
        <v>2</v>
      </c>
      <c r="E28" s="31">
        <f>D28+1</f>
        <v>3</v>
      </c>
      <c r="F28" s="31">
        <f>E28+1</f>
        <v>4</v>
      </c>
      <c r="G28" s="31">
        <f>F28+1</f>
        <v>5</v>
      </c>
      <c r="H28" s="31">
        <f>G28+1</f>
        <v>6</v>
      </c>
    </row>
    <row r="29" spans="1:8" x14ac:dyDescent="0.25">
      <c r="A29" s="30">
        <f>A19</f>
        <v>2018</v>
      </c>
      <c r="B29" s="38"/>
      <c r="C29" s="61">
        <f>IFERROR(C19/B19,1)</f>
        <v>1.3947784673430375</v>
      </c>
      <c r="D29" s="61">
        <f>IFERROR(D19/C19,1)</f>
        <v>1</v>
      </c>
      <c r="E29" s="61">
        <f>IFERROR(E19/D19,1)</f>
        <v>1.1458196784697243</v>
      </c>
      <c r="F29" s="61">
        <f>IFERROR(F19/E19,1)</f>
        <v>1</v>
      </c>
      <c r="G29" s="61">
        <f>IFERROR(G19/F19,1)</f>
        <v>1</v>
      </c>
      <c r="H29" s="61">
        <f>IFERROR(H19/G19,1)</f>
        <v>1</v>
      </c>
    </row>
    <row r="30" spans="1:8" x14ac:dyDescent="0.25">
      <c r="A30" s="30">
        <f>A29+1</f>
        <v>2019</v>
      </c>
      <c r="B30" s="38"/>
      <c r="C30" s="61">
        <f>IFERROR(C20/B20,1)</f>
        <v>1.3433149451531838</v>
      </c>
      <c r="D30" s="61">
        <f>IFERROR(D20/C20,1)</f>
        <v>1</v>
      </c>
      <c r="E30" s="61">
        <f>IFERROR(E20/D20,1)</f>
        <v>1</v>
      </c>
      <c r="F30" s="61">
        <f>IFERROR(F20/E20,1)</f>
        <v>1</v>
      </c>
      <c r="G30" s="61">
        <f>IFERROR(G20/F20,1)</f>
        <v>1</v>
      </c>
      <c r="H30" s="60"/>
    </row>
    <row r="31" spans="1:8" x14ac:dyDescent="0.25">
      <c r="A31" s="30">
        <f>A30+1</f>
        <v>2020</v>
      </c>
      <c r="B31" s="38"/>
      <c r="C31" s="61">
        <f>IFERROR(C21/B21,1)</f>
        <v>1.5719033223117775</v>
      </c>
      <c r="D31" s="61">
        <f>IFERROR(D21/C21,1)</f>
        <v>1</v>
      </c>
      <c r="E31" s="61">
        <f>IFERROR(E21/D21,1)</f>
        <v>1</v>
      </c>
      <c r="F31" s="61">
        <f>IFERROR(F21/E21,1)</f>
        <v>1</v>
      </c>
      <c r="G31" s="60"/>
      <c r="H31" s="60"/>
    </row>
    <row r="32" spans="1:8" x14ac:dyDescent="0.25">
      <c r="A32" s="30">
        <f>A31+1</f>
        <v>2021</v>
      </c>
      <c r="B32" s="38"/>
      <c r="C32" s="61">
        <f>IFERROR(C22/B22,1)</f>
        <v>1</v>
      </c>
      <c r="D32" s="61">
        <f>IFERROR(D22/C22,1)</f>
        <v>1</v>
      </c>
      <c r="E32" s="61">
        <f>IFERROR(E22/D22,1)</f>
        <v>1</v>
      </c>
      <c r="F32" s="60"/>
      <c r="G32" s="60"/>
      <c r="H32" s="60"/>
    </row>
    <row r="33" spans="1:10" x14ac:dyDescent="0.25">
      <c r="A33" s="30">
        <f>A32+1</f>
        <v>2022</v>
      </c>
      <c r="B33" s="38"/>
      <c r="C33" s="61">
        <f>IFERROR(C23/B23,1)</f>
        <v>1.077876934606194</v>
      </c>
      <c r="D33" s="61">
        <f>IFERROR(D23/C23,1)</f>
        <v>1</v>
      </c>
      <c r="E33" s="60"/>
      <c r="F33" s="60"/>
      <c r="G33" s="60"/>
      <c r="H33" s="60"/>
    </row>
    <row r="34" spans="1:10" x14ac:dyDescent="0.25">
      <c r="A34" s="30">
        <f>A33+1</f>
        <v>2023</v>
      </c>
      <c r="B34" s="38"/>
      <c r="C34" s="61">
        <f>IFERROR(C24/B24,1)</f>
        <v>1.4844119364916986</v>
      </c>
      <c r="D34" s="60"/>
      <c r="E34" s="60"/>
      <c r="F34" s="60"/>
      <c r="G34" s="60"/>
      <c r="H34" s="60"/>
    </row>
    <row r="35" spans="1:10" ht="13.8" thickBot="1" x14ac:dyDescent="0.3">
      <c r="A35" s="29">
        <f>A34+1</f>
        <v>2024</v>
      </c>
      <c r="B35" s="38"/>
      <c r="C35" s="59"/>
      <c r="D35" s="59"/>
      <c r="E35" s="59"/>
      <c r="F35" s="59"/>
      <c r="G35" s="59"/>
      <c r="H35" s="59"/>
    </row>
    <row r="36" spans="1:10" x14ac:dyDescent="0.25">
      <c r="B36" s="58"/>
      <c r="C36" s="57"/>
      <c r="D36" s="57"/>
      <c r="E36" s="57"/>
      <c r="F36" s="57"/>
      <c r="G36" s="57"/>
      <c r="H36" s="57"/>
    </row>
    <row r="37" spans="1:10" x14ac:dyDescent="0.25">
      <c r="B37" s="41" t="s">
        <v>56</v>
      </c>
      <c r="C37" s="28">
        <f>MAX(C29:C34)</f>
        <v>1.5719033223117775</v>
      </c>
      <c r="D37" s="28">
        <f>MAX(D29:D33)</f>
        <v>1</v>
      </c>
      <c r="E37" s="28">
        <f>MAX(E29:E32)</f>
        <v>1.1458196784697243</v>
      </c>
      <c r="F37" s="28">
        <f>MAX(F29:F31)</f>
        <v>1</v>
      </c>
      <c r="G37" s="28">
        <f>MAX(G29:G30)</f>
        <v>1</v>
      </c>
      <c r="H37" s="28">
        <f>MAX(H29)</f>
        <v>1</v>
      </c>
    </row>
    <row r="38" spans="1:10" x14ac:dyDescent="0.25">
      <c r="B38" s="41" t="s">
        <v>55</v>
      </c>
      <c r="C38" s="28">
        <f>MIN(C29:C34)</f>
        <v>1</v>
      </c>
      <c r="D38" s="28">
        <f>MIN(D29:D33)</f>
        <v>1</v>
      </c>
      <c r="E38" s="28">
        <f>MIN(E29:E32)</f>
        <v>1</v>
      </c>
      <c r="F38" s="28">
        <f>MIN(F29:F31)</f>
        <v>1</v>
      </c>
      <c r="G38" s="28">
        <f>MIN(G29:G30)</f>
        <v>1</v>
      </c>
      <c r="H38" s="28">
        <f>MIN(H29)</f>
        <v>1</v>
      </c>
    </row>
    <row r="39" spans="1:10" x14ac:dyDescent="0.25">
      <c r="B39" s="58"/>
      <c r="C39" s="57"/>
      <c r="D39" s="57"/>
      <c r="E39" s="57"/>
      <c r="F39" s="57"/>
      <c r="G39" s="57"/>
      <c r="H39" s="57"/>
    </row>
    <row r="40" spans="1:10" x14ac:dyDescent="0.25">
      <c r="A40" s="43" t="s">
        <v>54</v>
      </c>
      <c r="B40" s="55">
        <f>SUM(B19:B25)</f>
        <v>8501099</v>
      </c>
      <c r="C40" s="55">
        <f>SUM(C19:C25)</f>
        <v>11636987</v>
      </c>
      <c r="D40" s="55">
        <f>SUM(D19:D25)</f>
        <v>8200894</v>
      </c>
      <c r="E40" s="55">
        <f>SUM(E19:E25)</f>
        <v>7757995</v>
      </c>
      <c r="F40" s="55">
        <f>SUM(F19:F25)</f>
        <v>7023664</v>
      </c>
      <c r="G40" s="55">
        <f>SUM(G19:G25)</f>
        <v>5525670</v>
      </c>
      <c r="H40" s="55">
        <f>SUM(H19:H25)</f>
        <v>3052333</v>
      </c>
    </row>
    <row r="41" spans="1:10" x14ac:dyDescent="0.25">
      <c r="A41" s="43" t="s">
        <v>53</v>
      </c>
      <c r="B41" s="56">
        <f ca="1">OFFSET(B25,-B18,0)</f>
        <v>710935</v>
      </c>
      <c r="C41" s="56">
        <f ca="1">OFFSET(C25,-C18,0)</f>
        <v>3436093</v>
      </c>
      <c r="D41" s="56">
        <f ca="1">OFFSET(D25,-D18,0)</f>
        <v>831346</v>
      </c>
      <c r="E41" s="56">
        <f ca="1">OFFSET(E25,-E18,0)</f>
        <v>734331</v>
      </c>
      <c r="F41" s="56">
        <f ca="1">OFFSET(F25,-F18,0)</f>
        <v>1497994</v>
      </c>
      <c r="G41" s="56">
        <f ca="1">OFFSET(G25,-G18,0)</f>
        <v>2473337</v>
      </c>
      <c r="H41" s="56">
        <f ca="1">OFFSET(H25,-H18,0)</f>
        <v>3052333</v>
      </c>
    </row>
    <row r="42" spans="1:10" x14ac:dyDescent="0.25">
      <c r="A42" s="43" t="s">
        <v>52</v>
      </c>
      <c r="B42" s="55">
        <f ca="1">B40-B41</f>
        <v>7790164</v>
      </c>
      <c r="C42" s="55">
        <f ca="1">C40-C41</f>
        <v>8200894</v>
      </c>
      <c r="D42" s="55">
        <f ca="1">D40-D41</f>
        <v>7369548</v>
      </c>
      <c r="E42" s="55">
        <f ca="1">E40-E41</f>
        <v>7023664</v>
      </c>
      <c r="F42" s="55">
        <f ca="1">F40-F41</f>
        <v>5525670</v>
      </c>
      <c r="G42" s="55">
        <f ca="1">G40-G41</f>
        <v>3052333</v>
      </c>
      <c r="H42" s="55">
        <f ca="1">H40-H41</f>
        <v>0</v>
      </c>
    </row>
    <row r="43" spans="1:10" x14ac:dyDescent="0.25">
      <c r="C43" s="18">
        <v>6</v>
      </c>
      <c r="D43" s="54">
        <f>C43-1</f>
        <v>5</v>
      </c>
      <c r="E43" s="54">
        <f>D43-1</f>
        <v>4</v>
      </c>
      <c r="F43" s="54">
        <f>E43-1</f>
        <v>3</v>
      </c>
      <c r="G43" s="54">
        <f>F43-1</f>
        <v>2</v>
      </c>
      <c r="H43" s="54">
        <f>G43-1</f>
        <v>1</v>
      </c>
      <c r="I43" s="54">
        <f>H43-1</f>
        <v>0</v>
      </c>
    </row>
    <row r="44" spans="1:10" ht="26.4" x14ac:dyDescent="0.25">
      <c r="B44" s="50" t="s">
        <v>51</v>
      </c>
      <c r="C44" s="53">
        <f ca="1">IFERROR(C$40/B$42,1)</f>
        <v>1.4938051368366572</v>
      </c>
      <c r="D44" s="53">
        <f ca="1">IFERROR(D$40/C$42,1)</f>
        <v>1</v>
      </c>
      <c r="E44" s="53">
        <f ca="1">IFERROR(E$40/D$42,1)</f>
        <v>1.0527097455637713</v>
      </c>
      <c r="F44" s="53">
        <f ca="1">IFERROR(F$40/E$42,1)</f>
        <v>1</v>
      </c>
      <c r="G44" s="53">
        <f ca="1">IFERROR(G$40/F$42,1)</f>
        <v>1</v>
      </c>
      <c r="H44" s="53">
        <f ca="1">IFERROR(H$40/G$42,1)</f>
        <v>1</v>
      </c>
      <c r="I44" s="52">
        <v>1</v>
      </c>
      <c r="J44" s="18">
        <v>1</v>
      </c>
    </row>
    <row r="45" spans="1:10" ht="26.4" x14ac:dyDescent="0.25">
      <c r="B45" s="50" t="s">
        <v>50</v>
      </c>
      <c r="C45" s="53">
        <f ca="1">IFERROR(SUM(OFFSET($B$18,MAX(C$43+1-2,1),$C$43+1-C$43,MIN(C$43,2),1))/SUM(OFFSET($B$18,MAX(C$43+1-2,1),$C$43-C$43,MIN(C$43,2),1)),1)</f>
        <v>1.3828091760866994</v>
      </c>
      <c r="D45" s="53">
        <f ca="1">IFERROR(SUM(OFFSET($B$18,MAX(D$43+1-2,1),$C$43+1-D$43,MIN(D$43,2),1))/SUM(OFFSET($B$18,MAX(D$43+1-2,1),$C$43-D$43,MIN(D$43,2),1)),1)</f>
        <v>1</v>
      </c>
      <c r="E45" s="53">
        <f ca="1">IFERROR(SUM(OFFSET($B$18,MAX(E$43+1-2,1),$C$43+1-E$43,MIN(E$43,2),1))/SUM(OFFSET($B$18,MAX(E$43+1-2,1),$C$43-E$43,MIN(E$43,2),1)),1)</f>
        <v>1</v>
      </c>
      <c r="F45" s="53">
        <f ca="1">IFERROR(SUM(OFFSET($B$18,MAX(F$43+1-2,1),$C$43+1-F$43,MIN(F$43,2),1))/SUM(OFFSET($B$18,MAX(F$43+1-2,1),$C$43-F$43,MIN(F$43,2),1)),1)</f>
        <v>1</v>
      </c>
      <c r="G45" s="53">
        <f ca="1">IFERROR(SUM(OFFSET($B$18,MAX(G$43+1-2,1),$C$43+1-G$43,MIN(G$43,2),1))/SUM(OFFSET($B$18,MAX(G$43+1-2,1),$C$43-G$43,MIN(G$43,2),1)),1)</f>
        <v>1</v>
      </c>
      <c r="H45" s="53">
        <f ca="1">IFERROR(SUM(OFFSET($B$18,MAX(H$43+1-2,1),$C$43+1-H$43,MIN(H$43,2),1))/SUM(OFFSET($B$18,MAX(H$43+1-2,1),$C$43-H$43,MIN(H$43,2),1)),1)</f>
        <v>1</v>
      </c>
      <c r="I45" s="53">
        <f ca="1">IFERROR(SUM(OFFSET($B$18,MAX(I$43+1-2,1),$C$43+1-I$43,MIN(I$43,2),1))/SUM(OFFSET($B$18,MAX(I$43+1-2,1),$C$43-I$43,MIN(I$43,2),1)),1)</f>
        <v>1</v>
      </c>
    </row>
    <row r="46" spans="1:10" ht="26.4" x14ac:dyDescent="0.25">
      <c r="B46" s="50" t="s">
        <v>49</v>
      </c>
      <c r="C46" s="51">
        <f ca="1">IFERROR(SUM(OFFSET($B$18,MAX(C$43+1-3,1),$C$43+1-C$43,MIN(C$43,3),1))/SUM(OFFSET($B$18,MAX(C$43+1-3,1),$C$43-C$43,MIN(C$43,3),1)),1)</f>
        <v>1.6207597701279786</v>
      </c>
      <c r="D46" s="51">
        <f ca="1">IFERROR(SUM(OFFSET($B$18,MAX(D$43+1-3,1),$C$43+1-D$43,MIN(D$43,3),1))/SUM(OFFSET($B$18,MAX(D$43+1-3,1),$C$43-D$43,MIN(D$43,3),1)),1)</f>
        <v>1</v>
      </c>
      <c r="E46" s="51">
        <f ca="1">IFERROR(SUM(OFFSET($B$18,MAX(E$43+1-3,1),$C$43+1-E$43,MIN(E$43,3),1))/SUM(OFFSET($B$18,MAX(E$43+1-3,1),$C$43-E$43,MIN(E$43,3),1)),1)</f>
        <v>1</v>
      </c>
      <c r="F46" s="51">
        <f ca="1">IFERROR(SUM(OFFSET($B$18,MAX(F$43+1-3,1),$C$43+1-F$43,MIN(F$43,3),1))/SUM(OFFSET($B$18,MAX(F$43+1-3,1),$C$43-F$43,MIN(F$43,3),1)),1)</f>
        <v>1</v>
      </c>
      <c r="G46" s="51">
        <f ca="1">IFERROR(SUM(OFFSET($B$18,MAX(G$43+1-3,1),$C$43+1-G$43,MIN(G$43,3),1))/SUM(OFFSET($B$18,MAX(G$43+1-3,1),$C$43-G$43,MIN(G$43,3),1)),1)</f>
        <v>1</v>
      </c>
      <c r="H46" s="51">
        <f ca="1">IFERROR(SUM(OFFSET($B$18,MAX(H$43+1-3,1),$C$43+1-H$43,MIN(H$43,3),1))/SUM(OFFSET($B$18,MAX(H$43+1-3,1),$C$43-H$43,MIN(H$43,3),1)),1)</f>
        <v>1</v>
      </c>
      <c r="I46" s="52">
        <v>1</v>
      </c>
      <c r="J46" s="18">
        <v>1</v>
      </c>
    </row>
    <row r="47" spans="1:10" ht="26.4" x14ac:dyDescent="0.25">
      <c r="B47" s="50" t="s">
        <v>48</v>
      </c>
      <c r="C47" s="51">
        <f ca="1">IFERROR(SUM(OFFSET($B$18,MAX(C$43+1-4,1),$C$43+1-C$43,MIN(C$43,4),1))/SUM(OFFSET($B$18,MAX(C$43+1-4,1),$C$43-C$43,MIN(C$43,4),1)),1)</f>
        <v>1.6092324771740654</v>
      </c>
      <c r="D47" s="51">
        <f ca="1">IFERROR(SUM(OFFSET($B$18,MAX(D$43+1-4,1),$C$43+1-D$43,MIN(D$43,4),1))/SUM(OFFSET($B$18,MAX(D$43+1-4,1),$C$43-D$43,MIN(D$43,4),1)),1)</f>
        <v>1</v>
      </c>
      <c r="E47" s="51">
        <f ca="1">IFERROR(SUM(OFFSET($B$18,MAX(E$43+1-4,1),$C$43+1-E$43,MIN(E$43,4),1))/SUM(OFFSET($B$18,MAX(E$43+1-4,1),$C$43-E$43,MIN(E$43,4),1)),1)</f>
        <v>1.0527097455637713</v>
      </c>
      <c r="F47" s="51">
        <f ca="1">IFERROR(SUM(OFFSET($B$18,MAX(F$43+1-4,1),$C$43+1-F$43,MIN(F$43,4),1))/SUM(OFFSET($B$18,MAX(F$43+1-4,1),$C$43-F$43,MIN(F$43,4),1)),1)</f>
        <v>1</v>
      </c>
      <c r="G47" s="51">
        <f ca="1">IFERROR(SUM(OFFSET($B$18,MAX(G$43+1-4,1),$C$43+1-G$43,MIN(G$43,4),1))/SUM(OFFSET($B$18,MAX(G$43+1-4,1),$C$43-G$43,MIN(G$43,4),1)),1)</f>
        <v>1</v>
      </c>
      <c r="H47" s="51">
        <f ca="1">IFERROR(SUM(OFFSET($B$18,MAX(H$43+1-4,1),$C$43+1-H$43,MIN(H$43,4),1))/SUM(OFFSET($B$18,MAX(H$43+1-4,1),$C$43-H$43,MIN(H$43,4),1)),1)</f>
        <v>1</v>
      </c>
      <c r="I47" s="51">
        <f ca="1">IFERROR(SUM(OFFSET($B$18,MAX(I$43+1-4,1),$C$43+1-I$43,MIN(I$43,4),1))/SUM(OFFSET($B$18,MAX(I$43+1-4,1),$C$43-I$43,MIN(I$43,4),1)),1)</f>
        <v>1</v>
      </c>
    </row>
    <row r="48" spans="1:10" ht="26.4" x14ac:dyDescent="0.25">
      <c r="B48" s="50" t="s">
        <v>47</v>
      </c>
      <c r="C48" s="51">
        <f ca="1">IFERROR(SUM(OFFSET($B$18,MAX(C$43+1-5,1),$C$43+1-C$43,MIN(C$43,5),1))/SUM(OFFSET($B$18,MAX(C$43+1-5,1),$C$43-C$43,MIN(C$43,5),1)),1)</f>
        <v>1.525968812630043</v>
      </c>
      <c r="D48" s="51">
        <f ca="1">IFERROR(SUM(OFFSET($B$18,MAX(D$43+1-5,1),$C$43+1-D$43,MIN(D$43,5),1))/SUM(OFFSET($B$18,MAX(D$43+1-5,1),$C$43-D$43,MIN(D$43,5),1)),1)</f>
        <v>1</v>
      </c>
      <c r="E48" s="51">
        <f ca="1">IFERROR(SUM(OFFSET($B$18,MAX(E$43+1-5,1),$C$43+1-E$43,MIN(E$43,5),1))/SUM(OFFSET($B$18,MAX(E$43+1-5,1),$C$43-E$43,MIN(E$43,5),1)),1)</f>
        <v>1.0527097455637713</v>
      </c>
      <c r="F48" s="51">
        <f ca="1">IFERROR(SUM(OFFSET($B$18,MAX(F$43+1-5,1),$C$43+1-F$43,MIN(F$43,5),1))/SUM(OFFSET($B$18,MAX(F$43+1-5,1),$C$43-F$43,MIN(F$43,5),1)),1)</f>
        <v>1</v>
      </c>
      <c r="G48" s="51">
        <f ca="1">IFERROR(SUM(OFFSET($B$18,MAX(G$43+1-5,1),$C$43+1-G$43,MIN(G$43,5),1))/SUM(OFFSET($B$18,MAX(G$43+1-5,1),$C$43-G$43,MIN(G$43,5),1)),1)</f>
        <v>1</v>
      </c>
      <c r="H48" s="51">
        <f ca="1">IFERROR(SUM(OFFSET($B$18,MAX(H$43+1-5,1),$C$43+1-H$43,MIN(H$43,5),1))/SUM(OFFSET($B$18,MAX(H$43+1-5,1),$C$43-H$43,MIN(H$43,5),1)),1)</f>
        <v>1</v>
      </c>
      <c r="I48" s="51">
        <f ca="1">IFERROR(SUM(OFFSET($B$18,MAX(I$43+1-5,1),$C$43+1-I$43,MIN(I$43,5),1))/SUM(OFFSET($B$18,MAX(I$43+1-5,1),$C$43-I$43,MIN(I$43,5),1)),1)</f>
        <v>1</v>
      </c>
    </row>
    <row r="49" spans="1:11" x14ac:dyDescent="0.25">
      <c r="B49" s="50" t="s">
        <v>46</v>
      </c>
      <c r="C49" s="49">
        <f>AVERAGE(C29:C35)</f>
        <v>1.3120476009843154</v>
      </c>
      <c r="D49" s="49">
        <f>AVERAGE(D29:D35)</f>
        <v>1</v>
      </c>
      <c r="E49" s="49">
        <f>AVERAGE(E29:E35)</f>
        <v>1.0364549196174311</v>
      </c>
      <c r="F49" s="49">
        <f>AVERAGE(F29:F35)</f>
        <v>1</v>
      </c>
      <c r="G49" s="49">
        <f>AVERAGE(G29:G35)</f>
        <v>1</v>
      </c>
      <c r="H49" s="49">
        <f>AVERAGE(H29:H35)</f>
        <v>1</v>
      </c>
      <c r="I49" s="48">
        <v>1</v>
      </c>
      <c r="J49" s="18">
        <v>1</v>
      </c>
    </row>
    <row r="50" spans="1:11" x14ac:dyDescent="0.25">
      <c r="B50" s="50" t="s">
        <v>45</v>
      </c>
      <c r="C50" s="49">
        <f ca="1">AVERAGE(OFFSET($B$28,MAX(C$43+1-2,1),$C$43+1-C$43,MIN(C$43,2),1))</f>
        <v>1.2811444355489463</v>
      </c>
      <c r="D50" s="49">
        <f ca="1">AVERAGE(OFFSET($B$28,MAX(D$43+1-2,1),$C$43+1-D$43,MIN(D$43,2),1))</f>
        <v>1</v>
      </c>
      <c r="E50" s="49">
        <f ca="1">AVERAGE(OFFSET($B$28,MAX(E$43+1-2,1),$C$43+1-E$43,MIN(E$43,2),1))</f>
        <v>1</v>
      </c>
      <c r="F50" s="49">
        <f ca="1">AVERAGE(OFFSET($B$28,MAX(F$43+1-2,1),$C$43+1-F$43,MIN(F$43,2),1))</f>
        <v>1</v>
      </c>
      <c r="G50" s="49">
        <f ca="1">AVERAGE(OFFSET($B$28,MAX(G$43+1-2,1),$C$43+1-G$43,MIN(G$43,2),1))</f>
        <v>1</v>
      </c>
      <c r="H50" s="49">
        <f ca="1">AVERAGE(OFFSET($B$28,MAX(H$43+1-2,1),$C$43+1-H$43,MIN(H$43,2),1))</f>
        <v>1</v>
      </c>
      <c r="I50" s="49">
        <v>1</v>
      </c>
    </row>
    <row r="51" spans="1:11" x14ac:dyDescent="0.25">
      <c r="B51" s="50" t="s">
        <v>44</v>
      </c>
      <c r="C51" s="49">
        <f ca="1">AVERAGE(OFFSET($B$28,MAX(C$43+1-3,1),$C$43+1-C$43,MIN(C$43,3),1))</f>
        <v>1.1874296236992976</v>
      </c>
      <c r="D51" s="49">
        <f ca="1">AVERAGE(OFFSET($B$28,MAX(D$43+1-3,1),$C$43+1-D$43,MIN(D$43,3),1))</f>
        <v>1</v>
      </c>
      <c r="E51" s="49">
        <f ca="1">AVERAGE(OFFSET($B$28,MAX(E$43+1-3,1),$C$43+1-E$43,MIN(E$43,3),1))</f>
        <v>1</v>
      </c>
      <c r="F51" s="49">
        <f ca="1">AVERAGE(OFFSET($B$28,MAX(F$43+1-3,1),$C$43+1-F$43,MIN(F$43,3),1))</f>
        <v>1</v>
      </c>
      <c r="G51" s="49">
        <f ca="1">AVERAGE(OFFSET($B$28,MAX(G$43+1-3,1),$C$43+1-G$43,MIN(G$43,3),1))</f>
        <v>1</v>
      </c>
      <c r="H51" s="49">
        <f ca="1">AVERAGE(OFFSET($B$28,MAX(H$43+1-3,1),$C$43+1-H$43,MIN(H$43,3),1))</f>
        <v>1</v>
      </c>
      <c r="I51" s="48">
        <v>1</v>
      </c>
      <c r="J51" s="18">
        <v>1</v>
      </c>
    </row>
    <row r="52" spans="1:11" x14ac:dyDescent="0.25">
      <c r="B52" s="50" t="s">
        <v>43</v>
      </c>
      <c r="C52" s="49">
        <f ca="1">AVERAGE(OFFSET($B$28,MAX(C$43+1-4,1),$C$43+1-C$43,MIN(C$43,4),1))</f>
        <v>1.2835480483524175</v>
      </c>
      <c r="D52" s="49">
        <f ca="1">AVERAGE(OFFSET($B$28,MAX(D$43+1-4,1),$C$43+1-D$43,MIN(D$43,4),1))</f>
        <v>1</v>
      </c>
      <c r="E52" s="49">
        <f ca="1">AVERAGE(OFFSET($B$28,MAX(E$43+1-4,1),$C$43+1-E$43,MIN(E$43,4),1))</f>
        <v>1.0364549196174311</v>
      </c>
      <c r="F52" s="49">
        <f ca="1">AVERAGE(OFFSET($B$28,MAX(F$43+1-4,1),$C$43+1-F$43,MIN(F$43,4),1))</f>
        <v>1</v>
      </c>
      <c r="G52" s="49">
        <f ca="1">AVERAGE(OFFSET($B$28,MAX(G$43+1-4,1),$C$43+1-G$43,MIN(G$43,4),1))</f>
        <v>1</v>
      </c>
      <c r="H52" s="49">
        <f ca="1">AVERAGE(OFFSET($B$28,MAX(H$43+1-4,1),$C$43+1-H$43,MIN(H$43,4),1))</f>
        <v>1</v>
      </c>
      <c r="I52" s="48">
        <v>1</v>
      </c>
    </row>
    <row r="53" spans="1:11" x14ac:dyDescent="0.25">
      <c r="B53" s="50" t="s">
        <v>42</v>
      </c>
      <c r="C53" s="49">
        <f ca="1">AVERAGE(OFFSET($B$28,MAX(C$43+1-5,1),$C$43+1-C$43,MIN(C$43,5),1))</f>
        <v>1.2955014277125709</v>
      </c>
      <c r="D53" s="49">
        <f ca="1">AVERAGE(OFFSET($B$28,MAX(D$43+1-5,1),$C$43+1-D$43,MIN(D$43,5),1))</f>
        <v>1</v>
      </c>
      <c r="E53" s="49">
        <f ca="1">AVERAGE(OFFSET($B$28,MAX(E$43+1-5,1),$C$43+1-E$43,MIN(E$43,5),1))</f>
        <v>1.0364549196174311</v>
      </c>
      <c r="F53" s="49">
        <f ca="1">AVERAGE(OFFSET($B$28,MAX(F$43+1-5,1),$C$43+1-F$43,MIN(F$43,5),1))</f>
        <v>1</v>
      </c>
      <c r="G53" s="49">
        <f ca="1">AVERAGE(OFFSET($B$28,MAX(G$43+1-5,1),$C$43+1-G$43,MIN(G$43,5),1))</f>
        <v>1</v>
      </c>
      <c r="H53" s="49">
        <f ca="1">AVERAGE(OFFSET($B$28,MAX(H$43+1-5,1),$C$43+1-H$43,MIN(H$43,5),1))</f>
        <v>1</v>
      </c>
      <c r="I53" s="48">
        <v>1</v>
      </c>
    </row>
    <row r="54" spans="1:11" x14ac:dyDescent="0.25">
      <c r="B54" s="50" t="s">
        <v>41</v>
      </c>
      <c r="C54" s="49">
        <f>AVERAGE(C37:C38)</f>
        <v>1.2859516611558888</v>
      </c>
      <c r="D54" s="49">
        <f>AVERAGE(D37:D38)</f>
        <v>1</v>
      </c>
      <c r="E54" s="49">
        <f>AVERAGE(E37:E38)</f>
        <v>1.0729098392348622</v>
      </c>
      <c r="F54" s="49">
        <f>AVERAGE(F37:F38)</f>
        <v>1</v>
      </c>
      <c r="G54" s="49">
        <f>AVERAGE(G37:G38)</f>
        <v>1</v>
      </c>
      <c r="H54" s="49">
        <f>AVERAGE(H37:H38)</f>
        <v>1</v>
      </c>
      <c r="I54" s="48">
        <v>1</v>
      </c>
      <c r="J54" s="18">
        <v>1</v>
      </c>
    </row>
    <row r="55" spans="1:11" ht="26.4" x14ac:dyDescent="0.25">
      <c r="B55" s="45" t="s">
        <v>40</v>
      </c>
      <c r="C55" s="44">
        <f>C49</f>
        <v>1.3120476009843154</v>
      </c>
      <c r="D55" s="44">
        <f>D49</f>
        <v>1</v>
      </c>
      <c r="E55" s="44">
        <f>E49</f>
        <v>1.0364549196174311</v>
      </c>
      <c r="F55" s="44">
        <f>F49</f>
        <v>1</v>
      </c>
      <c r="G55" s="44">
        <f>G49</f>
        <v>1</v>
      </c>
      <c r="H55" s="44">
        <f>H49</f>
        <v>1</v>
      </c>
      <c r="I55" s="44">
        <f>I49</f>
        <v>1</v>
      </c>
      <c r="J55" s="18">
        <v>1</v>
      </c>
    </row>
    <row r="56" spans="1:11" ht="26.4" x14ac:dyDescent="0.25">
      <c r="B56" s="47" t="s">
        <v>39</v>
      </c>
      <c r="C56" s="46">
        <f>PRODUCT(C55:$I$55)</f>
        <v>1.359878190812442</v>
      </c>
      <c r="D56" s="46">
        <f>PRODUCT(D55:$I$55)</f>
        <v>1.0364549196174311</v>
      </c>
      <c r="E56" s="46">
        <f>PRODUCT(E55:$I$55)</f>
        <v>1.0364549196174311</v>
      </c>
      <c r="F56" s="46">
        <f>PRODUCT(F55:$I$55)</f>
        <v>1</v>
      </c>
      <c r="G56" s="46">
        <f>PRODUCT(G55:$I$55)</f>
        <v>1</v>
      </c>
      <c r="H56" s="46">
        <f>PRODUCT(H55:$I$55)</f>
        <v>1</v>
      </c>
      <c r="I56" s="46">
        <f>PRODUCT(I55:$I$55)</f>
        <v>1</v>
      </c>
      <c r="J56" s="18">
        <v>1</v>
      </c>
    </row>
    <row r="57" spans="1:11" x14ac:dyDescent="0.25">
      <c r="B57" s="45" t="s">
        <v>38</v>
      </c>
      <c r="C57" s="44">
        <f>1-(1/C56)</f>
        <v>0.26464001941044246</v>
      </c>
      <c r="D57" s="44">
        <f>1-(1/D56)</f>
        <v>3.5172701607598222E-2</v>
      </c>
      <c r="E57" s="44">
        <f>1-(1/E56)</f>
        <v>3.5172701607598222E-2</v>
      </c>
      <c r="F57" s="44">
        <f>1-(1/F56)</f>
        <v>0</v>
      </c>
      <c r="G57" s="44">
        <f>1-(1/G56)</f>
        <v>0</v>
      </c>
      <c r="H57" s="44">
        <f>1-(1/H56)</f>
        <v>0</v>
      </c>
      <c r="I57" s="44">
        <f>1-(1/I56)</f>
        <v>0</v>
      </c>
    </row>
    <row r="58" spans="1:11" x14ac:dyDescent="0.25">
      <c r="B58" s="43" t="s">
        <v>37</v>
      </c>
      <c r="C58" s="42">
        <f>AVERAGE(K9,K12,K15)</f>
        <v>0.22406842318804485</v>
      </c>
      <c r="D58" s="41"/>
      <c r="E58" s="41"/>
      <c r="F58" s="41"/>
      <c r="G58" s="41"/>
      <c r="H58" s="41"/>
      <c r="I58" s="41"/>
    </row>
    <row r="59" spans="1:11" x14ac:dyDescent="0.25">
      <c r="B59" s="23" t="s">
        <v>36</v>
      </c>
      <c r="C59" s="40">
        <f>1/C56</f>
        <v>0.73535998058955754</v>
      </c>
      <c r="D59" s="40">
        <f>1/D56</f>
        <v>0.96482729839240178</v>
      </c>
      <c r="E59" s="40">
        <f>1/E56</f>
        <v>0.96482729839240178</v>
      </c>
      <c r="F59" s="40">
        <f>1/F56</f>
        <v>1</v>
      </c>
      <c r="G59" s="40">
        <f>1/G56</f>
        <v>1</v>
      </c>
      <c r="H59" s="40">
        <f>1/H56</f>
        <v>1</v>
      </c>
      <c r="I59" s="40">
        <f>1/I56</f>
        <v>1</v>
      </c>
    </row>
    <row r="61" spans="1:11" ht="27" thickBot="1" x14ac:dyDescent="0.3">
      <c r="A61" s="33" t="s">
        <v>2</v>
      </c>
    </row>
    <row r="62" spans="1:11" ht="26.4" x14ac:dyDescent="0.25">
      <c r="A62" s="32"/>
      <c r="B62" s="31">
        <v>0</v>
      </c>
      <c r="C62" s="31">
        <f>B62+1</f>
        <v>1</v>
      </c>
      <c r="D62" s="31">
        <f>C62+1</f>
        <v>2</v>
      </c>
      <c r="E62" s="31">
        <f>D62+1</f>
        <v>3</v>
      </c>
      <c r="F62" s="31">
        <f>E62+1</f>
        <v>4</v>
      </c>
      <c r="G62" s="31">
        <f>F62+1</f>
        <v>5</v>
      </c>
      <c r="H62" s="31">
        <f>G62+1</f>
        <v>6</v>
      </c>
      <c r="I62" s="23" t="s">
        <v>35</v>
      </c>
      <c r="J62" s="23" t="s">
        <v>4</v>
      </c>
      <c r="K62" s="39" t="s">
        <v>34</v>
      </c>
    </row>
    <row r="63" spans="1:11" x14ac:dyDescent="0.25">
      <c r="A63" s="30">
        <f>A29</f>
        <v>2018</v>
      </c>
      <c r="B63" s="38">
        <f>B19</f>
        <v>1909899</v>
      </c>
      <c r="C63" s="38">
        <f>C19</f>
        <v>2663886</v>
      </c>
      <c r="D63" s="38">
        <f>D19</f>
        <v>2663886</v>
      </c>
      <c r="E63" s="38">
        <f>E19</f>
        <v>3052333</v>
      </c>
      <c r="F63" s="38">
        <f>F19</f>
        <v>3052333</v>
      </c>
      <c r="G63" s="38">
        <f>G19</f>
        <v>3052333</v>
      </c>
      <c r="H63" s="38">
        <f>H19</f>
        <v>3052333</v>
      </c>
      <c r="I63" s="36">
        <f>I59</f>
        <v>1</v>
      </c>
      <c r="J63" s="35" t="str">
        <f>IF(I63&lt;=0.75,"BF","BCL")</f>
        <v>BCL</v>
      </c>
      <c r="K63" s="34">
        <f>(J9*$C$58*(1-I63))+I9</f>
        <v>3052333</v>
      </c>
    </row>
    <row r="64" spans="1:11" x14ac:dyDescent="0.25">
      <c r="A64" s="30">
        <f>A63+1</f>
        <v>2019</v>
      </c>
      <c r="B64" s="38">
        <f>B20</f>
        <v>1841219</v>
      </c>
      <c r="C64" s="38">
        <f>C20</f>
        <v>2473337</v>
      </c>
      <c r="D64" s="38">
        <f>D20</f>
        <v>2473337</v>
      </c>
      <c r="E64" s="38">
        <f>E20</f>
        <v>2473337</v>
      </c>
      <c r="F64" s="38">
        <f>F20</f>
        <v>2473337</v>
      </c>
      <c r="G64" s="38">
        <f>G20</f>
        <v>2473337</v>
      </c>
      <c r="H64" s="25">
        <f>IF($J$64="BCL",H55*G64,$K$64-((1-H59)*$C$58*$J10))</f>
        <v>2473337</v>
      </c>
      <c r="I64" s="36">
        <f>H59</f>
        <v>1</v>
      </c>
      <c r="J64" s="35" t="str">
        <f>IF(I64&lt;=0.75,"BF","BCL")</f>
        <v>BCL</v>
      </c>
      <c r="K64" s="34">
        <f>(J10*$C$58*(1-I64))+I10</f>
        <v>2473337</v>
      </c>
    </row>
    <row r="65" spans="1:11" x14ac:dyDescent="0.25">
      <c r="A65" s="30">
        <f>A64+1</f>
        <v>2020</v>
      </c>
      <c r="B65" s="38">
        <f>B21</f>
        <v>952981</v>
      </c>
      <c r="C65" s="38">
        <f>C21</f>
        <v>1497994</v>
      </c>
      <c r="D65" s="38">
        <f>D21</f>
        <v>1497994</v>
      </c>
      <c r="E65" s="38">
        <f>E21</f>
        <v>1497994</v>
      </c>
      <c r="F65" s="38">
        <f>F21</f>
        <v>1497994</v>
      </c>
      <c r="G65" s="25">
        <f>IF($J$65="BCL",G55*F65,$K$65-((1-G59)*$C$58*$J11))</f>
        <v>1497994</v>
      </c>
      <c r="H65" s="25">
        <f>IF($J$65="BCL",H55*G65,$K$65-((1-H59)*$C$58*$J11))</f>
        <v>1497994</v>
      </c>
      <c r="I65" s="36">
        <f>G59</f>
        <v>1</v>
      </c>
      <c r="J65" s="35" t="str">
        <f>IF(I65&lt;=0.75,"BF","BCL")</f>
        <v>BCL</v>
      </c>
      <c r="K65" s="34">
        <f>(J11*$C$58*(1-I65))+I11</f>
        <v>1497994</v>
      </c>
    </row>
    <row r="66" spans="1:11" x14ac:dyDescent="0.25">
      <c r="A66" s="30">
        <f>A65+1</f>
        <v>2021</v>
      </c>
      <c r="B66" s="38">
        <f>B22</f>
        <v>0</v>
      </c>
      <c r="C66" s="38">
        <f>C22</f>
        <v>734331</v>
      </c>
      <c r="D66" s="38">
        <f>D22</f>
        <v>734331</v>
      </c>
      <c r="E66" s="38">
        <f>E22</f>
        <v>734331</v>
      </c>
      <c r="F66" s="25">
        <f>IF($J$66="BCL",F55*E66,$K$66-((1-F59)*$C$58*$J12))</f>
        <v>734331</v>
      </c>
      <c r="G66" s="25">
        <f>IF($J$66="BCL",G55*F66,$K$66-((1-G59)*$C$58*$J12))</f>
        <v>734331</v>
      </c>
      <c r="H66" s="25">
        <f>IF($J$66="BCL",H55*G66,$K$66-((1-H59)*$C$58*$J12))</f>
        <v>734331</v>
      </c>
      <c r="I66" s="36">
        <f>F59</f>
        <v>1</v>
      </c>
      <c r="J66" s="35" t="str">
        <f>IF(I66&lt;=0.75,"BF","BCL")</f>
        <v>BCL</v>
      </c>
      <c r="K66" s="34">
        <f>(J12*$C$58*(1-I66))+I12</f>
        <v>734331</v>
      </c>
    </row>
    <row r="67" spans="1:11" x14ac:dyDescent="0.25">
      <c r="A67" s="30">
        <f>A66+1</f>
        <v>2022</v>
      </c>
      <c r="B67" s="38">
        <f>B23</f>
        <v>771281</v>
      </c>
      <c r="C67" s="38">
        <f>C23</f>
        <v>831346</v>
      </c>
      <c r="D67" s="38">
        <f>D23</f>
        <v>831346</v>
      </c>
      <c r="E67" s="25">
        <f>IF($J$67="BCL",E55*D67,$K$67-((1-E59)*$C$58*$J13))</f>
        <v>861652.65160427289</v>
      </c>
      <c r="F67" s="25">
        <f>IF($J$67="BCL",F55*E67,$K$67-((1-F59)*$C$58*$J13))</f>
        <v>861652.65160427289</v>
      </c>
      <c r="G67" s="25">
        <f>IF($J$67="BCL",G55*F67,$K$67-((1-G59)*$C$58*$J13))</f>
        <v>861652.65160427289</v>
      </c>
      <c r="H67" s="25">
        <f>IF($J$67="BCL",H55*G67,$K$67-((1-H59)*$C$58*$J13))</f>
        <v>861652.65160427289</v>
      </c>
      <c r="I67" s="36">
        <f>E59</f>
        <v>0.96482729839240178</v>
      </c>
      <c r="J67" s="35" t="str">
        <f>IF(I67&lt;=0.75,"BF","BCL")</f>
        <v>BCL</v>
      </c>
      <c r="K67" s="34">
        <f>(J13*$C$58*(1-I67))+I13</f>
        <v>897052.65544678317</v>
      </c>
    </row>
    <row r="68" spans="1:11" ht="13.8" thickBot="1" x14ac:dyDescent="0.3">
      <c r="A68" s="30">
        <f>A67+1</f>
        <v>2023</v>
      </c>
      <c r="B68" s="38">
        <f>B24</f>
        <v>2314784</v>
      </c>
      <c r="C68" s="38">
        <f>C24</f>
        <v>3436093</v>
      </c>
      <c r="D68" s="37">
        <f>IF($J$68="BCL",D55*C68,$K$68-((1-D59)*$C$58*$J14))</f>
        <v>3436093</v>
      </c>
      <c r="E68" s="37">
        <f>IF($J$68="BCL",E55*D68,$K$68-((1-E59)*$C$58*$J14))</f>
        <v>3561355.4941130178</v>
      </c>
      <c r="F68" s="37">
        <f>IF($J$68="BCL",F55*E68,$K$68-((1-F59)*$C$58*$J14))</f>
        <v>3561355.4941130178</v>
      </c>
      <c r="G68" s="37">
        <f>IF($J$68="BCL",G55*F68,$K$68-((1-G59)*$C$58*$J14))</f>
        <v>3561355.4941130178</v>
      </c>
      <c r="H68" s="37">
        <f>IF($J$68="BCL",H55*G68,$K$68-((1-H59)*$C$58*$J14))</f>
        <v>3561355.4941130178</v>
      </c>
      <c r="I68" s="36">
        <f>D59</f>
        <v>0.96482729839240178</v>
      </c>
      <c r="J68" s="35" t="str">
        <f>IF(I68&lt;=0.75,"BF","BCL")</f>
        <v>BCL</v>
      </c>
      <c r="K68" s="34">
        <f>(J14*$C$58*(1-I68))+I14</f>
        <v>3492412.9326018179</v>
      </c>
    </row>
    <row r="69" spans="1:11" ht="13.8" thickBot="1" x14ac:dyDescent="0.3">
      <c r="A69" s="29">
        <f>A68+1</f>
        <v>2024</v>
      </c>
      <c r="B69" s="38">
        <f>B25</f>
        <v>710935</v>
      </c>
      <c r="C69" s="37">
        <f>IF($J$69="BCL",C55*B69,$K$69-((1-C59)*$C$58*$J15))</f>
        <v>932780.56120578421</v>
      </c>
      <c r="D69" s="37">
        <f>IF($J$69="BCL",D55*C69,$K$69-((1-D59)*$C$58*$J15))</f>
        <v>932780.56120578421</v>
      </c>
      <c r="E69" s="37">
        <f>IF($J$69="BCL",E55*D69,$K$69-((1-E59)*$C$58*$J15))</f>
        <v>966785.00158524327</v>
      </c>
      <c r="F69" s="37">
        <f>IF($J$69="BCL",F55*E69,$K$69-((1-F59)*$C$58*$J15))</f>
        <v>966785.00158524327</v>
      </c>
      <c r="G69" s="37">
        <f>IF($J$69="BCL",G55*F69,$K$69-((1-G59)*$C$58*$J15))</f>
        <v>966785.00158524327</v>
      </c>
      <c r="H69" s="37">
        <f>IF($J$69="BCL",H55*G69,$K$69-((1-H59)*$C$58*$J15))</f>
        <v>966785.00158524327</v>
      </c>
      <c r="I69" s="36">
        <f>C59</f>
        <v>0.73535998058955754</v>
      </c>
      <c r="J69" s="35" t="s">
        <v>3</v>
      </c>
      <c r="K69" s="34">
        <f>(J15*$C$58*(1-I69))+I15</f>
        <v>1110585.7546310213</v>
      </c>
    </row>
    <row r="71" spans="1:11" ht="40.200000000000003" thickBot="1" x14ac:dyDescent="0.3">
      <c r="B71" s="33" t="s">
        <v>2</v>
      </c>
    </row>
    <row r="72" spans="1:11" x14ac:dyDescent="0.25">
      <c r="B72" s="32"/>
      <c r="C72" s="31">
        <v>0</v>
      </c>
      <c r="D72" s="31">
        <f>C72+1</f>
        <v>1</v>
      </c>
      <c r="E72" s="31">
        <f>D72+1</f>
        <v>2</v>
      </c>
      <c r="F72" s="31">
        <f>E72+1</f>
        <v>3</v>
      </c>
      <c r="G72" s="31">
        <f>F72+1</f>
        <v>4</v>
      </c>
      <c r="H72" s="31">
        <f>G72+1</f>
        <v>5</v>
      </c>
      <c r="I72" s="31">
        <f>H72+1</f>
        <v>6</v>
      </c>
      <c r="J72" s="18" t="s">
        <v>33</v>
      </c>
    </row>
    <row r="73" spans="1:11" x14ac:dyDescent="0.25">
      <c r="B73" s="30">
        <f>A63</f>
        <v>2018</v>
      </c>
      <c r="C73" s="28"/>
      <c r="D73" s="28"/>
      <c r="E73" s="28"/>
      <c r="F73" s="28"/>
      <c r="G73" s="28"/>
      <c r="H73" s="28"/>
      <c r="I73" s="28"/>
      <c r="J73" s="2">
        <v>0</v>
      </c>
      <c r="K73" s="21">
        <f>J79</f>
        <v>0</v>
      </c>
    </row>
    <row r="74" spans="1:11" x14ac:dyDescent="0.25">
      <c r="B74" s="30">
        <f>B73+1</f>
        <v>2019</v>
      </c>
      <c r="C74" s="28"/>
      <c r="D74" s="28"/>
      <c r="E74" s="28"/>
      <c r="F74" s="28"/>
      <c r="G74" s="28"/>
      <c r="H74" s="28"/>
      <c r="I74" s="27">
        <f>MAX(H64-G64,0)</f>
        <v>0</v>
      </c>
      <c r="J74" s="2">
        <v>0</v>
      </c>
      <c r="K74" s="21">
        <f>J78</f>
        <v>0</v>
      </c>
    </row>
    <row r="75" spans="1:11" x14ac:dyDescent="0.25">
      <c r="B75" s="30">
        <f>B74+1</f>
        <v>2020</v>
      </c>
      <c r="C75" s="28"/>
      <c r="D75" s="28"/>
      <c r="E75" s="28"/>
      <c r="F75" s="28"/>
      <c r="G75" s="28"/>
      <c r="H75" s="27">
        <f>MAX(G65-F65,0)</f>
        <v>0</v>
      </c>
      <c r="I75" s="26">
        <f>MAX(H65-G65,0)</f>
        <v>0</v>
      </c>
      <c r="J75" s="2">
        <v>0</v>
      </c>
      <c r="K75" s="21">
        <f>J77</f>
        <v>50000</v>
      </c>
    </row>
    <row r="76" spans="1:11" x14ac:dyDescent="0.25">
      <c r="B76" s="30">
        <f>B75+1</f>
        <v>2021</v>
      </c>
      <c r="C76" s="28"/>
      <c r="D76" s="28"/>
      <c r="E76" s="28"/>
      <c r="F76" s="28"/>
      <c r="G76" s="27">
        <f>MAX(F66-E66,0)</f>
        <v>0</v>
      </c>
      <c r="H76" s="26">
        <f>MAX(G66-F66,0)</f>
        <v>0</v>
      </c>
      <c r="I76" s="25">
        <f>MAX(H66-G66,0)</f>
        <v>0</v>
      </c>
      <c r="J76" s="2">
        <v>0</v>
      </c>
      <c r="K76" s="21">
        <f>J76</f>
        <v>0</v>
      </c>
    </row>
    <row r="77" spans="1:11" x14ac:dyDescent="0.25">
      <c r="B77" s="30">
        <f>B76+1</f>
        <v>2022</v>
      </c>
      <c r="C77" s="28"/>
      <c r="D77" s="28"/>
      <c r="E77" s="28"/>
      <c r="F77" s="27">
        <f>MAX(E67-D67,0)</f>
        <v>30306.651604272891</v>
      </c>
      <c r="G77" s="26">
        <f>MAX(F67-E67,0)</f>
        <v>0</v>
      </c>
      <c r="H77" s="25">
        <f>MAX(G67-F67,0)</f>
        <v>0</v>
      </c>
      <c r="I77" s="25">
        <f>MAX(H67-G67,0)</f>
        <v>0</v>
      </c>
      <c r="J77" s="2">
        <v>50000</v>
      </c>
      <c r="K77" s="21">
        <f>J75</f>
        <v>0</v>
      </c>
    </row>
    <row r="78" spans="1:11" x14ac:dyDescent="0.25">
      <c r="B78" s="30">
        <f>B77+1</f>
        <v>2023</v>
      </c>
      <c r="C78" s="28"/>
      <c r="D78" s="28"/>
      <c r="E78" s="27">
        <f>MAX(D68-C68,0)</f>
        <v>0</v>
      </c>
      <c r="F78" s="26">
        <f>MAX(E68-D68,0)</f>
        <v>125262.4941130178</v>
      </c>
      <c r="G78" s="25">
        <f>MAX(F68-E68,0)</f>
        <v>0</v>
      </c>
      <c r="H78" s="25">
        <f>MAX(G68-F68,0)</f>
        <v>0</v>
      </c>
      <c r="I78" s="25">
        <f>MAX(H68-G68,0)</f>
        <v>0</v>
      </c>
      <c r="J78" s="2">
        <v>0</v>
      </c>
      <c r="K78" s="21">
        <f>J74</f>
        <v>0</v>
      </c>
    </row>
    <row r="79" spans="1:11" ht="13.8" thickBot="1" x14ac:dyDescent="0.3">
      <c r="B79" s="29">
        <f>B78+1</f>
        <v>2024</v>
      </c>
      <c r="C79" s="28"/>
      <c r="D79" s="27">
        <f>MAX(C69-B69,0)</f>
        <v>221845.56120578421</v>
      </c>
      <c r="E79" s="26">
        <f>MAX(D69-C69,0)</f>
        <v>0</v>
      </c>
      <c r="F79" s="25">
        <f>MAX(E69-D69,0)</f>
        <v>34004.440379459062</v>
      </c>
      <c r="G79" s="25">
        <f>MAX(F69-E69,0)</f>
        <v>0</v>
      </c>
      <c r="H79" s="25">
        <f>MAX(G69-F69,0)</f>
        <v>0</v>
      </c>
      <c r="I79" s="25">
        <f>MAX(H69-G69,0)</f>
        <v>0</v>
      </c>
      <c r="J79" s="2">
        <v>0</v>
      </c>
      <c r="K79" s="21">
        <f>J73</f>
        <v>0</v>
      </c>
    </row>
    <row r="81" spans="3:10" x14ac:dyDescent="0.25">
      <c r="C81" s="23" t="s">
        <v>32</v>
      </c>
      <c r="D81" s="24">
        <f>B79</f>
        <v>2024</v>
      </c>
      <c r="E81" s="24">
        <f>D81+1</f>
        <v>2025</v>
      </c>
      <c r="F81" s="24">
        <f>E81+1</f>
        <v>2026</v>
      </c>
      <c r="G81" s="24">
        <f>F81+1</f>
        <v>2027</v>
      </c>
      <c r="H81" s="24">
        <f>G81+1</f>
        <v>2028</v>
      </c>
      <c r="I81" s="24">
        <f>H81+1</f>
        <v>2029</v>
      </c>
    </row>
    <row r="82" spans="3:10" x14ac:dyDescent="0.25">
      <c r="C82" s="18" t="s">
        <v>31</v>
      </c>
      <c r="D82" s="21">
        <f>MAX(0,I74-J74)</f>
        <v>0</v>
      </c>
      <c r="E82" s="21">
        <f>MAX(0,SUM(H75:I75)-J75)</f>
        <v>0</v>
      </c>
      <c r="F82" s="21">
        <f>MAX(0,SUM(G76:I76)-J76)</f>
        <v>0</v>
      </c>
      <c r="G82" s="21">
        <f>MAX(0,SUM(F77:I77)-J77)</f>
        <v>0</v>
      </c>
      <c r="H82" s="21">
        <f>MAX(0,SUM(E78:I78)-J78)</f>
        <v>125262.4941130178</v>
      </c>
      <c r="I82" s="21">
        <f>MAX(0,SUM(D79:I79)-J79)</f>
        <v>255850.00158524327</v>
      </c>
      <c r="J82" s="21">
        <f>D82</f>
        <v>0</v>
      </c>
    </row>
    <row r="83" spans="3:10" x14ac:dyDescent="0.25">
      <c r="C83" s="18" t="s">
        <v>30</v>
      </c>
      <c r="D83" s="21">
        <f>D82*$B$4^(D72-0.5)</f>
        <v>0</v>
      </c>
      <c r="E83" s="21">
        <f>E82*$B$4^(E72-0.5)</f>
        <v>0</v>
      </c>
      <c r="F83" s="21">
        <f>F82*$B$4^(F72-0.5)</f>
        <v>0</v>
      </c>
      <c r="G83" s="21">
        <f>G82*$B$4^(G72-0.5)</f>
        <v>0</v>
      </c>
      <c r="H83" s="21">
        <f>H82*$B$4^(H72-0.5)</f>
        <v>125262.4941130178</v>
      </c>
      <c r="I83" s="21">
        <f>I82*$B$4^(I72-0.5)</f>
        <v>255850.00158524327</v>
      </c>
      <c r="J83" s="21">
        <f>E82</f>
        <v>0</v>
      </c>
    </row>
    <row r="84" spans="3:10" x14ac:dyDescent="0.25">
      <c r="J84" s="21">
        <f>F82</f>
        <v>0</v>
      </c>
    </row>
    <row r="85" spans="3:10" x14ac:dyDescent="0.25">
      <c r="C85" s="23" t="s">
        <v>29</v>
      </c>
      <c r="D85" s="21">
        <f>SUM(D82:I82)</f>
        <v>381112.49569826107</v>
      </c>
      <c r="J85" s="21">
        <f>G82</f>
        <v>0</v>
      </c>
    </row>
    <row r="86" spans="3:10" x14ac:dyDescent="0.25">
      <c r="C86" s="23" t="s">
        <v>28</v>
      </c>
      <c r="D86" s="21">
        <f>SUM(D83:I83)</f>
        <v>381112.49569826107</v>
      </c>
      <c r="J86" s="21">
        <f>H82</f>
        <v>125262.4941130178</v>
      </c>
    </row>
    <row r="87" spans="3:10" x14ac:dyDescent="0.25">
      <c r="C87" s="23" t="s">
        <v>27</v>
      </c>
      <c r="D87" s="22">
        <f>D85-D86</f>
        <v>0</v>
      </c>
      <c r="J87" s="21">
        <f>I82</f>
        <v>255850.00158524327</v>
      </c>
    </row>
    <row r="88" spans="3:10" x14ac:dyDescent="0.25">
      <c r="J88" s="20">
        <v>0</v>
      </c>
    </row>
    <row r="89" spans="3:10" x14ac:dyDescent="0.25">
      <c r="C89" s="19" t="s">
        <v>26</v>
      </c>
    </row>
    <row r="90" spans="3:10" x14ac:dyDescent="0.25">
      <c r="C90" s="19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FF01-E94F-467A-AE21-CFDD569852C3}">
  <dimension ref="A2:P4"/>
  <sheetViews>
    <sheetView tabSelected="1" zoomScale="79" workbookViewId="0">
      <selection activeCell="E4" sqref="E4"/>
    </sheetView>
  </sheetViews>
  <sheetFormatPr defaultRowHeight="14.4" x14ac:dyDescent="0.3"/>
  <cols>
    <col min="1" max="1" width="12.109375" bestFit="1" customWidth="1"/>
    <col min="2" max="2" width="12.33203125" bestFit="1" customWidth="1"/>
    <col min="3" max="3" width="23.6640625" bestFit="1" customWidth="1"/>
    <col min="4" max="4" width="21.5546875" bestFit="1" customWidth="1"/>
    <col min="5" max="5" width="10" bestFit="1" customWidth="1"/>
    <col min="6" max="6" width="15.6640625" bestFit="1" customWidth="1"/>
    <col min="7" max="7" width="9" bestFit="1" customWidth="1"/>
    <col min="10" max="10" width="10.44140625" bestFit="1" customWidth="1"/>
    <col min="11" max="11" width="24.109375" bestFit="1" customWidth="1"/>
    <col min="13" max="13" width="26.44140625" bestFit="1" customWidth="1"/>
    <col min="15" max="15" width="13.33203125" bestFit="1" customWidth="1"/>
    <col min="16" max="16" width="13.5546875" bestFit="1" customWidth="1"/>
  </cols>
  <sheetData>
    <row r="2" spans="1:16" x14ac:dyDescent="0.3">
      <c r="B2" s="73" t="s">
        <v>12</v>
      </c>
      <c r="C2" s="73" t="s">
        <v>127</v>
      </c>
      <c r="D2" s="73" t="s">
        <v>128</v>
      </c>
      <c r="E2" s="73" t="s">
        <v>129</v>
      </c>
      <c r="F2" s="73" t="s">
        <v>130</v>
      </c>
      <c r="G2" s="73" t="s">
        <v>131</v>
      </c>
      <c r="H2" s="73" t="s">
        <v>132</v>
      </c>
      <c r="I2" s="18"/>
      <c r="J2" s="73" t="s">
        <v>133</v>
      </c>
      <c r="K2" s="73" t="s">
        <v>134</v>
      </c>
      <c r="L2" s="73" t="s">
        <v>135</v>
      </c>
      <c r="M2" s="73" t="s">
        <v>136</v>
      </c>
      <c r="N2" s="73" t="s">
        <v>137</v>
      </c>
      <c r="O2" s="73" t="s">
        <v>138</v>
      </c>
      <c r="P2" s="73" t="s">
        <v>139</v>
      </c>
    </row>
    <row r="4" spans="1:16" x14ac:dyDescent="0.3">
      <c r="A4" s="74" t="s">
        <v>0</v>
      </c>
      <c r="B4" s="18" t="s">
        <v>0</v>
      </c>
      <c r="C4">
        <v>381112.49569826107</v>
      </c>
      <c r="D4" s="75">
        <v>2997544.0110910926</v>
      </c>
      <c r="E4" s="2">
        <v>50000</v>
      </c>
      <c r="F4" s="1">
        <v>1</v>
      </c>
      <c r="G4">
        <f>F4*C4</f>
        <v>381112.49569826107</v>
      </c>
      <c r="H4" s="1">
        <f>'Fire Domestic'!C58</f>
        <v>0.22406842318804485</v>
      </c>
      <c r="J4" s="2">
        <v>3478166.8079739939</v>
      </c>
      <c r="K4" s="76">
        <f t="shared" ref="K4" si="0">C4-J4</f>
        <v>-3097054.3122757329</v>
      </c>
      <c r="L4" s="64">
        <f t="shared" ref="L4" si="1">(K4/J4)</f>
        <v>-0.89042719434141915</v>
      </c>
      <c r="M4" s="64">
        <f t="shared" ref="M4" si="2">(D4-J4)/D4</f>
        <v>-0.16033886245024867</v>
      </c>
      <c r="N4" s="2">
        <v>457657.857608477</v>
      </c>
      <c r="O4" s="76">
        <f t="shared" ref="O4" si="3">(P4-J4)</f>
        <v>-3097054.3122757329</v>
      </c>
      <c r="P4" s="21">
        <f t="shared" ref="P4" si="4">C4</f>
        <v>381112.49569826107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Paid Claims </vt:lpstr>
      <vt:lpstr>Fire Domestic</vt:lpstr>
      <vt:lpstr>SUMMARY RESERVES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DHEER (UG)</dc:creator>
  <cp:lastModifiedBy>SHAH, DHEER (UG)</cp:lastModifiedBy>
  <dcterms:created xsi:type="dcterms:W3CDTF">2025-08-21T12:02:15Z</dcterms:created>
  <dcterms:modified xsi:type="dcterms:W3CDTF">2025-09-09T07:24:02Z</dcterms:modified>
</cp:coreProperties>
</file>