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<sst xmlns="http://schemas.openxmlformats.org/spreadsheetml/2006/main" count="199" uniqueCount="131">
  <si>
    <t>company name</t>
  </si>
  <si>
    <t>stock</t>
  </si>
  <si>
    <t>red edges</t>
  </si>
  <si>
    <t>green edges</t>
  </si>
  <si>
    <t>black edges</t>
  </si>
  <si>
    <t>degree</t>
  </si>
  <si>
    <t>open price 01-01-23</t>
  </si>
  <si>
    <t>close price 31-12-23</t>
  </si>
  <si>
    <t>peak close 2023</t>
  </si>
  <si>
    <t>low close 2023</t>
  </si>
  <si>
    <t>%diff high and low close</t>
  </si>
  <si>
    <t>current price</t>
  </si>
  <si>
    <t>% change 1 year - Nov 30 2023-Nov 30 2024</t>
  </si>
  <si>
    <t>% change Jan - Dec 2023</t>
  </si>
  <si>
    <t>Abbvie Inc.</t>
  </si>
  <si>
    <t>ABBV</t>
  </si>
  <si>
    <t>Eli Lilly Co.</t>
  </si>
  <si>
    <t>LLY</t>
  </si>
  <si>
    <t>Intuitive Surgical inc</t>
  </si>
  <si>
    <t>ISRG</t>
  </si>
  <si>
    <t>Abbot Laboratories</t>
  </si>
  <si>
    <t>ABT</t>
  </si>
  <si>
    <t>United health group</t>
  </si>
  <si>
    <t>UNH</t>
  </si>
  <si>
    <t>Thermo Fisher Scientific Inc.</t>
  </si>
  <si>
    <t>TMO</t>
  </si>
  <si>
    <t>Merck and Co Inc.</t>
  </si>
  <si>
    <t>MRK</t>
  </si>
  <si>
    <t>Johnson and Johnson</t>
  </si>
  <si>
    <t>JNJ</t>
  </si>
  <si>
    <t>BioGen Inc</t>
  </si>
  <si>
    <t>BIIB</t>
  </si>
  <si>
    <t>Danaher Corp</t>
  </si>
  <si>
    <t>DHR</t>
  </si>
  <si>
    <t>Gilead Sciences</t>
  </si>
  <si>
    <t>GILD</t>
  </si>
  <si>
    <t>Vertex Pharmaceuticals</t>
  </si>
  <si>
    <t>VRTX</t>
  </si>
  <si>
    <t>Alnylam Pharmaceuticals</t>
  </si>
  <si>
    <t>ALNY</t>
  </si>
  <si>
    <t>Moderna Inc.</t>
  </si>
  <si>
    <t>MRNA</t>
  </si>
  <si>
    <t>Iqvia</t>
  </si>
  <si>
    <t>IQV</t>
  </si>
  <si>
    <t>Regeneron Pharmaceuticals</t>
  </si>
  <si>
    <t>REGN</t>
  </si>
  <si>
    <t>Stryker Corp</t>
  </si>
  <si>
    <t>SYK</t>
  </si>
  <si>
    <t>Beckton and dickinson</t>
  </si>
  <si>
    <t>BDX</t>
  </si>
  <si>
    <t>Icon Public Limited Co.</t>
  </si>
  <si>
    <t>ICLR</t>
  </si>
  <si>
    <t>Medtronic plc</t>
  </si>
  <si>
    <t>MDT</t>
  </si>
  <si>
    <t>United Therapeutics</t>
  </si>
  <si>
    <t>UTHR</t>
  </si>
  <si>
    <t>CRISPR Therapeutics</t>
  </si>
  <si>
    <t>CRSP</t>
  </si>
  <si>
    <t>Averages For</t>
  </si>
  <si>
    <t>% diff high low close 2023</t>
  </si>
  <si>
    <t>% change past year</t>
  </si>
  <si>
    <t>Stocks Degree 5</t>
  </si>
  <si>
    <t>Stocks Degree 4</t>
  </si>
  <si>
    <t>Stocks Degree 3</t>
  </si>
  <si>
    <t>Stocks Degree 2</t>
  </si>
  <si>
    <t>Stocks Degree 1</t>
  </si>
  <si>
    <t>stocks &gt;=1 red edge</t>
  </si>
  <si>
    <t>stocks &gt;=1 green edge</t>
  </si>
  <si>
    <t>stocks 0 red edges</t>
  </si>
  <si>
    <t>stocks with only black edges</t>
  </si>
  <si>
    <t>VHT ETF Analysis</t>
  </si>
  <si>
    <t>$271.72 per share</t>
  </si>
  <si>
    <t>Company</t>
  </si>
  <si>
    <t>Stock</t>
  </si>
  <si>
    <t>Edge color</t>
  </si>
  <si>
    <t>red</t>
  </si>
  <si>
    <t>green</t>
  </si>
  <si>
    <t>AbbVie Inc</t>
  </si>
  <si>
    <t>Johnson &amp; Johnson</t>
  </si>
  <si>
    <t>Merck &amp; Co., Inc</t>
  </si>
  <si>
    <t>black</t>
  </si>
  <si>
    <t>Thermo Fisher Scientific Inc</t>
  </si>
  <si>
    <t>Abbott Laboratories</t>
  </si>
  <si>
    <t>Danaher Corporation</t>
  </si>
  <si>
    <t>Intuitive Surgical, Inc.</t>
  </si>
  <si>
    <t>Amgen Inc</t>
  </si>
  <si>
    <t>AMGN</t>
  </si>
  <si>
    <t>$260.87</t>
  </si>
  <si>
    <t>$303</t>
  </si>
  <si>
    <t>$282.87</t>
  </si>
  <si>
    <t>VHT Averages</t>
  </si>
  <si>
    <t>XBI ETF Analysis</t>
  </si>
  <si>
    <t>$99.27 per share</t>
  </si>
  <si>
    <t>United Therapeutics Corporation</t>
  </si>
  <si>
    <t>Incyte Corporation</t>
  </si>
  <si>
    <t>INCY</t>
  </si>
  <si>
    <t>Exact Sciences Corporation</t>
  </si>
  <si>
    <t>EXAS</t>
  </si>
  <si>
    <t>Alnylam Pharmaceuticals, Inc</t>
  </si>
  <si>
    <t>AbbVie Inc.</t>
  </si>
  <si>
    <t>Gilead Sciences, Inc.</t>
  </si>
  <si>
    <t>Natera, Inc</t>
  </si>
  <si>
    <t>NTRA</t>
  </si>
  <si>
    <t>Sarepta Therapeutics, Inc</t>
  </si>
  <si>
    <t>SRPT</t>
  </si>
  <si>
    <t>Biogen Inc</t>
  </si>
  <si>
    <t>Moderna, Inc.</t>
  </si>
  <si>
    <t>XBI Averages</t>
  </si>
  <si>
    <t>avg w/o outlier</t>
  </si>
  <si>
    <t>ARKG ETF Analysis</t>
  </si>
  <si>
    <t>$24 per share</t>
  </si>
  <si>
    <t>Twist Bioscience Corporation</t>
  </si>
  <si>
    <t>TWST</t>
  </si>
  <si>
    <t>CareDx, Inc</t>
  </si>
  <si>
    <t>CDNA</t>
  </si>
  <si>
    <t>Recursion Pharmaceuticals, Inc.</t>
  </si>
  <si>
    <t>RXRX</t>
  </si>
  <si>
    <t>CRISPR Therapeutics AG</t>
  </si>
  <si>
    <t>Intellia Therapeutics, Inc</t>
  </si>
  <si>
    <t>NTLA</t>
  </si>
  <si>
    <t>Adaptive Biotechnologies Corporation</t>
  </si>
  <si>
    <t>ADPT</t>
  </si>
  <si>
    <t>Veracyte, Inc.</t>
  </si>
  <si>
    <t>VCYT</t>
  </si>
  <si>
    <t>10x Genomics, Inc</t>
  </si>
  <si>
    <t>TXG</t>
  </si>
  <si>
    <t>Ionis Pharmaceuticals, Inc.</t>
  </si>
  <si>
    <t>IONS</t>
  </si>
  <si>
    <t>Nurix Therapeutics, Inc</t>
  </si>
  <si>
    <t>NRIX</t>
  </si>
  <si>
    <t>ARKG 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</si>
</sst>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B6D7A8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284E3F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284E3F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284E3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9" xfId="0" applyAlignment="1" applyBorder="1" applyFont="1" applyNumberFormat="1">
      <alignment shrinkToFit="0" vertical="center" wrapText="0"/>
    </xf>
    <xf borderId="6" fillId="2" fontId="2" numFmtId="10" xfId="0" applyAlignment="1" applyBorder="1" applyFill="1" applyFont="1" applyNumberFormat="1">
      <alignment readingOrder="0" shrinkToFit="0" vertical="center" wrapText="0"/>
    </xf>
    <xf borderId="7" fillId="2" fontId="2" numFmtId="10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2" numFmtId="164" xfId="0" applyAlignment="1" applyBorder="1" applyFont="1" applyNumberFormat="1">
      <alignment readingOrder="0" shrinkToFit="0" vertical="center" wrapText="0"/>
    </xf>
    <xf borderId="9" fillId="0" fontId="2" numFmtId="9" xfId="0" applyAlignment="1" applyBorder="1" applyFont="1" applyNumberFormat="1">
      <alignment shrinkToFit="0" vertical="center" wrapText="0"/>
    </xf>
    <xf borderId="10" fillId="3" fontId="2" numFmtId="10" xfId="0" applyAlignment="1" applyBorder="1" applyFill="1" applyFont="1" applyNumberFormat="1">
      <alignment shrinkToFit="0" vertical="center" wrapText="0"/>
    </xf>
    <xf borderId="11" fillId="3" fontId="2" numFmtId="10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164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3" fillId="0" fontId="2" numFmtId="9" xfId="0" applyAlignment="1" applyBorder="1" applyFont="1" applyNumberFormat="1">
      <alignment shrinkToFit="0" vertical="center" wrapText="0"/>
    </xf>
    <xf borderId="14" fillId="3" fontId="2" numFmtId="10" xfId="0" applyAlignment="1" applyBorder="1" applyFont="1" applyNumberFormat="1">
      <alignment readingOrder="0" shrinkToFit="0" vertical="center" wrapText="0"/>
    </xf>
    <xf borderId="15" fillId="2" fontId="2" numFmtId="10" xfId="0" applyAlignment="1" applyBorder="1" applyFont="1" applyNumberFormat="1">
      <alignment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bottom" wrapText="0"/>
    </xf>
    <xf borderId="5" fillId="0" fontId="2" numFmtId="4" xfId="0" applyAlignment="1" applyBorder="1" applyFont="1" applyNumberFormat="1">
      <alignment shrinkToFit="0" vertical="center" wrapText="0"/>
    </xf>
    <xf borderId="6" fillId="2" fontId="2" numFmtId="4" xfId="0" applyAlignment="1" applyBorder="1" applyFont="1" applyNumberFormat="1">
      <alignment shrinkToFit="0" vertical="center" wrapText="0"/>
    </xf>
    <xf borderId="7" fillId="2" fontId="2" numFmtId="4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bottom" wrapText="0"/>
    </xf>
    <xf borderId="9" fillId="0" fontId="2" numFmtId="4" xfId="0" applyAlignment="1" applyBorder="1" applyFont="1" applyNumberFormat="1">
      <alignment shrinkToFit="0" vertical="center" wrapText="0"/>
    </xf>
    <xf borderId="7" fillId="2" fontId="2" numFmtId="4" xfId="0" applyAlignment="1" applyBorder="1" applyFont="1" applyNumberFormat="1">
      <alignment shrinkToFit="0" vertical="center" wrapText="0"/>
    </xf>
    <xf borderId="10" fillId="3" fontId="2" numFmtId="4" xfId="0" applyAlignment="1" applyBorder="1" applyFont="1" applyNumberFormat="1">
      <alignment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2" numFmtId="4" xfId="0" applyAlignment="1" applyBorder="1" applyFont="1" applyNumberFormat="1">
      <alignment shrinkToFit="0" vertical="center" wrapText="0"/>
    </xf>
    <xf borderId="18" fillId="2" fontId="2" numFmtId="4" xfId="0" applyAlignment="1" applyBorder="1" applyFont="1" applyNumberFormat="1">
      <alignment shrinkToFit="0" vertical="center" wrapText="0"/>
    </xf>
    <xf borderId="19" fillId="3" fontId="2" numFmtId="4" xfId="0" applyAlignment="1" applyBorder="1" applyFont="1" applyNumberForma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4" fontId="3" numFmtId="164" xfId="0" applyAlignment="1" applyFill="1" applyFont="1" applyNumberFormat="1">
      <alignment horizontal="right" vertical="bottom"/>
    </xf>
    <xf borderId="0" fillId="2" fontId="3" numFmtId="10" xfId="0" applyAlignment="1" applyFont="1" applyNumberFormat="1">
      <alignment horizontal="right" vertical="bottom"/>
    </xf>
    <xf borderId="0" fillId="2" fontId="3" numFmtId="10" xfId="0" applyAlignment="1" applyFont="1" applyNumberFormat="1">
      <alignment horizontal="right" vertical="bottom"/>
    </xf>
    <xf borderId="0" fillId="5" fontId="3" numFmtId="164" xfId="0" applyAlignment="1" applyFill="1" applyFont="1" applyNumberFormat="1">
      <alignment horizontal="right" vertical="bottom"/>
    </xf>
    <xf borderId="0" fillId="3" fontId="3" numFmtId="10" xfId="0" applyAlignment="1" applyFont="1" applyNumberFormat="1">
      <alignment horizontal="right" vertical="bottom"/>
    </xf>
    <xf borderId="0" fillId="5" fontId="3" numFmtId="0" xfId="0" applyAlignment="1" applyFont="1">
      <alignment horizontal="right" readingOrder="0" vertical="bottom"/>
    </xf>
    <xf borderId="0" fillId="0" fontId="2" numFmtId="0" xfId="0" applyFont="1"/>
    <xf borderId="0" fillId="4" fontId="4" numFmtId="164" xfId="0" applyAlignment="1" applyFont="1" applyNumberFormat="1">
      <alignment vertical="bottom"/>
    </xf>
    <xf borderId="0" fillId="4" fontId="4" numFmtId="10" xfId="0" applyAlignment="1" applyFont="1" applyNumberFormat="1">
      <alignment vertical="bottom"/>
    </xf>
    <xf borderId="0" fillId="4" fontId="4" numFmtId="10" xfId="0" applyAlignment="1" applyFont="1" applyNumberFormat="1">
      <alignment vertical="bottom"/>
    </xf>
    <xf borderId="0" fillId="4" fontId="3" numFmtId="0" xfId="0" applyAlignment="1" applyFont="1">
      <alignment readingOrder="0" vertical="bottom"/>
    </xf>
    <xf borderId="0" fillId="4" fontId="3" numFmtId="10" xfId="0" applyAlignment="1" applyFont="1" applyNumberFormat="1">
      <alignment readingOrder="0" vertical="bottom"/>
    </xf>
    <xf borderId="0" fillId="4" fontId="3" numFmtId="10" xfId="0" applyAlignment="1" applyFont="1" applyNumberFormat="1">
      <alignment vertical="bottom"/>
    </xf>
    <xf borderId="0" fillId="0" fontId="3" numFmtId="164" xfId="0" applyAlignment="1" applyFont="1" applyNumberFormat="1">
      <alignment readingOrder="0" vertical="bottom"/>
    </xf>
    <xf borderId="0" fillId="0" fontId="3" numFmtId="10" xfId="0" applyAlignment="1" applyFont="1" applyNumberFormat="1">
      <alignment readingOrder="0" vertical="bottom"/>
    </xf>
    <xf borderId="0" fillId="5" fontId="3" numFmtId="10" xfId="0" applyAlignment="1" applyFont="1" applyNumberFormat="1">
      <alignment horizontal="right" vertical="bottom"/>
    </xf>
    <xf borderId="0" fillId="4" fontId="3" numFmtId="10" xfId="0" applyAlignment="1" applyFont="1" applyNumberFormat="1">
      <alignment horizontal="right" vertical="bottom"/>
    </xf>
    <xf borderId="0" fillId="4" fontId="3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readingOrder="0" vertical="bottom"/>
    </xf>
    <xf borderId="0" fillId="3" fontId="3" numFmtId="10" xfId="0" applyAlignment="1" applyFont="1" applyNumberFormat="1">
      <alignment horizontal="right" vertical="bottom"/>
    </xf>
    <xf borderId="0" fillId="3" fontId="3" numFmtId="10" xfId="0" applyAlignment="1" applyFont="1" applyNumberFormat="1">
      <alignment horizontal="right" readingOrder="0" vertical="bottom"/>
    </xf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10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0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2" pivot="0" name="Sheet1-style 3">
      <tableStyleElement dxfId="3" type="firstRowStripe"/>
      <tableStyleElement dxfId="2" type="secondRowStripe"/>
    </tableStyle>
    <tableStyle count="2" pivot="0" name="Sheet1-style 4">
      <tableStyleElement dxfId="3" type="firstRowStripe"/>
      <tableStyleElement dxfId="2" type="secondRowStripe"/>
    </tableStyle>
    <tableStyle count="2" pivot="0" name="Sheet1-style 5">
      <tableStyleElement dxfId="3" type="firstRowStripe"/>
      <tableStyleElement dxfId="2" type="secondRowStripe"/>
    </tableStyle>
    <tableStyle count="2" pivot="0" name="Sheet1-style 6">
      <tableStyleElement dxfId="2" type="firstRowStripe"/>
      <tableStyleElement dxfId="3" type="secondRowStripe"/>
    </tableStyle>
    <tableStyle count="2" pivot="0" name="Sheet1-style 7">
      <tableStyleElement dxfId="2" type="firstRowStripe"/>
      <tableStyleElement dxfId="3" type="secondRowStripe"/>
    </tableStyle>
    <tableStyle count="2" pivot="0" name="Sheet1-style 8">
      <tableStyleElement dxfId="2" type="firstRowStripe"/>
      <tableStyleElement dxfId="3" type="secondRowStripe"/>
    </tableStyle>
    <tableStyle count="2" pivot="0" name="Sheet1-style 9">
      <tableStyleElement dxfId="3" type="firstRowStripe"/>
      <tableStyleElement dxfId="2" type="secondRowStripe"/>
    </tableStyle>
    <tableStyle count="2" pivot="0" name="Sheet1-style 10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N24" displayName="Table1" name="Table1" id="1">
  <tableColumns count="14">
    <tableColumn name="company name" id="1"/>
    <tableColumn name="stock" id="2"/>
    <tableColumn name="red edges" id="3"/>
    <tableColumn name="green edges" id="4"/>
    <tableColumn name="black edges" id="5"/>
    <tableColumn name="degree" id="6"/>
    <tableColumn name="open price 01-01-23" id="7"/>
    <tableColumn name="close price 31-12-23" id="8"/>
    <tableColumn name="peak close 2023" id="9"/>
    <tableColumn name="low close 2023" id="10"/>
    <tableColumn name="%diff high and low close" id="11"/>
    <tableColumn name="current price" id="12"/>
    <tableColumn name="% change 1 year - Nov 30 2023-Nov 30 2024" id="13"/>
    <tableColumn name="% change Jan - Dec 2023" id="14"/>
  </tableColumns>
  <tableStyleInfo name="Sheet1-style" showColumnStripes="0" showFirstColumn="1" showLastColumn="1" showRowStripes="1"/>
</table>
</file>

<file path=xl/tables/table10.xml><?xml version="1.0" encoding="utf-8"?>
<table xmlns="http://schemas.openxmlformats.org/spreadsheetml/2006/main" headerRowCount="0" ref="D72:G78" displayName="Table_8" name="Table_8" id="10">
  <tableColumns count="4">
    <tableColumn name="Column1" id="1"/>
    <tableColumn name="Column2" id="2"/>
    <tableColumn name="Column3" id="3"/>
    <tableColumn name="Column4" id="4"/>
  </tableColumns>
  <tableStyleInfo name="Sheet1-style 10" showColumnStripes="0" showFirstColumn="1" showLastColumn="1" showRowStripes="1"/>
</table>
</file>

<file path=xl/tables/table2.xml><?xml version="1.0" encoding="utf-8"?>
<table xmlns="http://schemas.openxmlformats.org/spreadsheetml/2006/main" ref="A26:D35" displayName="Table2" name="Table2" id="2">
  <tableColumns count="4">
    <tableColumn name="Averages For" id="1"/>
    <tableColumn name="% diff high low close 2023" id="2"/>
    <tableColumn name="% change past year" id="3"/>
    <tableColumn name="% change Jan - Dec 2023" id="4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D38:H48" displayName="Table_1" name="Table_1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D51:H51" displayName="Table_2" name="Table_2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D53:H54" displayName="Table_3" name="Table_3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D55:H57" displayName="Table_4" name="Table_4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headerRowCount="0" ref="D60:G61" displayName="Table_5" name="Table_5" id="7">
  <tableColumns count="4">
    <tableColumn name="Column1" id="1"/>
    <tableColumn name="Column2" id="2"/>
    <tableColumn name="Column3" id="3"/>
    <tableColumn name="Column4" id="4"/>
  </tableColumns>
  <tableStyleInfo name="Sheet1-style 7" showColumnStripes="0" showFirstColumn="1" showLastColumn="1" showRowStripes="1"/>
</table>
</file>

<file path=xl/tables/table8.xml><?xml version="1.0" encoding="utf-8"?>
<table xmlns="http://schemas.openxmlformats.org/spreadsheetml/2006/main" headerRowCount="0" ref="D62:G63" displayName="Table_6" name="Table_6" id="8">
  <tableColumns count="4">
    <tableColumn name="Column1" id="1"/>
    <tableColumn name="Column2" id="2"/>
    <tableColumn name="Column3" id="3"/>
    <tableColumn name="Column4" id="4"/>
  </tableColumns>
  <tableStyleInfo name="Sheet1-style 8" showColumnStripes="0" showFirstColumn="1" showLastColumn="1" showRowStripes="1"/>
</table>
</file>

<file path=xl/tables/table9.xml><?xml version="1.0" encoding="utf-8"?>
<table xmlns="http://schemas.openxmlformats.org/spreadsheetml/2006/main" headerRowCount="0" ref="D68:H71" displayName="Table_7" name="Table_7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0" Type="http://schemas.openxmlformats.org/officeDocument/2006/relationships/table" Target="../tables/table9.xml"/><Relationship Id="rId21" Type="http://schemas.openxmlformats.org/officeDocument/2006/relationships/table" Target="../tables/table10.xm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19" Type="http://schemas.openxmlformats.org/officeDocument/2006/relationships/table" Target="../tables/table8.xml"/><Relationship Id="rId1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0"/>
    <col customWidth="1" min="3" max="3" width="21.88"/>
    <col customWidth="1" min="4" max="4" width="26.5"/>
    <col customWidth="1" min="5" max="5" width="17.75"/>
    <col customWidth="1" min="6" max="6" width="12.38"/>
    <col customWidth="1" min="7" max="7" width="34.88"/>
    <col customWidth="1" min="8" max="8" width="24.38"/>
    <col customWidth="1" min="9" max="9" width="21.0"/>
    <col customWidth="1" min="10" max="10" width="20.0"/>
    <col customWidth="1" min="11" max="11" width="26.88"/>
    <col customWidth="1" min="12" max="12" width="18.38"/>
    <col customWidth="1" min="13" max="13" width="37.63"/>
    <col customWidth="1" min="14" max="14" width="27.25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>
      <c r="A3" s="4" t="s">
        <v>14</v>
      </c>
      <c r="B3" s="5" t="s">
        <v>15</v>
      </c>
      <c r="C3" s="5">
        <v>0.0</v>
      </c>
      <c r="D3" s="5">
        <v>3.0</v>
      </c>
      <c r="E3" s="5">
        <v>2.0</v>
      </c>
      <c r="F3" s="6">
        <f t="shared" ref="F3:F24" si="1">C3+D3+E3</f>
        <v>5</v>
      </c>
      <c r="G3" s="7">
        <v>162.04</v>
      </c>
      <c r="H3" s="7">
        <v>162.14</v>
      </c>
      <c r="I3" s="7">
        <v>166.55</v>
      </c>
      <c r="J3" s="7">
        <v>134.73</v>
      </c>
      <c r="K3" s="8">
        <f t="shared" ref="K3:K24" si="2">((I3-J3)/J3)</f>
        <v>0.2361760558</v>
      </c>
      <c r="L3" s="7">
        <v>182.93</v>
      </c>
      <c r="M3" s="9">
        <v>0.3248</v>
      </c>
      <c r="N3" s="10">
        <f t="shared" ref="N3:N24" si="3">(H3-G3)/G3</f>
        <v>0.0006171315725</v>
      </c>
    </row>
    <row r="4">
      <c r="A4" s="11" t="s">
        <v>16</v>
      </c>
      <c r="B4" s="12" t="s">
        <v>17</v>
      </c>
      <c r="C4" s="12">
        <v>3.0</v>
      </c>
      <c r="D4" s="12">
        <v>1.0</v>
      </c>
      <c r="E4" s="12">
        <v>0.0</v>
      </c>
      <c r="F4" s="13">
        <f t="shared" si="1"/>
        <v>4</v>
      </c>
      <c r="G4" s="14">
        <v>366.26</v>
      </c>
      <c r="H4" s="14">
        <v>618.55</v>
      </c>
      <c r="I4" s="14">
        <v>618.55</v>
      </c>
      <c r="J4" s="14">
        <v>315.02</v>
      </c>
      <c r="K4" s="15">
        <f t="shared" si="2"/>
        <v>0.9635261253</v>
      </c>
      <c r="L4" s="14">
        <v>795.35</v>
      </c>
      <c r="M4" s="9">
        <v>0.3444</v>
      </c>
      <c r="N4" s="10">
        <f t="shared" si="3"/>
        <v>0.6888276088</v>
      </c>
    </row>
    <row r="5">
      <c r="A5" s="4" t="s">
        <v>18</v>
      </c>
      <c r="B5" s="5" t="s">
        <v>19</v>
      </c>
      <c r="C5" s="5">
        <v>1.0</v>
      </c>
      <c r="D5" s="5">
        <v>0.0</v>
      </c>
      <c r="E5" s="5">
        <v>3.0</v>
      </c>
      <c r="F5" s="6">
        <f t="shared" si="1"/>
        <v>4</v>
      </c>
      <c r="G5" s="7">
        <v>269.59</v>
      </c>
      <c r="H5" s="7">
        <v>322.5</v>
      </c>
      <c r="I5" s="7">
        <v>354.0</v>
      </c>
      <c r="J5" s="7">
        <v>224.75</v>
      </c>
      <c r="K5" s="8">
        <f t="shared" si="2"/>
        <v>0.575083426</v>
      </c>
      <c r="L5" s="7">
        <v>542.0</v>
      </c>
      <c r="M5" s="9">
        <v>0.743</v>
      </c>
      <c r="N5" s="10">
        <f t="shared" si="3"/>
        <v>0.1962609889</v>
      </c>
    </row>
    <row r="6">
      <c r="A6" s="11" t="s">
        <v>20</v>
      </c>
      <c r="B6" s="12" t="s">
        <v>21</v>
      </c>
      <c r="C6" s="12">
        <v>1.0</v>
      </c>
      <c r="D6" s="12">
        <v>0.0</v>
      </c>
      <c r="E6" s="12">
        <v>3.0</v>
      </c>
      <c r="F6" s="13">
        <f t="shared" si="1"/>
        <v>4</v>
      </c>
      <c r="G6" s="14">
        <v>110.51</v>
      </c>
      <c r="H6" s="14">
        <v>110.8</v>
      </c>
      <c r="I6" s="14">
        <v>114.29</v>
      </c>
      <c r="J6" s="14">
        <v>90.87</v>
      </c>
      <c r="K6" s="15">
        <f t="shared" si="2"/>
        <v>0.2577308243</v>
      </c>
      <c r="L6" s="14">
        <v>118.77</v>
      </c>
      <c r="M6" s="9">
        <v>0.1637</v>
      </c>
      <c r="N6" s="10">
        <f t="shared" si="3"/>
        <v>0.002624196905</v>
      </c>
    </row>
    <row r="7">
      <c r="A7" s="4" t="s">
        <v>22</v>
      </c>
      <c r="B7" s="5" t="s">
        <v>23</v>
      </c>
      <c r="C7" s="5">
        <v>1.0</v>
      </c>
      <c r="D7" s="5">
        <v>3.0</v>
      </c>
      <c r="E7" s="5">
        <v>0.0</v>
      </c>
      <c r="F7" s="6">
        <f t="shared" si="1"/>
        <v>4</v>
      </c>
      <c r="G7" s="7">
        <v>525.13</v>
      </c>
      <c r="H7" s="7">
        <v>537.38</v>
      </c>
      <c r="I7" s="7">
        <v>541.21</v>
      </c>
      <c r="J7" s="7">
        <v>460.33</v>
      </c>
      <c r="K7" s="8">
        <f t="shared" si="2"/>
        <v>0.1757000413</v>
      </c>
      <c r="L7" s="7">
        <v>610.2</v>
      </c>
      <c r="M7" s="9">
        <v>0.1289</v>
      </c>
      <c r="N7" s="10">
        <f t="shared" si="3"/>
        <v>0.02332755699</v>
      </c>
    </row>
    <row r="8">
      <c r="A8" s="11" t="s">
        <v>24</v>
      </c>
      <c r="B8" s="12" t="s">
        <v>25</v>
      </c>
      <c r="C8" s="12">
        <v>0.0</v>
      </c>
      <c r="D8" s="12">
        <v>0.0</v>
      </c>
      <c r="E8" s="12">
        <v>4.0</v>
      </c>
      <c r="F8" s="13">
        <f t="shared" si="1"/>
        <v>4</v>
      </c>
      <c r="G8" s="14">
        <v>553.29</v>
      </c>
      <c r="H8" s="14">
        <v>531.23</v>
      </c>
      <c r="I8" s="14">
        <v>593.66</v>
      </c>
      <c r="J8" s="14">
        <v>431.41</v>
      </c>
      <c r="K8" s="15">
        <f t="shared" si="2"/>
        <v>0.3760923483</v>
      </c>
      <c r="L8" s="14">
        <v>529.63</v>
      </c>
      <c r="M8" s="9">
        <v>0.09</v>
      </c>
      <c r="N8" s="16">
        <f t="shared" si="3"/>
        <v>-0.03987059228</v>
      </c>
    </row>
    <row r="9">
      <c r="A9" s="4" t="s">
        <v>26</v>
      </c>
      <c r="B9" s="5" t="s">
        <v>27</v>
      </c>
      <c r="C9" s="5">
        <v>0.0</v>
      </c>
      <c r="D9" s="5">
        <v>1.0</v>
      </c>
      <c r="E9" s="5">
        <v>3.0</v>
      </c>
      <c r="F9" s="6">
        <f t="shared" si="1"/>
        <v>4</v>
      </c>
      <c r="G9" s="7">
        <v>110.14</v>
      </c>
      <c r="H9" s="7">
        <v>117.22</v>
      </c>
      <c r="I9" s="7">
        <v>117.68</v>
      </c>
      <c r="J9" s="7">
        <v>102.94</v>
      </c>
      <c r="K9" s="8">
        <f t="shared" si="2"/>
        <v>0.1431902079</v>
      </c>
      <c r="L9" s="7">
        <v>101.64</v>
      </c>
      <c r="M9" s="9">
        <v>0.0146</v>
      </c>
      <c r="N9" s="10">
        <f t="shared" si="3"/>
        <v>0.06428182313</v>
      </c>
    </row>
    <row r="10">
      <c r="A10" s="11" t="s">
        <v>28</v>
      </c>
      <c r="B10" s="12" t="s">
        <v>29</v>
      </c>
      <c r="C10" s="12">
        <v>0.0</v>
      </c>
      <c r="D10" s="12">
        <v>4.0</v>
      </c>
      <c r="E10" s="12">
        <v>0.0</v>
      </c>
      <c r="F10" s="13">
        <f t="shared" si="1"/>
        <v>4</v>
      </c>
      <c r="G10" s="14">
        <v>176.16</v>
      </c>
      <c r="H10" s="14">
        <v>161.13</v>
      </c>
      <c r="I10" s="14">
        <v>174.48</v>
      </c>
      <c r="J10" s="14">
        <v>151.61</v>
      </c>
      <c r="K10" s="15">
        <f t="shared" si="2"/>
        <v>0.1508475694</v>
      </c>
      <c r="L10" s="14">
        <v>155.01</v>
      </c>
      <c r="M10" s="9">
        <v>0.0223</v>
      </c>
      <c r="N10" s="16">
        <f t="shared" si="3"/>
        <v>-0.08532016349</v>
      </c>
    </row>
    <row r="11">
      <c r="A11" s="4" t="s">
        <v>30</v>
      </c>
      <c r="B11" s="5" t="s">
        <v>31</v>
      </c>
      <c r="C11" s="5">
        <v>0.0</v>
      </c>
      <c r="D11" s="5">
        <v>0.0</v>
      </c>
      <c r="E11" s="5">
        <v>3.0</v>
      </c>
      <c r="F11" s="6">
        <f t="shared" si="1"/>
        <v>3</v>
      </c>
      <c r="G11" s="7">
        <v>276.73</v>
      </c>
      <c r="H11" s="7">
        <v>257.88</v>
      </c>
      <c r="I11" s="7">
        <v>318.06</v>
      </c>
      <c r="J11" s="7">
        <v>224.79</v>
      </c>
      <c r="K11" s="8">
        <f t="shared" si="2"/>
        <v>0.4149205926</v>
      </c>
      <c r="L11" s="7">
        <v>160.63</v>
      </c>
      <c r="M11" s="17">
        <v>-0.2937</v>
      </c>
      <c r="N11" s="16">
        <f t="shared" si="3"/>
        <v>-0.06811693709</v>
      </c>
    </row>
    <row r="12">
      <c r="A12" s="18" t="s">
        <v>32</v>
      </c>
      <c r="B12" s="19" t="s">
        <v>33</v>
      </c>
      <c r="C12" s="20">
        <v>0.0</v>
      </c>
      <c r="D12" s="20">
        <v>0.0</v>
      </c>
      <c r="E12" s="20">
        <v>3.0</v>
      </c>
      <c r="F12" s="13">
        <f t="shared" si="1"/>
        <v>3</v>
      </c>
      <c r="G12" s="21">
        <v>237.42</v>
      </c>
      <c r="H12" s="21">
        <v>230.29</v>
      </c>
      <c r="I12" s="21">
        <v>243.26</v>
      </c>
      <c r="J12" s="21">
        <v>187.88</v>
      </c>
      <c r="K12" s="15">
        <f t="shared" si="2"/>
        <v>0.2947626144</v>
      </c>
      <c r="L12" s="21">
        <v>239.69</v>
      </c>
      <c r="M12" s="9">
        <v>0.0957</v>
      </c>
      <c r="N12" s="16">
        <f t="shared" si="3"/>
        <v>-0.03003116839</v>
      </c>
    </row>
    <row r="13">
      <c r="A13" s="4" t="s">
        <v>34</v>
      </c>
      <c r="B13" s="5" t="s">
        <v>35</v>
      </c>
      <c r="C13" s="5">
        <v>0.0</v>
      </c>
      <c r="D13" s="5">
        <v>2.0</v>
      </c>
      <c r="E13" s="5">
        <v>1.0</v>
      </c>
      <c r="F13" s="6">
        <f t="shared" si="1"/>
        <v>3</v>
      </c>
      <c r="G13" s="7">
        <v>85.08</v>
      </c>
      <c r="H13" s="7">
        <v>80.91</v>
      </c>
      <c r="I13" s="7">
        <v>86.88</v>
      </c>
      <c r="J13" s="7">
        <v>74.42</v>
      </c>
      <c r="K13" s="8">
        <f t="shared" si="2"/>
        <v>0.1674281107</v>
      </c>
      <c r="L13" s="7">
        <v>92.58</v>
      </c>
      <c r="M13" s="9">
        <v>0.2425</v>
      </c>
      <c r="N13" s="16">
        <f t="shared" si="3"/>
        <v>-0.04901269394</v>
      </c>
    </row>
    <row r="14">
      <c r="A14" s="11" t="s">
        <v>36</v>
      </c>
      <c r="B14" s="12" t="s">
        <v>37</v>
      </c>
      <c r="C14" s="12">
        <v>1.0</v>
      </c>
      <c r="D14" s="12">
        <v>1.0</v>
      </c>
      <c r="E14" s="12">
        <v>0.0</v>
      </c>
      <c r="F14" s="13">
        <f t="shared" si="1"/>
        <v>2</v>
      </c>
      <c r="G14" s="14">
        <v>288.61</v>
      </c>
      <c r="H14" s="14">
        <v>416.5</v>
      </c>
      <c r="I14" s="14">
        <v>416.5</v>
      </c>
      <c r="J14" s="14">
        <v>287.37</v>
      </c>
      <c r="K14" s="15">
        <f t="shared" si="2"/>
        <v>0.4493510109</v>
      </c>
      <c r="L14" s="14">
        <v>468.13</v>
      </c>
      <c r="M14" s="9">
        <v>0.3489</v>
      </c>
      <c r="N14" s="10">
        <f t="shared" si="3"/>
        <v>0.4431239389</v>
      </c>
    </row>
    <row r="15">
      <c r="A15" s="4" t="s">
        <v>38</v>
      </c>
      <c r="B15" s="5" t="s">
        <v>39</v>
      </c>
      <c r="C15" s="5">
        <v>0.0</v>
      </c>
      <c r="D15" s="5">
        <v>0.0</v>
      </c>
      <c r="E15" s="5">
        <v>2.0</v>
      </c>
      <c r="F15" s="6">
        <f t="shared" si="1"/>
        <v>2</v>
      </c>
      <c r="G15" s="7">
        <v>238.0</v>
      </c>
      <c r="H15" s="7">
        <v>189.38</v>
      </c>
      <c r="I15" s="7">
        <v>235.53</v>
      </c>
      <c r="J15" s="7">
        <v>151.76</v>
      </c>
      <c r="K15" s="8">
        <f t="shared" si="2"/>
        <v>0.5519899842</v>
      </c>
      <c r="L15" s="7">
        <v>253.07</v>
      </c>
      <c r="M15" s="9">
        <v>0.5684</v>
      </c>
      <c r="N15" s="16">
        <f t="shared" si="3"/>
        <v>-0.2042857143</v>
      </c>
    </row>
    <row r="16">
      <c r="A16" s="18" t="s">
        <v>40</v>
      </c>
      <c r="B16" s="19" t="s">
        <v>41</v>
      </c>
      <c r="C16" s="20">
        <v>0.0</v>
      </c>
      <c r="D16" s="20">
        <v>0.0</v>
      </c>
      <c r="E16" s="20">
        <v>2.0</v>
      </c>
      <c r="F16" s="13">
        <f t="shared" si="1"/>
        <v>2</v>
      </c>
      <c r="G16" s="21">
        <v>180.85</v>
      </c>
      <c r="H16" s="21">
        <v>111.12</v>
      </c>
      <c r="I16" s="21">
        <v>193.98</v>
      </c>
      <c r="J16" s="21">
        <v>70.06</v>
      </c>
      <c r="K16" s="15">
        <f t="shared" si="2"/>
        <v>1.768769626</v>
      </c>
      <c r="L16" s="21">
        <v>43.06</v>
      </c>
      <c r="M16" s="17">
        <v>-0.4492</v>
      </c>
      <c r="N16" s="16">
        <f t="shared" si="3"/>
        <v>-0.3855681504</v>
      </c>
    </row>
    <row r="17">
      <c r="A17" s="22" t="s">
        <v>42</v>
      </c>
      <c r="B17" s="23" t="s">
        <v>43</v>
      </c>
      <c r="C17" s="24">
        <v>0.0</v>
      </c>
      <c r="D17" s="24">
        <v>1.0</v>
      </c>
      <c r="E17" s="24">
        <v>1.0</v>
      </c>
      <c r="F17" s="6">
        <f t="shared" si="1"/>
        <v>2</v>
      </c>
      <c r="G17" s="25">
        <v>208.84</v>
      </c>
      <c r="H17" s="25">
        <v>220.52</v>
      </c>
      <c r="I17" s="25">
        <v>237.18</v>
      </c>
      <c r="J17" s="25">
        <v>179.94</v>
      </c>
      <c r="K17" s="8">
        <f t="shared" si="2"/>
        <v>0.3181060353</v>
      </c>
      <c r="L17" s="25">
        <v>200.84</v>
      </c>
      <c r="M17" s="17">
        <v>-0.0482</v>
      </c>
      <c r="N17" s="10">
        <f t="shared" si="3"/>
        <v>0.05592798314</v>
      </c>
    </row>
    <row r="18">
      <c r="A18" s="11" t="s">
        <v>44</v>
      </c>
      <c r="B18" s="12" t="s">
        <v>45</v>
      </c>
      <c r="C18" s="12">
        <v>0.0</v>
      </c>
      <c r="D18" s="12">
        <v>2.0</v>
      </c>
      <c r="E18" s="12">
        <v>0.0</v>
      </c>
      <c r="F18" s="13">
        <f t="shared" si="1"/>
        <v>2</v>
      </c>
      <c r="G18" s="14">
        <v>721.86</v>
      </c>
      <c r="H18" s="14">
        <v>913.17</v>
      </c>
      <c r="I18" s="14">
        <v>913.17</v>
      </c>
      <c r="J18" s="14">
        <v>692.45</v>
      </c>
      <c r="K18" s="15">
        <f t="shared" si="2"/>
        <v>0.3187522565</v>
      </c>
      <c r="L18" s="14">
        <v>750.22</v>
      </c>
      <c r="M18" s="17">
        <v>-0.0636</v>
      </c>
      <c r="N18" s="10">
        <f t="shared" si="3"/>
        <v>0.2650236888</v>
      </c>
    </row>
    <row r="19">
      <c r="A19" s="4" t="s">
        <v>46</v>
      </c>
      <c r="B19" s="5" t="s">
        <v>47</v>
      </c>
      <c r="C19" s="5">
        <v>1.0</v>
      </c>
      <c r="D19" s="5">
        <v>0.0</v>
      </c>
      <c r="E19" s="5">
        <v>0.0</v>
      </c>
      <c r="F19" s="6">
        <f t="shared" si="1"/>
        <v>1</v>
      </c>
      <c r="G19" s="7">
        <v>247.27</v>
      </c>
      <c r="H19" s="7">
        <v>295.33</v>
      </c>
      <c r="I19" s="7">
        <v>305.09</v>
      </c>
      <c r="J19" s="7">
        <v>256.25</v>
      </c>
      <c r="K19" s="8">
        <f t="shared" si="2"/>
        <v>0.190595122</v>
      </c>
      <c r="L19" s="7">
        <v>392.15</v>
      </c>
      <c r="M19" s="9">
        <v>0.3428</v>
      </c>
      <c r="N19" s="10">
        <f t="shared" si="3"/>
        <v>0.1943624378</v>
      </c>
    </row>
    <row r="20">
      <c r="A20" s="11" t="s">
        <v>48</v>
      </c>
      <c r="B20" s="12" t="s">
        <v>49</v>
      </c>
      <c r="C20" s="12">
        <v>0.0</v>
      </c>
      <c r="D20" s="12">
        <v>0.0</v>
      </c>
      <c r="E20" s="12">
        <v>1.0</v>
      </c>
      <c r="F20" s="13">
        <f t="shared" si="1"/>
        <v>1</v>
      </c>
      <c r="G20" s="14">
        <v>262.66</v>
      </c>
      <c r="H20" s="14">
        <v>242.09</v>
      </c>
      <c r="I20" s="14">
        <v>282.31</v>
      </c>
      <c r="J20" s="14">
        <v>229.71</v>
      </c>
      <c r="K20" s="15">
        <f t="shared" si="2"/>
        <v>0.2289843716</v>
      </c>
      <c r="L20" s="14">
        <v>221.9</v>
      </c>
      <c r="M20" s="17">
        <v>-0.0648</v>
      </c>
      <c r="N20" s="16">
        <f t="shared" si="3"/>
        <v>-0.07831417041</v>
      </c>
    </row>
    <row r="21">
      <c r="A21" s="4" t="s">
        <v>50</v>
      </c>
      <c r="B21" s="5" t="s">
        <v>51</v>
      </c>
      <c r="C21" s="5">
        <v>0.0</v>
      </c>
      <c r="D21" s="5">
        <v>0.0</v>
      </c>
      <c r="E21" s="5">
        <v>1.0</v>
      </c>
      <c r="F21" s="6">
        <f t="shared" si="1"/>
        <v>1</v>
      </c>
      <c r="G21" s="7">
        <v>196.95</v>
      </c>
      <c r="H21" s="7">
        <v>270.72</v>
      </c>
      <c r="I21" s="7">
        <v>283.07</v>
      </c>
      <c r="J21" s="7">
        <v>189.79</v>
      </c>
      <c r="K21" s="8">
        <f t="shared" si="2"/>
        <v>0.4914905949</v>
      </c>
      <c r="L21" s="7">
        <v>210.25</v>
      </c>
      <c r="M21" s="17">
        <v>-0.2143</v>
      </c>
      <c r="N21" s="10">
        <f t="shared" si="3"/>
        <v>0.3745620716</v>
      </c>
    </row>
    <row r="22">
      <c r="A22" s="11" t="s">
        <v>52</v>
      </c>
      <c r="B22" s="12" t="s">
        <v>53</v>
      </c>
      <c r="C22" s="12">
        <v>0.0</v>
      </c>
      <c r="D22" s="12">
        <v>0.0</v>
      </c>
      <c r="E22" s="12">
        <v>1.0</v>
      </c>
      <c r="F22" s="13">
        <f t="shared" si="1"/>
        <v>1</v>
      </c>
      <c r="G22" s="14">
        <v>77.97</v>
      </c>
      <c r="H22" s="14">
        <v>84.57</v>
      </c>
      <c r="I22" s="14">
        <v>90.95</v>
      </c>
      <c r="J22" s="14">
        <v>69.43</v>
      </c>
      <c r="K22" s="15">
        <f t="shared" si="2"/>
        <v>0.3099524701</v>
      </c>
      <c r="L22" s="14">
        <v>86.54</v>
      </c>
      <c r="M22" s="9">
        <v>0.1006</v>
      </c>
      <c r="N22" s="10">
        <f t="shared" si="3"/>
        <v>0.08464794152</v>
      </c>
    </row>
    <row r="23">
      <c r="A23" s="4" t="s">
        <v>54</v>
      </c>
      <c r="B23" s="5" t="s">
        <v>55</v>
      </c>
      <c r="C23" s="5">
        <v>0.0</v>
      </c>
      <c r="D23" s="5">
        <v>0.0</v>
      </c>
      <c r="E23" s="5">
        <v>1.0</v>
      </c>
      <c r="F23" s="6">
        <f t="shared" si="1"/>
        <v>1</v>
      </c>
      <c r="G23" s="7">
        <v>276.26</v>
      </c>
      <c r="H23" s="7">
        <v>229.4</v>
      </c>
      <c r="I23" s="7">
        <v>276.26</v>
      </c>
      <c r="J23" s="7">
        <v>207.32</v>
      </c>
      <c r="K23" s="8">
        <f t="shared" si="2"/>
        <v>0.3325294231</v>
      </c>
      <c r="L23" s="7">
        <v>370.49</v>
      </c>
      <c r="M23" s="9">
        <v>0.6081</v>
      </c>
      <c r="N23" s="16">
        <f t="shared" si="3"/>
        <v>-0.1696228191</v>
      </c>
    </row>
    <row r="24">
      <c r="A24" s="26" t="s">
        <v>56</v>
      </c>
      <c r="B24" s="27" t="s">
        <v>57</v>
      </c>
      <c r="C24" s="27">
        <v>0.0</v>
      </c>
      <c r="D24" s="27">
        <v>1.0</v>
      </c>
      <c r="E24" s="27">
        <v>0.0</v>
      </c>
      <c r="F24" s="28">
        <f t="shared" si="1"/>
        <v>1</v>
      </c>
      <c r="G24" s="29">
        <v>41.19</v>
      </c>
      <c r="H24" s="29">
        <v>60.67</v>
      </c>
      <c r="I24" s="29">
        <v>69.97</v>
      </c>
      <c r="J24" s="29">
        <v>38.74</v>
      </c>
      <c r="K24" s="30">
        <f t="shared" si="2"/>
        <v>0.8061435209</v>
      </c>
      <c r="L24" s="29">
        <v>51.17</v>
      </c>
      <c r="M24" s="31">
        <v>-0.2758</v>
      </c>
      <c r="N24" s="32">
        <f t="shared" si="3"/>
        <v>0.4729303229</v>
      </c>
    </row>
    <row r="26">
      <c r="A26" s="33" t="s">
        <v>58</v>
      </c>
      <c r="B26" s="2" t="s">
        <v>59</v>
      </c>
      <c r="C26" s="2" t="s">
        <v>60</v>
      </c>
      <c r="D26" s="34" t="s">
        <v>13</v>
      </c>
    </row>
    <row r="27">
      <c r="A27" s="35" t="s">
        <v>61</v>
      </c>
      <c r="B27" s="36">
        <f>24</f>
        <v>24</v>
      </c>
      <c r="C27" s="37">
        <f>32.48</f>
        <v>32.48</v>
      </c>
      <c r="D27" s="38">
        <v>0.06</v>
      </c>
    </row>
    <row r="28">
      <c r="A28" s="39" t="s">
        <v>62</v>
      </c>
      <c r="B28" s="40">
        <f>(96+58+18+15+14+38+26)/7</f>
        <v>37.85714286</v>
      </c>
      <c r="C28" s="37">
        <f>(34.44+74.3+12.89+2.23+1.46+9+16.37)/7</f>
        <v>21.52714286</v>
      </c>
      <c r="D28" s="41">
        <f>(68.88+19.63+2.33-8.53+6.43-3.99+0.26)/7</f>
        <v>12.14428571</v>
      </c>
    </row>
    <row r="29">
      <c r="A29" s="35" t="s">
        <v>63</v>
      </c>
      <c r="B29" s="36">
        <f>(17+41+29)/3</f>
        <v>29</v>
      </c>
      <c r="C29" s="37">
        <f>(24.25-29.37+9.57)/3</f>
        <v>1.483333333</v>
      </c>
      <c r="D29" s="42">
        <f>(-4.9-6.81-3)/3</f>
        <v>-4.903333333</v>
      </c>
    </row>
    <row r="30">
      <c r="A30" s="39" t="s">
        <v>64</v>
      </c>
      <c r="B30" s="40">
        <f>(55+32+45+32+177)/5</f>
        <v>68.2</v>
      </c>
      <c r="C30" s="37">
        <f>(56.84-6.36+34.89-4.82-44.92)/5</f>
        <v>7.126</v>
      </c>
      <c r="D30" s="41">
        <f>(-20.42+26.5+44.31+5.59-38.56)/5</f>
        <v>3.484</v>
      </c>
    </row>
    <row r="31">
      <c r="A31" s="35" t="s">
        <v>65</v>
      </c>
      <c r="B31" s="36">
        <f>(23+81+19+49+31+33)/6</f>
        <v>39.33333333</v>
      </c>
      <c r="C31" s="37">
        <f>(-6.48-27.58+34.28-21.43+10.06+60.81)/6</f>
        <v>8.276666667</v>
      </c>
      <c r="D31" s="41">
        <f>(-7.83+47.29+19.44+37.46+8.46-16.96)/6</f>
        <v>14.64333333</v>
      </c>
    </row>
    <row r="32">
      <c r="A32" s="11" t="s">
        <v>66</v>
      </c>
      <c r="B32" s="40">
        <f>(96+58+18+26+45+19)/6</f>
        <v>43.66666667</v>
      </c>
      <c r="C32" s="37">
        <f>(34.44+74.3+12.89+16.37+34.89+34.28)/6</f>
        <v>34.52833333</v>
      </c>
      <c r="D32" s="41">
        <f>(68.88+19.63+2.33+0.26+44.31+19.44)/6</f>
        <v>25.80833333</v>
      </c>
    </row>
    <row r="33">
      <c r="A33" s="4" t="s">
        <v>67</v>
      </c>
      <c r="B33" s="36">
        <f>(15+18+24+17+32+96+45+14+32+81)/10</f>
        <v>37.4</v>
      </c>
      <c r="C33" s="37">
        <f>(2.23+12.89+32.48+24.25-6.36+34.44+34.89+1.46-4.82-27.58)/10</f>
        <v>10.388</v>
      </c>
      <c r="D33" s="41">
        <f>(-8.53+2.33+0.06-4.9+26.5+68.88+44.31+6.43+5.59+47.29)/10</f>
        <v>18.796</v>
      </c>
    </row>
    <row r="34">
      <c r="A34" s="11" t="s">
        <v>68</v>
      </c>
      <c r="B34" s="40">
        <f>(38+41+29+55+177+23+49+31+33+14+32+81+17+32+24+15)/16</f>
        <v>43.1875</v>
      </c>
      <c r="C34" s="37">
        <f>(9-29.37+9.57+56.84-44.92-6.48-21.43+10.06+60.81+1.46-4.82-27.58+24.25-6.36+32.48+2.23)/16</f>
        <v>4.10875</v>
      </c>
      <c r="D34" s="41">
        <f>(-3.99-6.81-3-20.43-38.56-7.83+37.46+8.46-16.96+6.43+5.59+47.29-4.9+26.5+0.06-8.53)/16</f>
        <v>1.29875</v>
      </c>
    </row>
    <row r="35">
      <c r="A35" s="43" t="s">
        <v>69</v>
      </c>
      <c r="B35" s="44">
        <f>(38+41+29+55+177+23+49+31+33)/9</f>
        <v>52.88888889</v>
      </c>
      <c r="C35" s="45">
        <f>(9-29.37+9.57+56.84-44.92-6.48-21.43+10.06+60.81)/9</f>
        <v>4.897777778</v>
      </c>
      <c r="D35" s="46">
        <f>(-3.99-6.81-3-20.43-38.56-7.83+37.46+8.46-16.96)/9</f>
        <v>-5.74</v>
      </c>
    </row>
    <row r="37">
      <c r="A37" s="47" t="s">
        <v>70</v>
      </c>
      <c r="B37" s="47" t="s">
        <v>71</v>
      </c>
      <c r="C37" s="47"/>
      <c r="D37" s="47"/>
      <c r="E37" s="47"/>
      <c r="F37" s="47"/>
      <c r="G37" s="47"/>
      <c r="H37" s="48"/>
    </row>
    <row r="38">
      <c r="A38" s="49" t="s">
        <v>72</v>
      </c>
      <c r="B38" s="49" t="s">
        <v>73</v>
      </c>
      <c r="C38" s="49" t="s">
        <v>74</v>
      </c>
      <c r="D38" s="50" t="s">
        <v>6</v>
      </c>
      <c r="E38" s="50" t="s">
        <v>7</v>
      </c>
      <c r="F38" s="50" t="s">
        <v>11</v>
      </c>
      <c r="G38" s="51" t="s">
        <v>12</v>
      </c>
      <c r="H38" s="52" t="s">
        <v>13</v>
      </c>
    </row>
    <row r="39">
      <c r="A39" s="53" t="s">
        <v>16</v>
      </c>
      <c r="B39" s="53" t="s">
        <v>17</v>
      </c>
      <c r="C39" s="54" t="s">
        <v>75</v>
      </c>
      <c r="D39" s="55">
        <v>366.26</v>
      </c>
      <c r="E39" s="55">
        <v>618.55</v>
      </c>
      <c r="F39" s="55">
        <v>795.35</v>
      </c>
      <c r="G39" s="56">
        <v>0.3444</v>
      </c>
      <c r="H39" s="57">
        <f t="shared" ref="H39:H47" si="4">(E39-D39)/D39</f>
        <v>0.6888276088</v>
      </c>
    </row>
    <row r="40">
      <c r="A40" s="53" t="s">
        <v>22</v>
      </c>
      <c r="B40" s="53" t="s">
        <v>23</v>
      </c>
      <c r="C40" s="54" t="s">
        <v>76</v>
      </c>
      <c r="D40" s="58">
        <v>525.13</v>
      </c>
      <c r="E40" s="58">
        <v>537.38</v>
      </c>
      <c r="F40" s="58">
        <v>610.2</v>
      </c>
      <c r="G40" s="56">
        <v>0.1289</v>
      </c>
      <c r="H40" s="57">
        <f t="shared" si="4"/>
        <v>0.02332755699</v>
      </c>
    </row>
    <row r="41">
      <c r="A41" s="53" t="s">
        <v>77</v>
      </c>
      <c r="B41" s="53" t="s">
        <v>15</v>
      </c>
      <c r="C41" s="54" t="s">
        <v>76</v>
      </c>
      <c r="D41" s="55">
        <v>162.04</v>
      </c>
      <c r="E41" s="55">
        <v>162.14</v>
      </c>
      <c r="F41" s="55">
        <v>182.93</v>
      </c>
      <c r="G41" s="56">
        <v>0.3248</v>
      </c>
      <c r="H41" s="57">
        <f t="shared" si="4"/>
        <v>0.0006171315725</v>
      </c>
    </row>
    <row r="42">
      <c r="A42" s="53" t="s">
        <v>78</v>
      </c>
      <c r="B42" s="53" t="s">
        <v>29</v>
      </c>
      <c r="C42" s="54" t="s">
        <v>76</v>
      </c>
      <c r="D42" s="58">
        <v>176.16</v>
      </c>
      <c r="E42" s="58">
        <v>161.13</v>
      </c>
      <c r="F42" s="58">
        <v>155.01</v>
      </c>
      <c r="G42" s="56">
        <v>0.0223</v>
      </c>
      <c r="H42" s="59">
        <f t="shared" si="4"/>
        <v>-0.08532016349</v>
      </c>
    </row>
    <row r="43">
      <c r="A43" s="53" t="s">
        <v>79</v>
      </c>
      <c r="B43" s="53" t="s">
        <v>27</v>
      </c>
      <c r="C43" s="54" t="s">
        <v>80</v>
      </c>
      <c r="D43" s="55">
        <v>110.14</v>
      </c>
      <c r="E43" s="55">
        <v>117.22</v>
      </c>
      <c r="F43" s="55">
        <v>101.64</v>
      </c>
      <c r="G43" s="56">
        <v>0.0146</v>
      </c>
      <c r="H43" s="57">
        <f t="shared" si="4"/>
        <v>0.06428182313</v>
      </c>
    </row>
    <row r="44">
      <c r="A44" s="53" t="s">
        <v>81</v>
      </c>
      <c r="B44" s="53" t="s">
        <v>25</v>
      </c>
      <c r="C44" s="54" t="s">
        <v>80</v>
      </c>
      <c r="D44" s="58">
        <v>553.29</v>
      </c>
      <c r="E44" s="58">
        <v>531.23</v>
      </c>
      <c r="F44" s="58">
        <v>529.63</v>
      </c>
      <c r="G44" s="56">
        <v>0.09</v>
      </c>
      <c r="H44" s="59">
        <f t="shared" si="4"/>
        <v>-0.03987059228</v>
      </c>
    </row>
    <row r="45">
      <c r="A45" s="53" t="s">
        <v>82</v>
      </c>
      <c r="B45" s="53" t="s">
        <v>21</v>
      </c>
      <c r="C45" s="54" t="s">
        <v>80</v>
      </c>
      <c r="D45" s="55">
        <v>110.51</v>
      </c>
      <c r="E45" s="55">
        <v>110.8</v>
      </c>
      <c r="F45" s="55">
        <v>118.77</v>
      </c>
      <c r="G45" s="56">
        <v>0.1637</v>
      </c>
      <c r="H45" s="57">
        <f t="shared" si="4"/>
        <v>0.002624196905</v>
      </c>
    </row>
    <row r="46">
      <c r="A46" s="53" t="s">
        <v>83</v>
      </c>
      <c r="B46" s="53" t="s">
        <v>33</v>
      </c>
      <c r="C46" s="54" t="s">
        <v>80</v>
      </c>
      <c r="D46" s="58">
        <v>237.42</v>
      </c>
      <c r="E46" s="58">
        <v>230.29</v>
      </c>
      <c r="F46" s="58">
        <v>239.69</v>
      </c>
      <c r="G46" s="56">
        <v>0.0957</v>
      </c>
      <c r="H46" s="59">
        <f t="shared" si="4"/>
        <v>-0.03003116839</v>
      </c>
    </row>
    <row r="47">
      <c r="A47" s="53" t="s">
        <v>84</v>
      </c>
      <c r="B47" s="53" t="s">
        <v>19</v>
      </c>
      <c r="C47" s="54" t="s">
        <v>80</v>
      </c>
      <c r="D47" s="55">
        <v>269.59</v>
      </c>
      <c r="E47" s="55">
        <v>322.5</v>
      </c>
      <c r="F47" s="55">
        <v>542.0</v>
      </c>
      <c r="G47" s="56">
        <v>0.743</v>
      </c>
      <c r="H47" s="57">
        <f t="shared" si="4"/>
        <v>0.1962609889</v>
      </c>
    </row>
    <row r="48">
      <c r="A48" s="53" t="s">
        <v>85</v>
      </c>
      <c r="B48" s="53" t="s">
        <v>86</v>
      </c>
      <c r="C48" s="54" t="s">
        <v>80</v>
      </c>
      <c r="D48" s="60" t="s">
        <v>87</v>
      </c>
      <c r="E48" s="60" t="s">
        <v>88</v>
      </c>
      <c r="F48" s="60" t="s">
        <v>89</v>
      </c>
      <c r="G48" s="57">
        <v>0.0653</v>
      </c>
      <c r="H48" s="57">
        <f>(303-260.87)/260.87</f>
        <v>0.1614980642</v>
      </c>
    </row>
    <row r="50">
      <c r="A50" s="47" t="s">
        <v>90</v>
      </c>
      <c r="B50" s="47"/>
      <c r="G50" s="61">
        <f>(34.44+12.89+32.48+2.23+1.46+9+16.37+9.57+74.3+6.53)/10</f>
        <v>19.927</v>
      </c>
      <c r="H50" s="61">
        <f>(68.88+2.33+0.06-8.53+6.43-3.99+0.26-3+19.63+16.15)/10</f>
        <v>9.822</v>
      </c>
    </row>
    <row r="51">
      <c r="A51" s="49"/>
      <c r="B51" s="49"/>
      <c r="C51" s="49"/>
      <c r="D51" s="50"/>
      <c r="E51" s="50"/>
      <c r="F51" s="50"/>
      <c r="G51" s="51"/>
      <c r="H51" s="52"/>
    </row>
    <row r="52">
      <c r="A52" s="49" t="s">
        <v>91</v>
      </c>
      <c r="B52" s="49" t="s">
        <v>92</v>
      </c>
      <c r="C52" s="53"/>
      <c r="D52" s="53"/>
      <c r="E52" s="53"/>
      <c r="F52" s="53"/>
      <c r="G52" s="53"/>
      <c r="H52" s="53"/>
    </row>
    <row r="53">
      <c r="A53" s="49" t="s">
        <v>72</v>
      </c>
      <c r="B53" s="49" t="s">
        <v>73</v>
      </c>
      <c r="C53" s="49" t="s">
        <v>74</v>
      </c>
      <c r="D53" s="62" t="s">
        <v>6</v>
      </c>
      <c r="E53" s="62" t="s">
        <v>7</v>
      </c>
      <c r="F53" s="62" t="s">
        <v>11</v>
      </c>
      <c r="G53" s="63" t="s">
        <v>12</v>
      </c>
      <c r="H53" s="64" t="s">
        <v>13</v>
      </c>
    </row>
    <row r="54">
      <c r="A54" s="53" t="s">
        <v>93</v>
      </c>
      <c r="B54" s="53" t="s">
        <v>55</v>
      </c>
      <c r="C54" s="54" t="s">
        <v>80</v>
      </c>
      <c r="D54" s="65">
        <v>276.26</v>
      </c>
      <c r="E54" s="65">
        <v>229.4</v>
      </c>
      <c r="F54" s="65">
        <v>370.49</v>
      </c>
      <c r="G54" s="66">
        <v>0.6081</v>
      </c>
      <c r="H54" s="67">
        <f t="shared" ref="H54:H63" si="5">(E54-D54)/D54</f>
        <v>-0.1696228191</v>
      </c>
    </row>
    <row r="55">
      <c r="A55" s="53" t="s">
        <v>94</v>
      </c>
      <c r="B55" s="53" t="s">
        <v>95</v>
      </c>
      <c r="C55" s="54" t="s">
        <v>80</v>
      </c>
      <c r="D55" s="68">
        <v>80.17</v>
      </c>
      <c r="E55" s="68">
        <v>65.26</v>
      </c>
      <c r="F55" s="68">
        <v>74.59</v>
      </c>
      <c r="G55" s="69">
        <v>0.4154</v>
      </c>
      <c r="H55" s="67">
        <f t="shared" si="5"/>
        <v>-0.1859797929</v>
      </c>
    </row>
    <row r="56">
      <c r="A56" s="53" t="s">
        <v>96</v>
      </c>
      <c r="B56" s="53" t="s">
        <v>97</v>
      </c>
      <c r="C56" s="54" t="s">
        <v>80</v>
      </c>
      <c r="D56" s="68">
        <v>50.54</v>
      </c>
      <c r="E56" s="68">
        <v>73.2</v>
      </c>
      <c r="F56" s="68">
        <v>62.08</v>
      </c>
      <c r="G56" s="69">
        <v>-0.0445</v>
      </c>
      <c r="H56" s="67">
        <f t="shared" si="5"/>
        <v>0.4483577364</v>
      </c>
    </row>
    <row r="57">
      <c r="A57" s="53" t="s">
        <v>98</v>
      </c>
      <c r="B57" s="53" t="s">
        <v>39</v>
      </c>
      <c r="C57" s="54" t="s">
        <v>80</v>
      </c>
      <c r="D57" s="58">
        <v>238.0</v>
      </c>
      <c r="E57" s="58">
        <v>189.38</v>
      </c>
      <c r="F57" s="58">
        <v>253.07</v>
      </c>
      <c r="G57" s="56">
        <v>0.5684</v>
      </c>
      <c r="H57" s="70">
        <f t="shared" si="5"/>
        <v>-0.2042857143</v>
      </c>
    </row>
    <row r="58">
      <c r="A58" s="53" t="s">
        <v>99</v>
      </c>
      <c r="B58" s="53" t="s">
        <v>15</v>
      </c>
      <c r="C58" s="54" t="s">
        <v>80</v>
      </c>
      <c r="D58" s="55">
        <v>162.04</v>
      </c>
      <c r="E58" s="55">
        <v>162.14</v>
      </c>
      <c r="F58" s="55">
        <v>182.93</v>
      </c>
      <c r="G58" s="71">
        <v>0.3248</v>
      </c>
      <c r="H58" s="72">
        <f t="shared" si="5"/>
        <v>0.0006171315725</v>
      </c>
    </row>
    <row r="59">
      <c r="A59" s="53" t="s">
        <v>100</v>
      </c>
      <c r="B59" s="53" t="s">
        <v>35</v>
      </c>
      <c r="C59" s="54" t="s">
        <v>80</v>
      </c>
      <c r="D59" s="58">
        <v>85.08</v>
      </c>
      <c r="E59" s="58">
        <v>80.91</v>
      </c>
      <c r="F59" s="58">
        <v>92.58</v>
      </c>
      <c r="G59" s="73">
        <v>0.2425</v>
      </c>
      <c r="H59" s="70">
        <f t="shared" si="5"/>
        <v>-0.04901269394</v>
      </c>
    </row>
    <row r="60">
      <c r="A60" s="53" t="s">
        <v>101</v>
      </c>
      <c r="B60" s="53" t="s">
        <v>102</v>
      </c>
      <c r="C60" s="54" t="s">
        <v>80</v>
      </c>
      <c r="D60" s="68">
        <v>40.66</v>
      </c>
      <c r="E60" s="68">
        <v>62.23</v>
      </c>
      <c r="F60" s="68">
        <v>167.78</v>
      </c>
      <c r="G60" s="69">
        <v>2.05</v>
      </c>
      <c r="H60" s="70">
        <f t="shared" si="5"/>
        <v>0.5304968028</v>
      </c>
    </row>
    <row r="61">
      <c r="A61" s="53" t="s">
        <v>103</v>
      </c>
      <c r="B61" s="53" t="s">
        <v>104</v>
      </c>
      <c r="C61" s="54" t="s">
        <v>80</v>
      </c>
      <c r="D61" s="74">
        <v>128.69</v>
      </c>
      <c r="E61" s="74">
        <v>97.34</v>
      </c>
      <c r="F61" s="74">
        <v>133.34</v>
      </c>
      <c r="G61" s="75">
        <v>0.6141</v>
      </c>
      <c r="H61" s="70">
        <f t="shared" si="5"/>
        <v>-0.243608672</v>
      </c>
    </row>
    <row r="62">
      <c r="A62" s="53" t="s">
        <v>105</v>
      </c>
      <c r="B62" s="53" t="s">
        <v>31</v>
      </c>
      <c r="C62" s="54" t="s">
        <v>80</v>
      </c>
      <c r="D62" s="58">
        <v>276.73</v>
      </c>
      <c r="E62" s="58">
        <v>257.88</v>
      </c>
      <c r="F62" s="58">
        <v>160.63</v>
      </c>
      <c r="G62" s="76">
        <v>-0.2937</v>
      </c>
      <c r="H62" s="70">
        <f t="shared" si="5"/>
        <v>-0.06811693709</v>
      </c>
    </row>
    <row r="63">
      <c r="A63" s="53" t="s">
        <v>106</v>
      </c>
      <c r="B63" s="53" t="s">
        <v>41</v>
      </c>
      <c r="C63" s="54" t="s">
        <v>80</v>
      </c>
      <c r="D63" s="60">
        <v>180.85</v>
      </c>
      <c r="E63" s="60">
        <v>111.12</v>
      </c>
      <c r="F63" s="60">
        <v>43.06</v>
      </c>
      <c r="G63" s="77">
        <v>-0.4492</v>
      </c>
      <c r="H63" s="70">
        <f t="shared" si="5"/>
        <v>-0.3855681504</v>
      </c>
    </row>
    <row r="65">
      <c r="A65" s="47" t="s">
        <v>107</v>
      </c>
      <c r="G65" s="78">
        <f>(60.81+41.54-4.45+56.84+32.48+24.25+205+61.41-29.37-44.92)/1000</f>
        <v>0.40359</v>
      </c>
      <c r="H65" s="78">
        <f>(-16.96-18.6+44.84-20.43+0.06-4.9+53.05-24.36-6.81-38.56)/1000</f>
        <v>-0.03267</v>
      </c>
    </row>
    <row r="66">
      <c r="F66" s="79" t="s">
        <v>108</v>
      </c>
      <c r="G66" s="78">
        <f>(40.359*10-205)/900</f>
        <v>0.2206555556</v>
      </c>
    </row>
    <row r="67">
      <c r="A67" s="47" t="s">
        <v>109</v>
      </c>
      <c r="B67" s="47" t="s">
        <v>110</v>
      </c>
    </row>
    <row r="68">
      <c r="A68" s="49" t="s">
        <v>72</v>
      </c>
      <c r="B68" s="49" t="s">
        <v>73</v>
      </c>
      <c r="C68" s="49" t="s">
        <v>74</v>
      </c>
      <c r="D68" s="62" t="s">
        <v>6</v>
      </c>
      <c r="E68" s="62" t="s">
        <v>7</v>
      </c>
      <c r="F68" s="62" t="s">
        <v>11</v>
      </c>
      <c r="G68" s="63" t="s">
        <v>12</v>
      </c>
      <c r="H68" s="64" t="s">
        <v>13</v>
      </c>
    </row>
    <row r="69">
      <c r="A69" s="53" t="s">
        <v>111</v>
      </c>
      <c r="B69" s="53" t="s">
        <v>112</v>
      </c>
      <c r="C69" s="79" t="s">
        <v>76</v>
      </c>
      <c r="D69" s="65">
        <v>25.49</v>
      </c>
      <c r="E69" s="65">
        <v>33.98</v>
      </c>
      <c r="F69" s="65">
        <v>49.18</v>
      </c>
      <c r="G69" s="66">
        <v>1.0475</v>
      </c>
      <c r="H69" s="67">
        <f t="shared" ref="H69:H78" si="6">(E69-D69)/D69</f>
        <v>0.3330717929</v>
      </c>
    </row>
    <row r="70">
      <c r="A70" s="53" t="s">
        <v>113</v>
      </c>
      <c r="B70" s="53" t="s">
        <v>114</v>
      </c>
      <c r="C70" s="79" t="s">
        <v>76</v>
      </c>
      <c r="D70" s="65">
        <v>11.58</v>
      </c>
      <c r="E70" s="65">
        <v>11.3</v>
      </c>
      <c r="F70" s="65">
        <v>24.54</v>
      </c>
      <c r="G70" s="66">
        <v>1.5143</v>
      </c>
      <c r="H70" s="67">
        <f t="shared" si="6"/>
        <v>-0.02417962003</v>
      </c>
    </row>
    <row r="71">
      <c r="A71" s="53" t="s">
        <v>115</v>
      </c>
      <c r="B71" s="53" t="s">
        <v>116</v>
      </c>
      <c r="C71" s="79" t="s">
        <v>76</v>
      </c>
      <c r="D71" s="65">
        <v>7.77</v>
      </c>
      <c r="E71" s="65">
        <v>11.93</v>
      </c>
      <c r="F71" s="65">
        <v>7.07</v>
      </c>
      <c r="G71" s="66">
        <v>0.0071</v>
      </c>
      <c r="H71" s="67">
        <f t="shared" si="6"/>
        <v>0.5353925354</v>
      </c>
    </row>
    <row r="72">
      <c r="A72" s="53" t="s">
        <v>117</v>
      </c>
      <c r="B72" s="53" t="s">
        <v>57</v>
      </c>
      <c r="C72" s="79" t="s">
        <v>76</v>
      </c>
      <c r="D72" s="80">
        <v>41.19</v>
      </c>
      <c r="E72" s="80">
        <v>60.67</v>
      </c>
      <c r="F72" s="80">
        <v>51.17</v>
      </c>
      <c r="G72" s="81">
        <v>-0.2758</v>
      </c>
      <c r="H72" s="67">
        <f t="shared" si="6"/>
        <v>0.4729303229</v>
      </c>
    </row>
    <row r="73">
      <c r="A73" s="53" t="s">
        <v>118</v>
      </c>
      <c r="B73" s="53" t="s">
        <v>119</v>
      </c>
      <c r="C73" s="79" t="s">
        <v>76</v>
      </c>
      <c r="D73" s="82">
        <v>35.62</v>
      </c>
      <c r="E73" s="82">
        <v>28.63</v>
      </c>
      <c r="F73" s="82">
        <v>15.62</v>
      </c>
      <c r="G73" s="83">
        <v>-0.492</v>
      </c>
      <c r="H73" s="67">
        <f t="shared" si="6"/>
        <v>-0.1962380685</v>
      </c>
    </row>
    <row r="74">
      <c r="A74" s="53" t="s">
        <v>120</v>
      </c>
      <c r="B74" s="53" t="s">
        <v>121</v>
      </c>
      <c r="C74" s="79" t="s">
        <v>80</v>
      </c>
      <c r="D74" s="82">
        <v>7.89</v>
      </c>
      <c r="E74" s="82">
        <v>4.58</v>
      </c>
      <c r="F74" s="82">
        <v>5.94</v>
      </c>
      <c r="G74" s="83">
        <v>0.3593</v>
      </c>
      <c r="H74" s="67">
        <f t="shared" si="6"/>
        <v>-0.4195183777</v>
      </c>
    </row>
    <row r="75">
      <c r="A75" s="53" t="s">
        <v>122</v>
      </c>
      <c r="B75" s="53" t="s">
        <v>123</v>
      </c>
      <c r="C75" s="79" t="s">
        <v>80</v>
      </c>
      <c r="D75" s="82">
        <v>24.29</v>
      </c>
      <c r="E75" s="82">
        <v>25.73</v>
      </c>
      <c r="F75" s="82">
        <v>42.95</v>
      </c>
      <c r="G75" s="83">
        <v>0.666</v>
      </c>
      <c r="H75" s="67">
        <f t="shared" si="6"/>
        <v>0.05928365583</v>
      </c>
    </row>
    <row r="76">
      <c r="A76" s="53" t="s">
        <v>124</v>
      </c>
      <c r="B76" s="53" t="s">
        <v>125</v>
      </c>
      <c r="C76" s="79" t="s">
        <v>80</v>
      </c>
      <c r="D76" s="82">
        <v>37.49</v>
      </c>
      <c r="E76" s="82">
        <v>51.64</v>
      </c>
      <c r="F76" s="82">
        <v>15.9</v>
      </c>
      <c r="G76" s="83">
        <v>-0.6229</v>
      </c>
      <c r="H76" s="67">
        <f t="shared" si="6"/>
        <v>0.3774339824</v>
      </c>
    </row>
    <row r="77">
      <c r="A77" s="53" t="s">
        <v>126</v>
      </c>
      <c r="B77" s="53" t="s">
        <v>127</v>
      </c>
      <c r="C77" s="79" t="s">
        <v>80</v>
      </c>
      <c r="D77" s="82">
        <v>37.95</v>
      </c>
      <c r="E77" s="82">
        <v>50.7</v>
      </c>
      <c r="F77" s="82">
        <v>35.73</v>
      </c>
      <c r="G77" s="83">
        <v>-0.2609</v>
      </c>
      <c r="H77" s="67">
        <f t="shared" si="6"/>
        <v>0.3359683794</v>
      </c>
    </row>
    <row r="78">
      <c r="A78" s="53" t="s">
        <v>128</v>
      </c>
      <c r="B78" s="53" t="s">
        <v>129</v>
      </c>
      <c r="C78" s="79" t="s">
        <v>80</v>
      </c>
      <c r="D78" s="82">
        <v>11.06</v>
      </c>
      <c r="E78" s="82">
        <v>9.87</v>
      </c>
      <c r="F78" s="82">
        <v>22.11</v>
      </c>
      <c r="G78" s="83">
        <v>2.8121</v>
      </c>
      <c r="H78" s="67">
        <f t="shared" si="6"/>
        <v>-0.1075949367</v>
      </c>
    </row>
    <row r="80">
      <c r="A80" s="47" t="s">
        <v>130</v>
      </c>
      <c r="G80" s="78">
        <f>(104.75+151.43+0.71-27.58-49.2+35.93+66.6-62.29-26.09+281.21)/1000</f>
        <v>0.47547</v>
      </c>
      <c r="H80" s="78">
        <f>(33.21-2.42+53.54+47.29-19.62-41.95+5.93+37.74+33.6-10.76)/1000</f>
        <v>0.13656</v>
      </c>
    </row>
    <row r="81">
      <c r="F81" s="79" t="s">
        <v>108</v>
      </c>
      <c r="G81" s="78">
        <f>(47.547*10-281.21)/900</f>
        <v>0.2158444444</v>
      </c>
    </row>
  </sheetData>
  <dataValidations>
    <dataValidation type="custom" allowBlank="1" showDropDown="1" sqref="C3:J24 L3:N24 B27:D35">
      <formula1>AND(ISNUMBER(B3),(NOT(OR(NOT(ISERROR(DATEVALUE(B3))), AND(ISNUMBER(B3), LEFT(CELL("format", B3))="D")))))</formula1>
    </dataValidation>
  </dataValidations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