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ego\Gestão\Stefanini\295 - Gestão\Propostas\PROPOSTAS DPF\FSW_DPF\5 - Esclarecimentos e Impugnações\6.1 - Esclarecimentos\"/>
    </mc:Choice>
  </mc:AlternateContent>
  <bookViews>
    <workbookView xWindow="0" yWindow="0" windowWidth="28800" windowHeight="12000" firstSheet="2" activeTab="2"/>
  </bookViews>
  <sheets>
    <sheet name="Orientações Gerais" sheetId="2" r:id="rId1"/>
    <sheet name="Dados da Empresa" sheetId="1" r:id="rId2"/>
    <sheet name="Custos do Time" sheetId="3" r:id="rId3"/>
    <sheet name="1" sheetId="5" r:id="rId4"/>
    <sheet name="2" sheetId="20" r:id="rId5"/>
    <sheet name="3" sheetId="21" r:id="rId6"/>
    <sheet name="4" sheetId="22" r:id="rId7"/>
    <sheet name="5" sheetId="23" r:id="rId8"/>
    <sheet name="6" sheetId="24" r:id="rId9"/>
    <sheet name="7" sheetId="25" r:id="rId10"/>
  </sheets>
  <definedNames>
    <definedName name="_xlnm.Print_Area" localSheetId="3">'1'!$A$3:$C$112</definedName>
    <definedName name="_xlnm.Print_Area" localSheetId="4">'2'!$A$3:$C$112</definedName>
    <definedName name="_xlnm.Print_Area" localSheetId="5">'3'!$A$3:$C$112</definedName>
    <definedName name="_xlnm.Print_Area" localSheetId="6">'4'!$A$3:$C$112</definedName>
    <definedName name="_xlnm.Print_Area" localSheetId="7">'5'!$A$3:$C$112</definedName>
    <definedName name="_xlnm.Print_Area" localSheetId="8">'6'!$A$3:$C$112</definedName>
    <definedName name="_xlnm.Print_Area" localSheetId="9">'7'!$A$3:$C$112</definedName>
    <definedName name="_xlnm.Print_Titles" localSheetId="3">'1'!$1:$2</definedName>
    <definedName name="_xlnm.Print_Titles" localSheetId="4">'2'!$1:$2</definedName>
    <definedName name="_xlnm.Print_Titles" localSheetId="5">'3'!$1:$2</definedName>
    <definedName name="_xlnm.Print_Titles" localSheetId="6">'4'!$1:$2</definedName>
    <definedName name="_xlnm.Print_Titles" localSheetId="7">'5'!$1:$2</definedName>
    <definedName name="_xlnm.Print_Titles" localSheetId="8">'6'!$1:$2</definedName>
    <definedName name="_xlnm.Print_Titles" localSheetId="9">'7'!$1:$2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2" l="1"/>
  <c r="C16" i="20" l="1"/>
  <c r="C16" i="21"/>
  <c r="C16" i="22"/>
  <c r="C16" i="23"/>
  <c r="C16" i="24"/>
  <c r="C16" i="25"/>
  <c r="C16" i="5"/>
  <c r="B102" i="5" l="1"/>
  <c r="C18" i="25" l="1"/>
  <c r="C20" i="25" s="1"/>
  <c r="I9" i="3"/>
  <c r="C28" i="20"/>
  <c r="C28" i="21"/>
  <c r="C28" i="22"/>
  <c r="C28" i="23"/>
  <c r="C28" i="24"/>
  <c r="C28" i="25"/>
  <c r="C28" i="5"/>
  <c r="B71" i="20"/>
  <c r="B71" i="25"/>
  <c r="B71" i="5"/>
  <c r="B80" i="20"/>
  <c r="B80" i="21"/>
  <c r="B80" i="22"/>
  <c r="B80" i="23"/>
  <c r="B80" i="24"/>
  <c r="B80" i="25"/>
  <c r="B80" i="5"/>
  <c r="B78" i="20"/>
  <c r="B78" i="21"/>
  <c r="B78" i="22"/>
  <c r="B78" i="23"/>
  <c r="B78" i="24"/>
  <c r="B78" i="25"/>
  <c r="B78" i="5"/>
  <c r="B71" i="21"/>
  <c r="B71" i="22"/>
  <c r="B71" i="23"/>
  <c r="B71" i="24"/>
  <c r="B59" i="20"/>
  <c r="B59" i="21"/>
  <c r="B59" i="22"/>
  <c r="B59" i="23"/>
  <c r="B59" i="24"/>
  <c r="B59" i="25"/>
  <c r="B59" i="5"/>
  <c r="B56" i="20"/>
  <c r="B56" i="21"/>
  <c r="B56" i="22"/>
  <c r="B56" i="23"/>
  <c r="B56" i="24"/>
  <c r="B56" i="25"/>
  <c r="B56" i="5"/>
  <c r="B51" i="20"/>
  <c r="B51" i="21"/>
  <c r="B51" i="22"/>
  <c r="B51" i="23"/>
  <c r="B51" i="24"/>
  <c r="B51" i="25"/>
  <c r="B51" i="5"/>
  <c r="B46" i="20"/>
  <c r="B46" i="21"/>
  <c r="B46" i="22"/>
  <c r="B46" i="23"/>
  <c r="B46" i="24"/>
  <c r="B46" i="25"/>
  <c r="B46" i="5"/>
  <c r="B44" i="20"/>
  <c r="B44" i="21"/>
  <c r="B44" i="22"/>
  <c r="B44" i="23"/>
  <c r="B44" i="24"/>
  <c r="B44" i="25"/>
  <c r="B44" i="5"/>
  <c r="C18" i="5" l="1"/>
  <c r="C20" i="5" s="1"/>
  <c r="C18" i="20"/>
  <c r="C20" i="20" s="1"/>
  <c r="C18" i="21"/>
  <c r="C20" i="21" s="1"/>
  <c r="C18" i="22"/>
  <c r="C20" i="22" s="1"/>
  <c r="C18" i="23"/>
  <c r="C20" i="23" s="1"/>
  <c r="C113" i="25" l="1"/>
  <c r="B102" i="25"/>
  <c r="B72" i="25"/>
  <c r="B82" i="25" s="1"/>
  <c r="B61" i="25"/>
  <c r="B81" i="25" s="1"/>
  <c r="B52" i="25"/>
  <c r="B47" i="25"/>
  <c r="B79" i="25" s="1"/>
  <c r="B40" i="25"/>
  <c r="C113" i="24"/>
  <c r="B102" i="24"/>
  <c r="B72" i="24"/>
  <c r="B82" i="24" s="1"/>
  <c r="B61" i="24"/>
  <c r="B81" i="24" s="1"/>
  <c r="B52" i="24"/>
  <c r="B47" i="24"/>
  <c r="B79" i="24" s="1"/>
  <c r="B40" i="24"/>
  <c r="C113" i="23"/>
  <c r="B102" i="23"/>
  <c r="B72" i="23"/>
  <c r="B82" i="23" s="1"/>
  <c r="B61" i="23"/>
  <c r="B81" i="23" s="1"/>
  <c r="B52" i="23"/>
  <c r="B47" i="23"/>
  <c r="B79" i="23" s="1"/>
  <c r="B40" i="23"/>
  <c r="C113" i="22"/>
  <c r="B102" i="22"/>
  <c r="B72" i="22"/>
  <c r="B82" i="22" s="1"/>
  <c r="B61" i="22"/>
  <c r="B81" i="22" s="1"/>
  <c r="B52" i="22"/>
  <c r="B47" i="22"/>
  <c r="B79" i="22" s="1"/>
  <c r="B40" i="22"/>
  <c r="C113" i="21"/>
  <c r="B102" i="21"/>
  <c r="B72" i="21"/>
  <c r="B82" i="21" s="1"/>
  <c r="B61" i="21"/>
  <c r="B81" i="21" s="1"/>
  <c r="B52" i="21"/>
  <c r="B47" i="21"/>
  <c r="B79" i="21" s="1"/>
  <c r="B40" i="21"/>
  <c r="C113" i="20"/>
  <c r="B102" i="20"/>
  <c r="B72" i="20"/>
  <c r="B82" i="20" s="1"/>
  <c r="B61" i="20"/>
  <c r="B81" i="20" s="1"/>
  <c r="B52" i="20"/>
  <c r="B47" i="20"/>
  <c r="B79" i="20" s="1"/>
  <c r="B40" i="20"/>
  <c r="B84" i="21" l="1"/>
  <c r="B84" i="23"/>
  <c r="B84" i="25"/>
  <c r="B84" i="20"/>
  <c r="B84" i="22"/>
  <c r="B84" i="24"/>
  <c r="B74" i="21"/>
  <c r="B74" i="24"/>
  <c r="B74" i="20"/>
  <c r="B74" i="23"/>
  <c r="B74" i="22"/>
  <c r="B74" i="25"/>
  <c r="B16" i="3"/>
  <c r="D11" i="3"/>
  <c r="B15" i="3" s="1"/>
  <c r="C113" i="5"/>
  <c r="B40" i="5"/>
  <c r="B52" i="5" s="1"/>
  <c r="C94" i="21" l="1"/>
  <c r="C94" i="23"/>
  <c r="C94" i="25"/>
  <c r="C94" i="22"/>
  <c r="C94" i="24"/>
  <c r="C94" i="20"/>
  <c r="C94" i="5"/>
  <c r="B47" i="5"/>
  <c r="B79" i="5" s="1"/>
  <c r="B72" i="5"/>
  <c r="B82" i="5" s="1"/>
  <c r="B61" i="5" l="1"/>
  <c r="B81" i="5" l="1"/>
  <c r="B84" i="5" s="1"/>
  <c r="B74" i="5"/>
  <c r="C7" i="23" l="1"/>
  <c r="C8" i="23" s="1"/>
  <c r="B16" i="23" l="1"/>
  <c r="C32" i="23"/>
  <c r="C57" i="23"/>
  <c r="C79" i="23"/>
  <c r="C60" i="23"/>
  <c r="B27" i="23"/>
  <c r="C33" i="23"/>
  <c r="C36" i="23"/>
  <c r="C38" i="23"/>
  <c r="C39" i="23"/>
  <c r="C64" i="23"/>
  <c r="B19" i="23"/>
  <c r="C78" i="23"/>
  <c r="B15" i="23"/>
  <c r="C80" i="23"/>
  <c r="C81" i="23"/>
  <c r="C58" i="23"/>
  <c r="C111" i="23"/>
  <c r="C83" i="23"/>
  <c r="C37" i="23"/>
  <c r="C56" i="23"/>
  <c r="B17" i="23"/>
  <c r="C43" i="23"/>
  <c r="C50" i="23"/>
  <c r="C66" i="23"/>
  <c r="C67" i="23"/>
  <c r="C11" i="23"/>
  <c r="C55" i="23"/>
  <c r="C59" i="23"/>
  <c r="B25" i="23"/>
  <c r="C44" i="23"/>
  <c r="C46" i="23"/>
  <c r="C34" i="23"/>
  <c r="B26" i="23"/>
  <c r="A26" i="23" s="1"/>
  <c r="C71" i="23"/>
  <c r="C69" i="23"/>
  <c r="B24" i="23"/>
  <c r="C35" i="23"/>
  <c r="C51" i="23"/>
  <c r="C65" i="23"/>
  <c r="C82" i="23"/>
  <c r="C68" i="23"/>
  <c r="C52" i="23" l="1"/>
  <c r="C45" i="23"/>
  <c r="C47" i="23" s="1"/>
  <c r="C61" i="23"/>
  <c r="C84" i="23"/>
  <c r="C86" i="23" s="1"/>
  <c r="C72" i="23"/>
  <c r="C70" i="23"/>
  <c r="C40" i="23"/>
  <c r="C74" i="23" s="1"/>
  <c r="C91" i="23" l="1"/>
  <c r="C90" i="23"/>
  <c r="C92" i="23" l="1"/>
  <c r="C104" i="23" s="1"/>
  <c r="C106" i="23" s="1"/>
  <c r="C109" i="23" s="1"/>
  <c r="C105" i="23" l="1"/>
  <c r="C102" i="23" s="1"/>
  <c r="C112" i="23"/>
  <c r="B6" i="3"/>
  <c r="C98" i="23" l="1"/>
  <c r="C100" i="23"/>
  <c r="C99" i="23"/>
  <c r="C101" i="23"/>
  <c r="E6" i="3"/>
  <c r="F6" i="3"/>
  <c r="C7" i="21" l="1"/>
  <c r="C8" i="21" s="1"/>
  <c r="C8" i="22"/>
  <c r="B25" i="22" l="1"/>
  <c r="C44" i="22"/>
  <c r="C60" i="22"/>
  <c r="C51" i="22"/>
  <c r="C81" i="22"/>
  <c r="C58" i="22"/>
  <c r="C36" i="22"/>
  <c r="C65" i="22"/>
  <c r="C111" i="22"/>
  <c r="C43" i="22"/>
  <c r="C45" i="22" s="1"/>
  <c r="B17" i="22"/>
  <c r="C35" i="22"/>
  <c r="C78" i="22"/>
  <c r="C82" i="22"/>
  <c r="B16" i="22"/>
  <c r="B26" i="22"/>
  <c r="A26" i="22" s="1"/>
  <c r="C57" i="22"/>
  <c r="C68" i="22"/>
  <c r="B24" i="22"/>
  <c r="C71" i="22"/>
  <c r="C50" i="22"/>
  <c r="C52" i="22" s="1"/>
  <c r="C79" i="22"/>
  <c r="C55" i="22"/>
  <c r="B27" i="22"/>
  <c r="C64" i="22"/>
  <c r="C66" i="22"/>
  <c r="C83" i="22"/>
  <c r="C37" i="22"/>
  <c r="C39" i="22"/>
  <c r="C32" i="22"/>
  <c r="C33" i="22"/>
  <c r="C69" i="22"/>
  <c r="C80" i="22"/>
  <c r="C11" i="22"/>
  <c r="C59" i="22"/>
  <c r="C56" i="22"/>
  <c r="B19" i="22"/>
  <c r="C67" i="22"/>
  <c r="C38" i="22"/>
  <c r="C46" i="22"/>
  <c r="B15" i="22"/>
  <c r="C34" i="22"/>
  <c r="B19" i="21"/>
  <c r="C111" i="21"/>
  <c r="C81" i="21"/>
  <c r="C64" i="21"/>
  <c r="C32" i="21"/>
  <c r="C69" i="21"/>
  <c r="C39" i="21"/>
  <c r="C50" i="21"/>
  <c r="C43" i="21"/>
  <c r="C56" i="21"/>
  <c r="C38" i="21"/>
  <c r="C58" i="21"/>
  <c r="B15" i="21"/>
  <c r="C34" i="21"/>
  <c r="C44" i="21"/>
  <c r="B24" i="21"/>
  <c r="B16" i="21"/>
  <c r="C80" i="21"/>
  <c r="C33" i="21"/>
  <c r="C82" i="21"/>
  <c r="B25" i="21"/>
  <c r="C66" i="21"/>
  <c r="C79" i="21"/>
  <c r="C36" i="21"/>
  <c r="C71" i="21"/>
  <c r="C65" i="21"/>
  <c r="C51" i="21"/>
  <c r="B26" i="21"/>
  <c r="A26" i="21" s="1"/>
  <c r="C46" i="21"/>
  <c r="C11" i="21"/>
  <c r="C83" i="21"/>
  <c r="B27" i="21"/>
  <c r="C78" i="21"/>
  <c r="C68" i="21"/>
  <c r="C60" i="21"/>
  <c r="C55" i="21"/>
  <c r="C57" i="21"/>
  <c r="C37" i="21"/>
  <c r="C35" i="21"/>
  <c r="B17" i="21"/>
  <c r="C59" i="21"/>
  <c r="C67" i="21"/>
  <c r="C61" i="22" l="1"/>
  <c r="C45" i="21"/>
  <c r="C47" i="21" s="1"/>
  <c r="C70" i="21"/>
  <c r="C72" i="21"/>
  <c r="C40" i="22"/>
  <c r="C84" i="21"/>
  <c r="C86" i="21" s="1"/>
  <c r="C84" i="22"/>
  <c r="C86" i="22" s="1"/>
  <c r="C52" i="21"/>
  <c r="C72" i="22"/>
  <c r="C70" i="22"/>
  <c r="C47" i="22"/>
  <c r="C61" i="21"/>
  <c r="C40" i="21"/>
  <c r="C90" i="22" l="1"/>
  <c r="C91" i="22"/>
  <c r="C74" i="22"/>
  <c r="C90" i="21"/>
  <c r="C91" i="21"/>
  <c r="C74" i="21"/>
  <c r="C92" i="21" l="1"/>
  <c r="C104" i="21" s="1"/>
  <c r="C106" i="21" s="1"/>
  <c r="C92" i="22"/>
  <c r="C104" i="22" s="1"/>
  <c r="C106" i="22" s="1"/>
  <c r="C109" i="22" l="1"/>
  <c r="C105" i="22"/>
  <c r="C109" i="21"/>
  <c r="C105" i="21"/>
  <c r="C98" i="21" l="1"/>
  <c r="C101" i="21"/>
  <c r="C100" i="21"/>
  <c r="C99" i="21"/>
  <c r="C102" i="21"/>
  <c r="B3" i="3"/>
  <c r="C112" i="21"/>
  <c r="C99" i="22"/>
  <c r="C102" i="22"/>
  <c r="C101" i="22"/>
  <c r="C100" i="22"/>
  <c r="C98" i="22"/>
  <c r="C112" i="22"/>
  <c r="B4" i="3"/>
  <c r="B5" i="3"/>
  <c r="E3" i="3" l="1"/>
  <c r="F3" i="3"/>
  <c r="F4" i="3"/>
  <c r="E4" i="3"/>
  <c r="E5" i="3"/>
  <c r="F5" i="3"/>
  <c r="C7" i="20" l="1"/>
  <c r="C8" i="20" s="1"/>
  <c r="C7" i="25"/>
  <c r="C8" i="25" s="1"/>
  <c r="B26" i="20" l="1"/>
  <c r="A26" i="20" s="1"/>
  <c r="B25" i="20"/>
  <c r="C39" i="20"/>
  <c r="C65" i="20"/>
  <c r="C36" i="20"/>
  <c r="C33" i="20"/>
  <c r="C51" i="20"/>
  <c r="C69" i="20"/>
  <c r="C66" i="20"/>
  <c r="C56" i="20"/>
  <c r="C38" i="20"/>
  <c r="C57" i="20"/>
  <c r="B27" i="20"/>
  <c r="C11" i="20"/>
  <c r="C59" i="20"/>
  <c r="C68" i="20"/>
  <c r="C71" i="20"/>
  <c r="C43" i="20"/>
  <c r="B19" i="20"/>
  <c r="B17" i="20"/>
  <c r="C82" i="20"/>
  <c r="C80" i="20"/>
  <c r="C37" i="20"/>
  <c r="C34" i="20"/>
  <c r="C32" i="20"/>
  <c r="C44" i="20"/>
  <c r="C55" i="20"/>
  <c r="B15" i="20"/>
  <c r="B24" i="20"/>
  <c r="C79" i="20"/>
  <c r="C111" i="20"/>
  <c r="C60" i="20"/>
  <c r="C35" i="20"/>
  <c r="B16" i="20"/>
  <c r="C78" i="20"/>
  <c r="C64" i="20"/>
  <c r="C50" i="20"/>
  <c r="C81" i="20"/>
  <c r="C67" i="20"/>
  <c r="C46" i="20"/>
  <c r="C83" i="20"/>
  <c r="C58" i="20"/>
  <c r="B27" i="25"/>
  <c r="B15" i="25"/>
  <c r="C57" i="25"/>
  <c r="C37" i="25"/>
  <c r="C71" i="25"/>
  <c r="C82" i="25"/>
  <c r="B17" i="25"/>
  <c r="C34" i="25"/>
  <c r="C51" i="25"/>
  <c r="C32" i="25"/>
  <c r="C58" i="25"/>
  <c r="C46" i="25"/>
  <c r="C81" i="25"/>
  <c r="C64" i="25"/>
  <c r="B19" i="25"/>
  <c r="C60" i="25"/>
  <c r="B16" i="25"/>
  <c r="C38" i="25"/>
  <c r="B24" i="25"/>
  <c r="C35" i="25"/>
  <c r="C65" i="25"/>
  <c r="C39" i="25"/>
  <c r="C56" i="25"/>
  <c r="C44" i="25"/>
  <c r="C36" i="25"/>
  <c r="C79" i="25"/>
  <c r="C67" i="25"/>
  <c r="C69" i="25"/>
  <c r="C50" i="25"/>
  <c r="C43" i="25"/>
  <c r="C111" i="25"/>
  <c r="C11" i="25"/>
  <c r="C78" i="25"/>
  <c r="B26" i="25"/>
  <c r="A26" i="25" s="1"/>
  <c r="C55" i="25"/>
  <c r="C33" i="25"/>
  <c r="C83" i="25"/>
  <c r="C59" i="25"/>
  <c r="C66" i="25"/>
  <c r="B25" i="25"/>
  <c r="C80" i="25"/>
  <c r="C68" i="25"/>
  <c r="C52" i="25" l="1"/>
  <c r="C61" i="25"/>
  <c r="C84" i="25"/>
  <c r="C86" i="25" s="1"/>
  <c r="C40" i="25"/>
  <c r="C52" i="20"/>
  <c r="C72" i="20"/>
  <c r="C70" i="20"/>
  <c r="C84" i="20"/>
  <c r="C86" i="20" s="1"/>
  <c r="C61" i="20"/>
  <c r="C45" i="25"/>
  <c r="C47" i="25" s="1"/>
  <c r="C45" i="20"/>
  <c r="C47" i="20" s="1"/>
  <c r="C70" i="25"/>
  <c r="C72" i="25"/>
  <c r="C40" i="20"/>
  <c r="C74" i="20" l="1"/>
  <c r="C91" i="20"/>
  <c r="C90" i="20"/>
  <c r="C74" i="25"/>
  <c r="C90" i="25"/>
  <c r="C91" i="25"/>
  <c r="C92" i="20" l="1"/>
  <c r="C104" i="20" s="1"/>
  <c r="C106" i="20" s="1"/>
  <c r="C109" i="20" s="1"/>
  <c r="C92" i="25"/>
  <c r="C104" i="25" s="1"/>
  <c r="C106" i="25" s="1"/>
  <c r="C105" i="20" l="1"/>
  <c r="C99" i="20" s="1"/>
  <c r="C112" i="20"/>
  <c r="B7" i="3"/>
  <c r="C109" i="25"/>
  <c r="C105" i="25"/>
  <c r="C100" i="20" l="1"/>
  <c r="C101" i="20"/>
  <c r="C102" i="20"/>
  <c r="C98" i="20"/>
  <c r="B10" i="3"/>
  <c r="C112" i="25"/>
  <c r="F7" i="3"/>
  <c r="E7" i="3"/>
  <c r="C99" i="25"/>
  <c r="C100" i="25"/>
  <c r="C102" i="25"/>
  <c r="C101" i="25"/>
  <c r="C98" i="25"/>
  <c r="E10" i="3" l="1"/>
  <c r="F10" i="3"/>
  <c r="C18" i="24" l="1"/>
  <c r="C20" i="24" s="1"/>
  <c r="C7" i="24"/>
  <c r="C8" i="24" s="1"/>
  <c r="B17" i="24" l="1"/>
  <c r="C55" i="24"/>
  <c r="C83" i="24"/>
  <c r="C57" i="24"/>
  <c r="C66" i="24"/>
  <c r="C60" i="24"/>
  <c r="C69" i="24"/>
  <c r="C82" i="24"/>
  <c r="C38" i="24"/>
  <c r="C71" i="24"/>
  <c r="C81" i="24"/>
  <c r="C58" i="24"/>
  <c r="C59" i="24"/>
  <c r="C36" i="24"/>
  <c r="B24" i="24"/>
  <c r="B19" i="24"/>
  <c r="C78" i="24"/>
  <c r="C37" i="24"/>
  <c r="C50" i="24"/>
  <c r="C67" i="24"/>
  <c r="B27" i="24"/>
  <c r="C46" i="24"/>
  <c r="C56" i="24"/>
  <c r="C68" i="24"/>
  <c r="C79" i="24"/>
  <c r="C33" i="24"/>
  <c r="C65" i="24"/>
  <c r="C111" i="24"/>
  <c r="C51" i="24"/>
  <c r="B25" i="24"/>
  <c r="C64" i="24"/>
  <c r="B26" i="24"/>
  <c r="A26" i="24" s="1"/>
  <c r="B16" i="24"/>
  <c r="C35" i="24"/>
  <c r="C43" i="24"/>
  <c r="C11" i="24"/>
  <c r="C80" i="24"/>
  <c r="C34" i="24"/>
  <c r="C32" i="24"/>
  <c r="B15" i="24"/>
  <c r="C44" i="24"/>
  <c r="C39" i="24"/>
  <c r="C40" i="24" l="1"/>
  <c r="C72" i="24"/>
  <c r="C70" i="24"/>
  <c r="C45" i="24"/>
  <c r="C47" i="24" s="1"/>
  <c r="C52" i="24"/>
  <c r="C61" i="24"/>
  <c r="C84" i="24"/>
  <c r="C86" i="24" s="1"/>
  <c r="C74" i="24" l="1"/>
  <c r="C91" i="24"/>
  <c r="C90" i="24"/>
  <c r="C92" i="24" l="1"/>
  <c r="C104" i="24" s="1"/>
  <c r="C106" i="24" s="1"/>
  <c r="C105" i="24" s="1"/>
  <c r="C109" i="24" l="1"/>
  <c r="C112" i="24" s="1"/>
  <c r="C101" i="24"/>
  <c r="C98" i="24"/>
  <c r="C102" i="24"/>
  <c r="C99" i="24"/>
  <c r="C100" i="24"/>
  <c r="B9" i="3" l="1"/>
  <c r="E9" i="3" s="1"/>
  <c r="F9" i="3" l="1"/>
  <c r="C7" i="5" l="1"/>
  <c r="C8" i="5" s="1"/>
  <c r="B15" i="5" l="1"/>
  <c r="B25" i="5"/>
  <c r="B26" i="5"/>
  <c r="A26" i="5" s="1"/>
  <c r="B24" i="5"/>
  <c r="B19" i="5"/>
  <c r="B27" i="5"/>
  <c r="B17" i="5"/>
  <c r="B16" i="5"/>
  <c r="C65" i="5"/>
  <c r="C69" i="5"/>
  <c r="C39" i="5"/>
  <c r="C83" i="5"/>
  <c r="C35" i="5"/>
  <c r="C33" i="5"/>
  <c r="C80" i="5"/>
  <c r="C11" i="5"/>
  <c r="C55" i="5"/>
  <c r="C32" i="5"/>
  <c r="C56" i="5"/>
  <c r="C71" i="5"/>
  <c r="C68" i="5"/>
  <c r="C46" i="5"/>
  <c r="C36" i="5"/>
  <c r="C60" i="5"/>
  <c r="C44" i="5"/>
  <c r="C58" i="5"/>
  <c r="C111" i="5"/>
  <c r="C78" i="5"/>
  <c r="C79" i="5"/>
  <c r="C34" i="5"/>
  <c r="C64" i="5"/>
  <c r="C43" i="5"/>
  <c r="C67" i="5"/>
  <c r="C81" i="5"/>
  <c r="C38" i="5"/>
  <c r="C82" i="5"/>
  <c r="C37" i="5"/>
  <c r="C51" i="5"/>
  <c r="C59" i="5"/>
  <c r="C57" i="5"/>
  <c r="C66" i="5"/>
  <c r="C50" i="5"/>
  <c r="C84" i="5" l="1"/>
  <c r="C86" i="5" s="1"/>
  <c r="C45" i="5"/>
  <c r="C47" i="5" s="1"/>
  <c r="C40" i="5"/>
  <c r="C52" i="5"/>
  <c r="C61" i="5"/>
  <c r="C72" i="5"/>
  <c r="C70" i="5"/>
  <c r="C91" i="5" l="1"/>
  <c r="C90" i="5"/>
  <c r="C74" i="5"/>
  <c r="C92" i="5" l="1"/>
  <c r="C104" i="5" s="1"/>
  <c r="C106" i="5" s="1"/>
  <c r="C105" i="5" s="1"/>
  <c r="C109" i="5" l="1"/>
  <c r="C112" i="5" s="1"/>
  <c r="C98" i="5"/>
  <c r="C101" i="5"/>
  <c r="C99" i="5"/>
  <c r="C102" i="5"/>
  <c r="C100" i="5"/>
  <c r="B8" i="3" l="1"/>
  <c r="E8" i="3" s="1"/>
  <c r="F8" i="3" l="1"/>
  <c r="E11" i="3"/>
  <c r="B17" i="3" s="1"/>
  <c r="B20" i="3" l="1"/>
  <c r="B21" i="3"/>
</calcChain>
</file>

<file path=xl/sharedStrings.xml><?xml version="1.0" encoding="utf-8"?>
<sst xmlns="http://schemas.openxmlformats.org/spreadsheetml/2006/main" count="869" uniqueCount="154">
  <si>
    <t>ORIENTAÇÕES</t>
  </si>
  <si>
    <r>
      <t>N</t>
    </r>
    <r>
      <rPr>
        <b/>
        <strike/>
        <sz val="12"/>
        <color rgb="FF000000"/>
        <rFont val="Arial"/>
        <family val="2"/>
      </rPr>
      <t>º</t>
    </r>
    <r>
      <rPr>
        <b/>
        <sz val="12"/>
        <color rgb="FF000000"/>
        <rFont val="Arial"/>
        <family val="2"/>
      </rPr>
      <t xml:space="preserve"> Processo</t>
    </r>
  </si>
  <si>
    <r>
      <t>Licitação N</t>
    </r>
    <r>
      <rPr>
        <b/>
        <strike/>
        <sz val="12"/>
        <color rgb="FF000000"/>
        <rFont val="Arial"/>
        <family val="2"/>
      </rPr>
      <t xml:space="preserve">º </t>
    </r>
  </si>
  <si>
    <t xml:space="preserve">Data do Pregão: </t>
  </si>
  <si>
    <t>Empresa</t>
  </si>
  <si>
    <t>CNPJ</t>
  </si>
  <si>
    <t>Contato</t>
  </si>
  <si>
    <t>E-mail</t>
  </si>
  <si>
    <t>Telefone</t>
  </si>
  <si>
    <t>Item 1</t>
  </si>
  <si>
    <t>Unidade de Medida</t>
  </si>
  <si>
    <t>Pontos de Função</t>
  </si>
  <si>
    <t>Volume Anual</t>
  </si>
  <si>
    <t>Item 2</t>
  </si>
  <si>
    <t>Evolução e Projeto de Sistemas</t>
  </si>
  <si>
    <t>Sustentação de Sistemas e Serviços Técnicos Adicionais</t>
  </si>
  <si>
    <t>Unidade de Serviços Técnicos</t>
  </si>
  <si>
    <t>Perfil profissional</t>
  </si>
  <si>
    <t>Taxa de Alocação</t>
  </si>
  <si>
    <t>Alocação (horas)</t>
  </si>
  <si>
    <t>Desenvolvedor I (Senior)</t>
  </si>
  <si>
    <t>Desenvolvedor II (Pleno)</t>
  </si>
  <si>
    <t>Desenvolvedor III (Pleno)</t>
  </si>
  <si>
    <t>Arquiteto de Software</t>
  </si>
  <si>
    <t>Líder de Projeto (ScrumMaster)</t>
  </si>
  <si>
    <t>Testador</t>
  </si>
  <si>
    <t>Administrador (Projetista) de Dados</t>
  </si>
  <si>
    <t>CUSTO BASE MENSAL DE TIME ÁGIL</t>
  </si>
  <si>
    <t>Item de Custo</t>
  </si>
  <si>
    <t>CUSTOS ADICIONAIS MENSAIS ESTIMADOS POR TIME</t>
  </si>
  <si>
    <t>Valor</t>
  </si>
  <si>
    <t>Custo com Garantia</t>
  </si>
  <si>
    <t>Custo com transporte (Uber, Taxi etc)</t>
  </si>
  <si>
    <t>Outros custos</t>
  </si>
  <si>
    <t>DADOS DA EMPRESA</t>
  </si>
  <si>
    <t>MÓDULO 1 : COMPOSIÇÃO DA REMUNERAÇÃO</t>
  </si>
  <si>
    <t>Remuneração e Reserva Técnica</t>
  </si>
  <si>
    <t>Percentual</t>
  </si>
  <si>
    <t>Valor em R$</t>
  </si>
  <si>
    <t>A - Salário Base</t>
  </si>
  <si>
    <t>B - Reserva Técnica sobre o Salário Base</t>
  </si>
  <si>
    <t>Total da Remuneração + Reserva Técnica</t>
  </si>
  <si>
    <t>Horas Trabalhadas no mês</t>
  </si>
  <si>
    <t>Custo por hora</t>
  </si>
  <si>
    <t>MÓDULO 2: BENEFÍCIOS MENSAIS E DIÁRIOS</t>
  </si>
  <si>
    <t>Insumos (valores serão distribuídos de acordo c/ quantitativo da mão-de-obra)</t>
  </si>
  <si>
    <t>A - Vale-transporte (fornecido conforme Lei 7.418 de 16/12/85)</t>
  </si>
  <si>
    <t>B - Vale-refeição (Auxílio Alimentação)</t>
  </si>
  <si>
    <t>C - Assistência médica</t>
  </si>
  <si>
    <t>E - Seguro de vida, invalidez e funeral</t>
  </si>
  <si>
    <t>Total dos Benefícios</t>
  </si>
  <si>
    <t>MÓDULO 3: INSUMOS DIVERSOS</t>
  </si>
  <si>
    <t>A - Uniformes/Identificação</t>
  </si>
  <si>
    <t>B - Software/Hardware</t>
  </si>
  <si>
    <t>D - Triênio (CCT SINDPD / 3% a cada 3 anos)</t>
  </si>
  <si>
    <t>Total dos Insumos</t>
  </si>
  <si>
    <t>MÓDULO 4: ENCARGOS SOCIAIS E TRABALHISTAS</t>
  </si>
  <si>
    <t>Submódulo 4.1 (Grupo A - Custos Previdenciários)</t>
  </si>
  <si>
    <t>A - INSS (incide sobre o faturamento - MP 540/2011, convertida na Lei 12.546/2011. MP 563/2012, convertida na Lei 12.715/2012. MP 612/2013.) Ver item 4 do Módulo 5</t>
  </si>
  <si>
    <t>B - SESI/SESC</t>
  </si>
  <si>
    <t>C - SENAI/SENAC</t>
  </si>
  <si>
    <t>D - INCRA</t>
  </si>
  <si>
    <t>E - Salário Educação</t>
  </si>
  <si>
    <t>F - FGTS</t>
  </si>
  <si>
    <t>G - Seguro Acidente de Trabalho</t>
  </si>
  <si>
    <t>H - SEBRAE</t>
  </si>
  <si>
    <t>Total do Submódulo 4.1</t>
  </si>
  <si>
    <t>Submódulo 4.2 (13º Salário e Adicional de Férias)</t>
  </si>
  <si>
    <t xml:space="preserve">A - 13 º Salário </t>
  </si>
  <si>
    <t>B - Adicional de Férias</t>
  </si>
  <si>
    <t>Subtotal</t>
  </si>
  <si>
    <t>C - Incidência do Submódulo 4.1 sobre 13º Salário e Adicional de Férias</t>
  </si>
  <si>
    <t>Total do Submódulo 4.2</t>
  </si>
  <si>
    <t>Submódulo 4.3 (Afastamento Maternidade)</t>
  </si>
  <si>
    <t>A - Afastamento maternidade/paternidade</t>
  </si>
  <si>
    <t>B - Incidência do submódulo 4.1 sobre afastamento maternidade</t>
  </si>
  <si>
    <t>Total do Submódulo 4.3</t>
  </si>
  <si>
    <t>Submódulo 4.4 (Provisão para Rescisão)</t>
  </si>
  <si>
    <t>A - Aviso prévio indenizado</t>
  </si>
  <si>
    <t>B - Incidência do FGTS sobre aviso prévio indenizado</t>
  </si>
  <si>
    <t>C - Multa do FGTS do aviso prévio indenizado</t>
  </si>
  <si>
    <t xml:space="preserve">D - Aviso prévio trabalhado </t>
  </si>
  <si>
    <t>E - Incidência do submódulo 4.1 sobre aviso prévio trabalhado</t>
  </si>
  <si>
    <t>F - Multa do FGTS do aviso prévio trabalhado</t>
  </si>
  <si>
    <t>Total do Submódulo 4.4</t>
  </si>
  <si>
    <t>Submódulo 4.5 (Composição do Custo de Reposição do Profissional Ausente)</t>
  </si>
  <si>
    <t>A - Férias</t>
  </si>
  <si>
    <t>B - Ausência por doença</t>
  </si>
  <si>
    <t>C - Licença paternidade</t>
  </si>
  <si>
    <t>D - Ausências legais</t>
  </si>
  <si>
    <t>E - Ausência por Acidente de trabalho</t>
  </si>
  <si>
    <t>F - Outros (especificar)</t>
  </si>
  <si>
    <t xml:space="preserve">C - Incidência do submódulo 4.1 sobre o Custo de reposição </t>
  </si>
  <si>
    <t>Total do Submódulo 4.5</t>
  </si>
  <si>
    <t>Total dos Encargos Sociais</t>
  </si>
  <si>
    <t>Quadro - resumo – Módulo 4 - Encargos sociais e trabalhistas</t>
  </si>
  <si>
    <t>Módulo 4 - Encargos sociais e trabalhistas</t>
  </si>
  <si>
    <t>4.1 - 13 º salário + Adicional de férias</t>
  </si>
  <si>
    <t>4.2 - Encargos previdenciários e FGTS</t>
  </si>
  <si>
    <t>4.3 - Afastamento maternidade</t>
  </si>
  <si>
    <t>4.4 - Custo de rescisão</t>
  </si>
  <si>
    <t>4.5 - Custo de reposição do profissional ausente</t>
  </si>
  <si>
    <t>4.6 - Outros (especificar)</t>
  </si>
  <si>
    <t>Total:</t>
  </si>
  <si>
    <t>Custos Diretos</t>
  </si>
  <si>
    <t>Módulo 5 – Custos indiretos e lucro</t>
  </si>
  <si>
    <t>Demais Componentes</t>
  </si>
  <si>
    <t>A - Despesas Administrativas/Operacionais</t>
  </si>
  <si>
    <t>C - Lucro Bruto</t>
  </si>
  <si>
    <t>Total dos Demais Componentes</t>
  </si>
  <si>
    <t>Demais Custos Diretos (Hardware, Software, Táxi, Uber, Garantia Contratual, etc)</t>
  </si>
  <si>
    <t>Módulo 5 – Tributos</t>
  </si>
  <si>
    <t>Tributos</t>
  </si>
  <si>
    <t>01 - ISS</t>
  </si>
  <si>
    <t>02 - PIS</t>
  </si>
  <si>
    <t>03 - COFINS</t>
  </si>
  <si>
    <t>04 - INSS (incide sobre o faturamento - MP 540/2011, convertida na Lei 12.546/2011. MP 563/2012, convertida na Lei 12.715/2012. MP 612/2013.)</t>
  </si>
  <si>
    <t>Total dos Tributos sobre o Faturamento</t>
  </si>
  <si>
    <t>Remuneração + Reserva Técnica + Encargos Sociais + Insumos + Demais Componentes</t>
  </si>
  <si>
    <t>Tributos sobre o Faturamento</t>
  </si>
  <si>
    <t>Total Geral</t>
  </si>
  <si>
    <t>QUADRO-RESUMO DO VALOR MENSAL DO SERVIÇO</t>
  </si>
  <si>
    <t>Total</t>
  </si>
  <si>
    <t>Fator K</t>
  </si>
  <si>
    <t>Valor Hora Por Empregado</t>
  </si>
  <si>
    <t>Produtividade Média (hh/PF)</t>
  </si>
  <si>
    <t>Líder de Projetos/ScrumMaster</t>
  </si>
  <si>
    <t>TOTAL</t>
  </si>
  <si>
    <t>Desenvolvedor Pleno</t>
  </si>
  <si>
    <t>Analista de Requisitos/Estórias</t>
  </si>
  <si>
    <t>Administrador/Projetista de Dados</t>
  </si>
  <si>
    <t>PRODUTIVIDADE 
DECLARADA hh/PF</t>
  </si>
  <si>
    <t>CUSTO MENSAL/TIME</t>
  </si>
  <si>
    <t>TOTAL DE HORAS/TIME/MÊS</t>
  </si>
  <si>
    <t>PRODUTIVIDADE PF/MÊS</t>
  </si>
  <si>
    <t>CUSTO PONTO DE FUNÇÃO</t>
  </si>
  <si>
    <t>Custo/Hora</t>
  </si>
  <si>
    <t xml:space="preserve">Esta planilha tem como objetivo principal  permitir a análise da formação de preços relativos aos itens a serem contratados. 
A análise de viabilidade da proposta contemplará o esforço por perfil considerando os times ágeis, de forma que seja possível, através da produtividade declarada pela LICITANTE e dos demais encargos diretos e indiretos, tributos, benefícios e lucro, estabelecer se os valores ofertado pela LICITANTE é exequível de acordo com a realidade do mercado.
A composição dos times ágeis e o compartilhamento previsto de perfis profissionais foi considerado pela DTI para o cálculo proporcional de cada profissional no time ágil.
A LICITANTE deverá preencher a planilha da seguinte forma: 
1) A guia "Dados da Empresa" com dados básicos da LICITANTE
2) As guias de 1 a 7 contém os perfis profissionais (mínimos) à operação. As guias devem ser preenchidas de forma a demonstrar a formação do custo dos salários brutos de cada perfil.
3) A guia "Custos do Time" deve incluir todos os salários brutos calculados nas guias de 1 a 7 do time, bem como custos adicionais estimados da operação (por time), tais como custo de transporte, hardware, software etc.
</t>
  </si>
  <si>
    <t>VALOR DE REFERÊNCIA PARA O ITEM 2</t>
  </si>
  <si>
    <t>VALOR DE REFERÊNCIA PARA O ITEM 1</t>
  </si>
  <si>
    <t>Desenvolvedor Sênior</t>
  </si>
  <si>
    <t>PERFIL PROFISSIONAL</t>
  </si>
  <si>
    <t>Analista de Requisitos/Estórias de Usuário</t>
  </si>
  <si>
    <t>Analista de Testes / Testador</t>
  </si>
  <si>
    <t>Custo Proporcional</t>
  </si>
  <si>
    <t>Custo Mensal</t>
  </si>
  <si>
    <t>PLANILHA DE COMPOSIÇÃO DE CUSTOS</t>
  </si>
  <si>
    <t>VALORES MÍNIMOS PRESUMIDAMENTE EXEQUÍVEIS</t>
  </si>
  <si>
    <t>CUSTO MÉDIO/HORA (UST)</t>
  </si>
  <si>
    <t>D - Benefícios Stefanini (Educação, Combustivel, Odontologico e Etc)</t>
  </si>
  <si>
    <t>Custo com hardware e softwares</t>
  </si>
  <si>
    <t>Custo  instalações físicas</t>
  </si>
  <si>
    <t>Custo Link de Comunicação</t>
  </si>
  <si>
    <t>B - Reserva Técnica sobre o Salário Base / Sobre Aviso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</si>
</sst>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&quot;R$&quot;#,##0.00"/>
    <numFmt numFmtId="166" formatCode="_(&quot;R$ &quot;* #,##0.00_);_(&quot;R$ &quot;* \(#,##0.00\);_(&quot;R$ &quot;* &quot;-&quot;??_);_(@_)"/>
    <numFmt numFmtId="167" formatCode="_(* #,##0.00_);_(* \(#,##0.00\);_(* &quot;-&quot;??_);_(@_)"/>
    <numFmt numFmtId="168" formatCode="_(* #,##0.00000_);_(* \(#,##0.00000\);_(* &quot;-&quot;??_);_(@_)"/>
    <numFmt numFmtId="169" formatCode="_(* #,##0_);_(* \(#,##0\);_(* &quot;-&quot;??_);_(@_)"/>
    <numFmt numFmtId="170" formatCode="0.000%"/>
    <numFmt numFmtId="171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trike/>
      <sz val="12"/>
      <color rgb="FF000000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9">
    <xf numFmtId="0" fontId="0" fillId="0" borderId="0" xfId="0"/>
    <xf numFmtId="0" fontId="5" fillId="3" borderId="1" xfId="1" applyFont="1" applyFill="1" applyBorder="1" applyAlignment="1">
      <alignment horizontal="left" vertical="top" wrapText="1"/>
    </xf>
    <xf numFmtId="14" fontId="5" fillId="3" borderId="1" xfId="1" applyNumberFormat="1" applyFont="1" applyFill="1" applyBorder="1" applyAlignment="1">
      <alignment horizontal="left" vertical="top" wrapText="1"/>
    </xf>
    <xf numFmtId="0" fontId="8" fillId="3" borderId="1" xfId="2" applyFont="1" applyFill="1" applyBorder="1" applyAlignment="1">
      <alignment horizontal="left" vertical="top" wrapText="1"/>
    </xf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0" fontId="12" fillId="0" borderId="0" xfId="3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3" fillId="0" borderId="7" xfId="3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 wrapText="1"/>
    </xf>
    <xf numFmtId="10" fontId="13" fillId="5" borderId="1" xfId="4" applyNumberFormat="1" applyFont="1" applyFill="1" applyBorder="1" applyAlignment="1">
      <alignment horizontal="center" vertical="center"/>
    </xf>
    <xf numFmtId="167" fontId="13" fillId="5" borderId="1" xfId="6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left" vertical="center" wrapText="1"/>
    </xf>
    <xf numFmtId="10" fontId="14" fillId="0" borderId="1" xfId="4" applyNumberFormat="1" applyFont="1" applyFill="1" applyBorder="1" applyAlignment="1">
      <alignment horizontal="center" vertical="center"/>
    </xf>
    <xf numFmtId="43" fontId="14" fillId="0" borderId="0" xfId="3" applyNumberFormat="1" applyFont="1" applyFill="1" applyAlignment="1">
      <alignment vertical="center"/>
    </xf>
    <xf numFmtId="0" fontId="14" fillId="0" borderId="9" xfId="3" applyFont="1" applyFill="1" applyBorder="1" applyAlignment="1">
      <alignment horizontal="left" vertical="center" wrapText="1"/>
    </xf>
    <xf numFmtId="167" fontId="14" fillId="0" borderId="2" xfId="6" applyFont="1" applyFill="1" applyBorder="1" applyAlignment="1">
      <alignment horizontal="center" vertical="center"/>
    </xf>
    <xf numFmtId="167" fontId="13" fillId="2" borderId="1" xfId="6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left" vertical="center" wrapText="1"/>
    </xf>
    <xf numFmtId="0" fontId="14" fillId="0" borderId="0" xfId="3" applyFont="1" applyFill="1" applyBorder="1" applyAlignment="1">
      <alignment horizontal="left" vertical="center"/>
    </xf>
    <xf numFmtId="167" fontId="14" fillId="0" borderId="0" xfId="6" applyFont="1" applyFill="1" applyBorder="1" applyAlignment="1">
      <alignment horizontal="center" vertical="center"/>
    </xf>
    <xf numFmtId="0" fontId="13" fillId="5" borderId="0" xfId="3" applyFont="1" applyFill="1" applyBorder="1" applyAlignment="1">
      <alignment horizontal="left" vertical="center" wrapText="1"/>
    </xf>
    <xf numFmtId="0" fontId="13" fillId="5" borderId="0" xfId="3" applyFont="1" applyFill="1" applyBorder="1" applyAlignment="1">
      <alignment horizontal="left" vertical="center"/>
    </xf>
    <xf numFmtId="167" fontId="13" fillId="5" borderId="0" xfId="6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vertical="center" wrapText="1"/>
    </xf>
    <xf numFmtId="10" fontId="14" fillId="0" borderId="1" xfId="3" quotePrefix="1" applyNumberFormat="1" applyFont="1" applyFill="1" applyBorder="1" applyAlignment="1">
      <alignment horizontal="center" vertical="center"/>
    </xf>
    <xf numFmtId="167" fontId="14" fillId="0" borderId="3" xfId="6" applyFont="1" applyFill="1" applyBorder="1" applyAlignment="1">
      <alignment horizontal="center" vertical="center"/>
    </xf>
    <xf numFmtId="167" fontId="14" fillId="0" borderId="0" xfId="6" applyFont="1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10" fontId="14" fillId="0" borderId="0" xfId="3" applyNumberFormat="1" applyFont="1" applyFill="1" applyBorder="1" applyAlignment="1">
      <alignment vertical="center"/>
    </xf>
    <xf numFmtId="9" fontId="14" fillId="0" borderId="0" xfId="3" applyNumberFormat="1" applyFont="1" applyFill="1" applyBorder="1" applyAlignment="1">
      <alignment vertical="center"/>
    </xf>
    <xf numFmtId="167" fontId="13" fillId="2" borderId="1" xfId="6" applyNumberFormat="1" applyFont="1" applyFill="1" applyBorder="1" applyAlignment="1">
      <alignment horizontal="center" vertical="center"/>
    </xf>
    <xf numFmtId="9" fontId="16" fillId="0" borderId="0" xfId="3" applyNumberFormat="1" applyFont="1" applyFill="1" applyBorder="1" applyAlignment="1">
      <alignment horizontal="right" vertical="center"/>
    </xf>
    <xf numFmtId="166" fontId="14" fillId="0" borderId="0" xfId="5" applyFont="1" applyFill="1" applyBorder="1" applyAlignment="1">
      <alignment vertical="center"/>
    </xf>
    <xf numFmtId="0" fontId="14" fillId="0" borderId="0" xfId="3" applyFont="1" applyFill="1" applyBorder="1" applyAlignment="1">
      <alignment vertical="center" wrapText="1"/>
    </xf>
    <xf numFmtId="10" fontId="14" fillId="0" borderId="0" xfId="3" quotePrefix="1" applyNumberFormat="1" applyFont="1" applyFill="1" applyBorder="1" applyAlignment="1">
      <alignment horizontal="center" vertical="center"/>
    </xf>
    <xf numFmtId="167" fontId="14" fillId="0" borderId="0" xfId="6" applyNumberFormat="1" applyFont="1" applyFill="1" applyBorder="1" applyAlignment="1">
      <alignment horizontal="center" vertical="center"/>
    </xf>
    <xf numFmtId="0" fontId="13" fillId="5" borderId="5" xfId="3" applyFont="1" applyFill="1" applyBorder="1" applyAlignment="1">
      <alignment horizontal="left" vertical="center" wrapText="1"/>
    </xf>
    <xf numFmtId="10" fontId="13" fillId="5" borderId="11" xfId="4" applyNumberFormat="1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right" vertical="center"/>
    </xf>
    <xf numFmtId="167" fontId="14" fillId="0" borderId="0" xfId="3" applyNumberFormat="1" applyFont="1" applyFill="1" applyBorder="1" applyAlignment="1">
      <alignment vertical="center"/>
    </xf>
    <xf numFmtId="0" fontId="14" fillId="3" borderId="1" xfId="3" applyFont="1" applyFill="1" applyBorder="1" applyAlignment="1">
      <alignment horizontal="left" vertical="center" wrapText="1"/>
    </xf>
    <xf numFmtId="0" fontId="14" fillId="3" borderId="1" xfId="3" applyFont="1" applyFill="1" applyBorder="1" applyAlignment="1">
      <alignment vertical="center" wrapText="1"/>
    </xf>
    <xf numFmtId="9" fontId="14" fillId="0" borderId="0" xfId="4" applyFont="1" applyFill="1" applyBorder="1" applyAlignment="1">
      <alignment vertical="center"/>
    </xf>
    <xf numFmtId="0" fontId="13" fillId="0" borderId="10" xfId="3" applyFont="1" applyFill="1" applyBorder="1" applyAlignment="1">
      <alignment horizontal="left" vertical="center" wrapText="1"/>
    </xf>
    <xf numFmtId="0" fontId="14" fillId="0" borderId="10" xfId="3" applyFont="1" applyFill="1" applyBorder="1" applyAlignment="1">
      <alignment horizontal="left" vertical="center"/>
    </xf>
    <xf numFmtId="167" fontId="13" fillId="0" borderId="10" xfId="6" applyFont="1" applyFill="1" applyBorder="1" applyAlignment="1">
      <alignment horizontal="center" vertical="center"/>
    </xf>
    <xf numFmtId="0" fontId="14" fillId="0" borderId="0" xfId="3" applyFont="1" applyFill="1" applyAlignment="1">
      <alignment horizontal="left" vertical="center"/>
    </xf>
    <xf numFmtId="0" fontId="14" fillId="3" borderId="3" xfId="3" applyFont="1" applyFill="1" applyBorder="1" applyAlignment="1">
      <alignment horizontal="left" vertical="center" wrapText="1"/>
    </xf>
    <xf numFmtId="10" fontId="14" fillId="3" borderId="3" xfId="4" applyNumberFormat="1" applyFont="1" applyFill="1" applyBorder="1" applyAlignment="1">
      <alignment horizontal="center" vertical="center"/>
    </xf>
    <xf numFmtId="10" fontId="14" fillId="0" borderId="0" xfId="4" applyNumberFormat="1" applyFont="1" applyFill="1" applyBorder="1" applyAlignment="1">
      <alignment horizontal="center" vertical="center"/>
    </xf>
    <xf numFmtId="0" fontId="14" fillId="0" borderId="3" xfId="3" applyFont="1" applyFill="1" applyBorder="1" applyAlignment="1">
      <alignment horizontal="left" vertical="center" wrapText="1"/>
    </xf>
    <xf numFmtId="10" fontId="14" fillId="0" borderId="3" xfId="4" applyNumberFormat="1" applyFont="1" applyFill="1" applyBorder="1" applyAlignment="1">
      <alignment horizontal="center" vertical="center"/>
    </xf>
    <xf numFmtId="167" fontId="14" fillId="0" borderId="1" xfId="6" applyFont="1" applyFill="1" applyBorder="1" applyAlignment="1">
      <alignment horizontal="center" vertical="center"/>
    </xf>
    <xf numFmtId="167" fontId="14" fillId="0" borderId="6" xfId="6" applyFont="1" applyFill="1" applyBorder="1" applyAlignment="1">
      <alignment horizontal="center" vertical="center"/>
    </xf>
    <xf numFmtId="167" fontId="13" fillId="5" borderId="1" xfId="6" applyNumberFormat="1" applyFont="1" applyFill="1" applyBorder="1" applyAlignment="1">
      <alignment horizontal="center" vertical="center"/>
    </xf>
    <xf numFmtId="0" fontId="13" fillId="0" borderId="11" xfId="3" applyFont="1" applyFill="1" applyBorder="1" applyAlignment="1">
      <alignment horizontal="left" vertical="center" wrapText="1"/>
    </xf>
    <xf numFmtId="10" fontId="13" fillId="0" borderId="0" xfId="4" applyNumberFormat="1" applyFont="1" applyFill="1" applyBorder="1" applyAlignment="1">
      <alignment horizontal="center" vertical="center"/>
    </xf>
    <xf numFmtId="167" fontId="13" fillId="0" borderId="0" xfId="6" applyNumberFormat="1" applyFont="1" applyFill="1" applyBorder="1" applyAlignment="1">
      <alignment horizontal="center" vertical="center"/>
    </xf>
    <xf numFmtId="10" fontId="13" fillId="5" borderId="9" xfId="4" applyNumberFormat="1" applyFont="1" applyFill="1" applyBorder="1" applyAlignment="1">
      <alignment horizontal="center" vertical="center"/>
    </xf>
    <xf numFmtId="0" fontId="14" fillId="0" borderId="1" xfId="3" applyFont="1" applyBorder="1" applyAlignment="1">
      <alignment horizontal="justify" vertical="top" wrapText="1"/>
    </xf>
    <xf numFmtId="167" fontId="14" fillId="0" borderId="12" xfId="6" applyFont="1" applyFill="1" applyBorder="1" applyAlignment="1">
      <alignment horizontal="center" vertical="center"/>
    </xf>
    <xf numFmtId="9" fontId="14" fillId="0" borderId="0" xfId="3" applyNumberFormat="1" applyFont="1" applyFill="1" applyAlignment="1">
      <alignment vertical="center"/>
    </xf>
    <xf numFmtId="167" fontId="13" fillId="0" borderId="1" xfId="6" applyFont="1" applyFill="1" applyBorder="1" applyAlignment="1">
      <alignment horizontal="center" vertical="center"/>
    </xf>
    <xf numFmtId="0" fontId="14" fillId="0" borderId="1" xfId="3" applyFont="1" applyBorder="1" applyAlignment="1">
      <alignment horizontal="left" vertical="top" wrapText="1"/>
    </xf>
    <xf numFmtId="10" fontId="14" fillId="0" borderId="0" xfId="3" applyNumberFormat="1" applyFont="1" applyFill="1" applyAlignment="1">
      <alignment vertical="center"/>
    </xf>
    <xf numFmtId="10" fontId="14" fillId="0" borderId="7" xfId="4" applyNumberFormat="1" applyFont="1" applyFill="1" applyBorder="1" applyAlignment="1">
      <alignment horizontal="center" vertical="center"/>
    </xf>
    <xf numFmtId="10" fontId="14" fillId="0" borderId="0" xfId="4" applyNumberFormat="1" applyFont="1" applyFill="1" applyBorder="1" applyAlignment="1">
      <alignment horizontal="left" vertical="center"/>
    </xf>
    <xf numFmtId="0" fontId="13" fillId="0" borderId="10" xfId="3" applyFont="1" applyFill="1" applyBorder="1" applyAlignment="1">
      <alignment vertical="center" wrapText="1"/>
    </xf>
    <xf numFmtId="10" fontId="13" fillId="0" borderId="10" xfId="4" applyNumberFormat="1" applyFont="1" applyFill="1" applyBorder="1" applyAlignment="1">
      <alignment horizontal="center" vertical="center"/>
    </xf>
    <xf numFmtId="167" fontId="13" fillId="0" borderId="10" xfId="6" applyNumberFormat="1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vertical="center" wrapText="1"/>
    </xf>
    <xf numFmtId="0" fontId="13" fillId="0" borderId="8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 wrapText="1"/>
    </xf>
    <xf numFmtId="167" fontId="13" fillId="5" borderId="6" xfId="6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left" vertical="center"/>
    </xf>
    <xf numFmtId="0" fontId="13" fillId="0" borderId="0" xfId="3" applyFont="1" applyFill="1" applyBorder="1" applyAlignment="1">
      <alignment horizontal="left" vertical="center"/>
    </xf>
    <xf numFmtId="43" fontId="14" fillId="0" borderId="0" xfId="3" applyNumberFormat="1" applyFont="1" applyFill="1" applyAlignment="1">
      <alignment horizontal="center" vertical="center"/>
    </xf>
    <xf numFmtId="0" fontId="14" fillId="0" borderId="0" xfId="3" applyFont="1" applyFill="1" applyAlignment="1">
      <alignment horizontal="center" vertical="center"/>
    </xf>
    <xf numFmtId="167" fontId="14" fillId="0" borderId="1" xfId="6" quotePrefix="1" applyFont="1" applyFill="1" applyBorder="1" applyAlignment="1">
      <alignment horizontal="center" vertical="center"/>
    </xf>
    <xf numFmtId="168" fontId="14" fillId="0" borderId="0" xfId="3" applyNumberFormat="1" applyFont="1" applyFill="1" applyAlignment="1">
      <alignment vertical="center"/>
    </xf>
    <xf numFmtId="0" fontId="14" fillId="3" borderId="9" xfId="3" applyFont="1" applyFill="1" applyBorder="1" applyAlignment="1">
      <alignment horizontal="left" vertical="center" wrapText="1"/>
    </xf>
    <xf numFmtId="167" fontId="14" fillId="3" borderId="1" xfId="6" quotePrefix="1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vertical="center" wrapText="1"/>
    </xf>
    <xf numFmtId="10" fontId="13" fillId="2" borderId="1" xfId="3" applyNumberFormat="1" applyFont="1" applyFill="1" applyBorder="1" applyAlignment="1">
      <alignment horizontal="center" vertical="center"/>
    </xf>
    <xf numFmtId="167" fontId="13" fillId="2" borderId="1" xfId="6" quotePrefix="1" applyFont="1" applyFill="1" applyBorder="1" applyAlignment="1">
      <alignment horizontal="center" vertical="center"/>
    </xf>
    <xf numFmtId="169" fontId="14" fillId="0" borderId="0" xfId="6" applyNumberFormat="1" applyFont="1" applyFill="1" applyAlignment="1">
      <alignment vertical="center"/>
    </xf>
    <xf numFmtId="0" fontId="13" fillId="0" borderId="8" xfId="3" applyFont="1" applyFill="1" applyBorder="1" applyAlignment="1">
      <alignment vertical="center" wrapText="1"/>
    </xf>
    <xf numFmtId="10" fontId="13" fillId="0" borderId="8" xfId="3" applyNumberFormat="1" applyFont="1" applyFill="1" applyBorder="1" applyAlignment="1">
      <alignment horizontal="center" vertical="center"/>
    </xf>
    <xf numFmtId="167" fontId="13" fillId="0" borderId="8" xfId="6" applyFont="1" applyFill="1" applyBorder="1" applyAlignment="1">
      <alignment horizontal="center" vertical="center"/>
    </xf>
    <xf numFmtId="167" fontId="13" fillId="5" borderId="12" xfId="4" applyNumberFormat="1" applyFont="1" applyFill="1" applyBorder="1" applyAlignment="1">
      <alignment horizontal="right" vertical="center"/>
    </xf>
    <xf numFmtId="0" fontId="13" fillId="0" borderId="0" xfId="3" applyFont="1" applyFill="1" applyBorder="1" applyAlignment="1">
      <alignment horizontal="left" vertical="center" wrapText="1"/>
    </xf>
    <xf numFmtId="167" fontId="13" fillId="0" borderId="0" xfId="6" applyFont="1" applyFill="1" applyBorder="1" applyAlignment="1">
      <alignment horizontal="center" vertical="center"/>
    </xf>
    <xf numFmtId="0" fontId="14" fillId="0" borderId="0" xfId="3" applyFont="1" applyFill="1" applyAlignment="1">
      <alignment vertical="center" wrapText="1"/>
    </xf>
    <xf numFmtId="10" fontId="14" fillId="0" borderId="0" xfId="4" applyNumberFormat="1" applyFont="1" applyFill="1" applyAlignment="1">
      <alignment vertical="center"/>
    </xf>
    <xf numFmtId="167" fontId="14" fillId="0" borderId="0" xfId="6" applyFont="1" applyFill="1" applyAlignment="1">
      <alignment vertical="center"/>
    </xf>
    <xf numFmtId="167" fontId="13" fillId="5" borderId="3" xfId="6" applyFont="1" applyFill="1" applyBorder="1" applyAlignment="1">
      <alignment horizontal="center" vertical="center"/>
    </xf>
    <xf numFmtId="167" fontId="14" fillId="0" borderId="3" xfId="6" applyNumberFormat="1" applyFont="1" applyFill="1" applyBorder="1" applyAlignment="1">
      <alignment horizontal="center" vertical="center"/>
    </xf>
    <xf numFmtId="167" fontId="15" fillId="0" borderId="3" xfId="6" applyFont="1" applyFill="1" applyBorder="1" applyAlignment="1" applyProtection="1">
      <alignment horizontal="center" vertical="center"/>
    </xf>
    <xf numFmtId="167" fontId="13" fillId="2" borderId="3" xfId="6" applyNumberFormat="1" applyFont="1" applyFill="1" applyBorder="1" applyAlignment="1">
      <alignment horizontal="center" vertical="center"/>
    </xf>
    <xf numFmtId="167" fontId="13" fillId="5" borderId="11" xfId="6" applyFont="1" applyFill="1" applyBorder="1" applyAlignment="1">
      <alignment horizontal="center" vertical="center"/>
    </xf>
    <xf numFmtId="167" fontId="14" fillId="3" borderId="3" xfId="6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/>
    </xf>
    <xf numFmtId="2" fontId="2" fillId="0" borderId="0" xfId="3" applyNumberFormat="1" applyFont="1" applyFill="1" applyBorder="1" applyAlignment="1">
      <alignment vertical="center"/>
    </xf>
    <xf numFmtId="9" fontId="14" fillId="0" borderId="0" xfId="3" applyNumberFormat="1" applyFont="1" applyFill="1" applyBorder="1" applyAlignment="1">
      <alignment horizontal="center" vertical="center"/>
    </xf>
    <xf numFmtId="167" fontId="2" fillId="0" borderId="0" xfId="6" applyFont="1" applyFill="1" applyBorder="1" applyAlignment="1">
      <alignment vertical="center"/>
    </xf>
    <xf numFmtId="40" fontId="15" fillId="0" borderId="0" xfId="3" applyNumberFormat="1" applyFont="1" applyFill="1" applyBorder="1" applyAlignment="1" applyProtection="1">
      <alignment horizontal="right" vertical="center"/>
    </xf>
    <xf numFmtId="166" fontId="16" fillId="0" borderId="0" xfId="5" applyFont="1" applyFill="1" applyBorder="1" applyAlignment="1">
      <alignment vertical="center"/>
    </xf>
    <xf numFmtId="167" fontId="14" fillId="0" borderId="0" xfId="6" applyNumberFormat="1" applyFont="1" applyFill="1" applyBorder="1" applyAlignment="1">
      <alignment vertical="center"/>
    </xf>
    <xf numFmtId="167" fontId="13" fillId="6" borderId="1" xfId="6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0" fillId="0" borderId="1" xfId="0" applyNumberFormat="1" applyBorder="1" applyAlignment="1">
      <alignment horizontal="right" vertical="center"/>
    </xf>
    <xf numFmtId="2" fontId="3" fillId="4" borderId="1" xfId="0" applyNumberFormat="1" applyFont="1" applyFill="1" applyBorder="1"/>
    <xf numFmtId="0" fontId="12" fillId="2" borderId="1" xfId="0" applyFont="1" applyFill="1" applyBorder="1" applyAlignment="1">
      <alignment wrapText="1"/>
    </xf>
    <xf numFmtId="2" fontId="3" fillId="8" borderId="1" xfId="0" applyNumberFormat="1" applyFont="1" applyFill="1" applyBorder="1"/>
    <xf numFmtId="165" fontId="3" fillId="8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 applyBorder="1" applyAlignment="1">
      <alignment vertical="center"/>
    </xf>
    <xf numFmtId="0" fontId="0" fillId="7" borderId="0" xfId="0" applyFill="1" applyBorder="1"/>
    <xf numFmtId="0" fontId="0" fillId="2" borderId="0" xfId="0" applyFill="1" applyBorder="1"/>
    <xf numFmtId="0" fontId="5" fillId="8" borderId="1" xfId="1" applyFont="1" applyFill="1" applyBorder="1" applyAlignment="1">
      <alignment vertical="center" wrapText="1"/>
    </xf>
    <xf numFmtId="0" fontId="5" fillId="8" borderId="1" xfId="1" applyFont="1" applyFill="1" applyBorder="1" applyAlignment="1">
      <alignment horizontal="left" vertical="center" wrapText="1"/>
    </xf>
    <xf numFmtId="0" fontId="5" fillId="8" borderId="1" xfId="1" applyFont="1" applyFill="1" applyBorder="1" applyAlignment="1">
      <alignment horizontal="justify" vertical="center" wrapText="1"/>
    </xf>
    <xf numFmtId="0" fontId="10" fillId="8" borderId="1" xfId="1" applyFont="1" applyFill="1" applyBorder="1" applyAlignment="1">
      <alignment horizontal="right" vertical="center" wrapText="1"/>
    </xf>
    <xf numFmtId="0" fontId="5" fillId="9" borderId="1" xfId="1" applyFont="1" applyFill="1" applyBorder="1" applyAlignment="1">
      <alignment horizontal="left" vertical="center" wrapText="1"/>
    </xf>
    <xf numFmtId="0" fontId="10" fillId="9" borderId="1" xfId="1" applyFont="1" applyFill="1" applyBorder="1" applyAlignment="1">
      <alignment horizontal="left" vertical="center" wrapText="1"/>
    </xf>
    <xf numFmtId="3" fontId="10" fillId="9" borderId="1" xfId="1" applyNumberFormat="1" applyFont="1" applyFill="1" applyBorder="1" applyAlignment="1">
      <alignment horizontal="left" vertical="center" wrapText="1"/>
    </xf>
    <xf numFmtId="0" fontId="17" fillId="3" borderId="11" xfId="0" applyFont="1" applyFill="1" applyBorder="1" applyAlignment="1">
      <alignment wrapText="1"/>
    </xf>
    <xf numFmtId="165" fontId="3" fillId="3" borderId="0" xfId="0" applyNumberFormat="1" applyFont="1" applyFill="1" applyBorder="1"/>
    <xf numFmtId="0" fontId="17" fillId="11" borderId="1" xfId="0" applyFont="1" applyFill="1" applyBorder="1" applyAlignment="1">
      <alignment wrapText="1"/>
    </xf>
    <xf numFmtId="43" fontId="14" fillId="0" borderId="0" xfId="3" applyNumberFormat="1" applyFont="1" applyFill="1" applyBorder="1" applyAlignment="1">
      <alignment vertical="center"/>
    </xf>
    <xf numFmtId="170" fontId="14" fillId="0" borderId="7" xfId="4" applyNumberFormat="1" applyFont="1" applyFill="1" applyBorder="1" applyAlignment="1">
      <alignment horizontal="center" vertical="center"/>
    </xf>
    <xf numFmtId="171" fontId="14" fillId="0" borderId="7" xfId="4" applyNumberFormat="1" applyFont="1" applyFill="1" applyBorder="1" applyAlignment="1">
      <alignment horizontal="center" vertical="center"/>
    </xf>
    <xf numFmtId="9" fontId="0" fillId="0" borderId="0" xfId="0" applyNumberFormat="1"/>
    <xf numFmtId="165" fontId="0" fillId="0" borderId="0" xfId="0" applyNumberFormat="1"/>
    <xf numFmtId="164" fontId="0" fillId="0" borderId="0" xfId="7" applyFont="1"/>
    <xf numFmtId="164" fontId="0" fillId="0" borderId="0" xfId="0" applyNumberFormat="1"/>
    <xf numFmtId="164" fontId="0" fillId="0" borderId="1" xfId="7" applyFont="1" applyBorder="1"/>
    <xf numFmtId="10" fontId="0" fillId="0" borderId="0" xfId="0" applyNumberFormat="1"/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3" borderId="13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3" fillId="5" borderId="2" xfId="3" applyFont="1" applyFill="1" applyBorder="1" applyAlignment="1">
      <alignment horizontal="left" vertical="center"/>
    </xf>
    <xf numFmtId="0" fontId="13" fillId="2" borderId="3" xfId="3" applyFont="1" applyFill="1" applyBorder="1" applyAlignment="1">
      <alignment horizontal="center" vertical="center"/>
    </xf>
    <xf numFmtId="0" fontId="13" fillId="2" borderId="7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left" vertical="center"/>
    </xf>
    <xf numFmtId="0" fontId="13" fillId="5" borderId="5" xfId="3" applyFont="1" applyFill="1" applyBorder="1" applyAlignment="1">
      <alignment horizontal="left" vertical="center"/>
    </xf>
    <xf numFmtId="0" fontId="13" fillId="5" borderId="4" xfId="3" applyFont="1" applyFill="1" applyBorder="1" applyAlignment="1">
      <alignment horizontal="left" vertical="center"/>
    </xf>
    <xf numFmtId="0" fontId="13" fillId="2" borderId="1" xfId="3" applyFont="1" applyFill="1" applyBorder="1" applyAlignment="1">
      <alignment horizontal="center" vertical="center"/>
    </xf>
    <xf numFmtId="43" fontId="14" fillId="0" borderId="0" xfId="3" applyNumberFormat="1" applyFont="1" applyFill="1" applyAlignment="1">
      <alignment horizontal="center" vertical="center"/>
    </xf>
    <xf numFmtId="0" fontId="14" fillId="0" borderId="0" xfId="3" applyFont="1" applyFill="1" applyAlignment="1">
      <alignment horizontal="center" vertical="center"/>
    </xf>
    <xf numFmtId="0" fontId="13" fillId="2" borderId="3" xfId="3" applyFont="1" applyFill="1" applyBorder="1" applyAlignment="1">
      <alignment horizontal="left" vertical="center"/>
    </xf>
    <xf numFmtId="0" fontId="13" fillId="2" borderId="2" xfId="3" applyFont="1" applyFill="1" applyBorder="1" applyAlignment="1">
      <alignment horizontal="left" vertical="center"/>
    </xf>
    <xf numFmtId="0" fontId="13" fillId="0" borderId="0" xfId="3" applyFont="1" applyFill="1" applyBorder="1" applyAlignment="1">
      <alignment horizontal="left" vertical="center"/>
    </xf>
    <xf numFmtId="0" fontId="14" fillId="0" borderId="0" xfId="3" applyFont="1" applyFill="1" applyBorder="1" applyAlignment="1">
      <alignment horizontal="left" vertical="center"/>
    </xf>
    <xf numFmtId="0" fontId="13" fillId="5" borderId="5" xfId="3" applyFont="1" applyFill="1" applyBorder="1" applyAlignment="1">
      <alignment horizontal="right" vertical="top" wrapText="1"/>
    </xf>
    <xf numFmtId="0" fontId="13" fillId="5" borderId="2" xfId="3" applyFont="1" applyFill="1" applyBorder="1" applyAlignment="1">
      <alignment horizontal="right" vertical="top" wrapText="1"/>
    </xf>
    <xf numFmtId="0" fontId="14" fillId="2" borderId="2" xfId="3" applyFont="1" applyFill="1" applyBorder="1" applyAlignment="1">
      <alignment horizontal="left" vertical="center"/>
    </xf>
    <xf numFmtId="0" fontId="13" fillId="2" borderId="9" xfId="3" applyFont="1" applyFill="1" applyBorder="1" applyAlignment="1">
      <alignment horizontal="center" vertical="center"/>
    </xf>
    <xf numFmtId="0" fontId="13" fillId="2" borderId="10" xfId="3" applyFont="1" applyFill="1" applyBorder="1" applyAlignment="1">
      <alignment horizontal="center" vertical="center"/>
    </xf>
    <xf numFmtId="0" fontId="12" fillId="4" borderId="1" xfId="3" quotePrefix="1" applyFont="1" applyFill="1" applyBorder="1" applyAlignment="1">
      <alignment horizontal="center" vertical="center" wrapText="1"/>
    </xf>
    <xf numFmtId="10" fontId="13" fillId="3" borderId="1" xfId="3" applyNumberFormat="1" applyFont="1" applyFill="1" applyBorder="1" applyAlignment="1">
      <alignment horizontal="center" vertical="center" wrapText="1"/>
    </xf>
    <xf numFmtId="0" fontId="13" fillId="5" borderId="3" xfId="3" applyFont="1" applyFill="1" applyBorder="1" applyAlignment="1">
      <alignment horizontal="right" vertical="top" wrapText="1"/>
    </xf>
  </cellXfs>
  <cellStyles count="8">
    <cellStyle name="Hiperlink" xfId="2" builtinId="8"/>
    <cellStyle name="Moeda" xfId="7" builtinId="4"/>
    <cellStyle name="Moeda 2" xfId="5"/>
    <cellStyle name="Normal" xfId="0" builtinId="0"/>
    <cellStyle name="Normal 2" xfId="3"/>
    <cellStyle name="Normal 4" xfId="1"/>
    <cellStyle name="Porcentagem 2" xfId="4"/>
    <cellStyle name="Vírgula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840</xdr:colOff>
      <xdr:row>9</xdr:row>
      <xdr:rowOff>9775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A30157-4E55-4656-B95C-AB860DF85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0640" cy="1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35"/>
  <sheetViews>
    <sheetView topLeftCell="A10" workbookViewId="0">
      <selection activeCell="N34" sqref="N34"/>
    </sheetView>
  </sheetViews>
  <sheetFormatPr defaultColWidth="8.85546875" defaultRowHeight="15" x14ac:dyDescent="0.25"/>
  <cols>
    <col min="1" max="9" width="8.85546875" style="126"/>
    <col min="10" max="10" width="8" style="126" customWidth="1"/>
    <col min="11" max="16384" width="8.85546875" style="126"/>
  </cols>
  <sheetData>
    <row r="9" spans="1:10" ht="20.25" customHeight="1" x14ac:dyDescent="0.25"/>
    <row r="10" spans="1:10" ht="18.75" x14ac:dyDescent="0.3">
      <c r="A10" s="156" t="s">
        <v>146</v>
      </c>
      <c r="B10" s="156"/>
      <c r="C10" s="156"/>
      <c r="D10" s="156"/>
      <c r="E10" s="156"/>
      <c r="F10" s="156"/>
      <c r="G10" s="156"/>
      <c r="H10" s="156"/>
      <c r="I10" s="156"/>
      <c r="J10" s="156"/>
    </row>
    <row r="11" spans="1:10" ht="18.75" x14ac:dyDescent="0.3">
      <c r="A11" s="157" t="s">
        <v>0</v>
      </c>
      <c r="B11" s="157"/>
      <c r="C11" s="157"/>
      <c r="D11" s="157"/>
      <c r="E11" s="157"/>
      <c r="F11" s="157"/>
      <c r="G11" s="157"/>
      <c r="H11" s="157"/>
      <c r="I11" s="157"/>
      <c r="J11" s="157"/>
    </row>
    <row r="12" spans="1:10" x14ac:dyDescent="0.25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 ht="15" customHeight="1" x14ac:dyDescent="0.25">
      <c r="A13" s="147" t="s">
        <v>137</v>
      </c>
      <c r="B13" s="148"/>
      <c r="C13" s="148"/>
      <c r="D13" s="148"/>
      <c r="E13" s="148"/>
      <c r="F13" s="148"/>
      <c r="G13" s="148"/>
      <c r="H13" s="148"/>
      <c r="I13" s="148"/>
      <c r="J13" s="149"/>
    </row>
    <row r="14" spans="1:10" x14ac:dyDescent="0.25">
      <c r="A14" s="150"/>
      <c r="B14" s="151"/>
      <c r="C14" s="151"/>
      <c r="D14" s="151"/>
      <c r="E14" s="151"/>
      <c r="F14" s="151"/>
      <c r="G14" s="151"/>
      <c r="H14" s="151"/>
      <c r="I14" s="151"/>
      <c r="J14" s="152"/>
    </row>
    <row r="15" spans="1:10" x14ac:dyDescent="0.25">
      <c r="A15" s="150"/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0" x14ac:dyDescent="0.25">
      <c r="A16" s="150"/>
      <c r="B16" s="151"/>
      <c r="C16" s="151"/>
      <c r="D16" s="151"/>
      <c r="E16" s="151"/>
      <c r="F16" s="151"/>
      <c r="G16" s="151"/>
      <c r="H16" s="151"/>
      <c r="I16" s="151"/>
      <c r="J16" s="152"/>
    </row>
    <row r="17" spans="1:10" x14ac:dyDescent="0.25">
      <c r="A17" s="150"/>
      <c r="B17" s="151"/>
      <c r="C17" s="151"/>
      <c r="D17" s="151"/>
      <c r="E17" s="151"/>
      <c r="F17" s="151"/>
      <c r="G17" s="151"/>
      <c r="H17" s="151"/>
      <c r="I17" s="151"/>
      <c r="J17" s="152"/>
    </row>
    <row r="18" spans="1:10" x14ac:dyDescent="0.25">
      <c r="A18" s="150"/>
      <c r="B18" s="151"/>
      <c r="C18" s="151"/>
      <c r="D18" s="151"/>
      <c r="E18" s="151"/>
      <c r="F18" s="151"/>
      <c r="G18" s="151"/>
      <c r="H18" s="151"/>
      <c r="I18" s="151"/>
      <c r="J18" s="152"/>
    </row>
    <row r="19" spans="1:10" x14ac:dyDescent="0.25">
      <c r="A19" s="150"/>
      <c r="B19" s="151"/>
      <c r="C19" s="151"/>
      <c r="D19" s="151"/>
      <c r="E19" s="151"/>
      <c r="F19" s="151"/>
      <c r="G19" s="151"/>
      <c r="H19" s="151"/>
      <c r="I19" s="151"/>
      <c r="J19" s="152"/>
    </row>
    <row r="20" spans="1:10" x14ac:dyDescent="0.25">
      <c r="A20" s="150"/>
      <c r="B20" s="151"/>
      <c r="C20" s="151"/>
      <c r="D20" s="151"/>
      <c r="E20" s="151"/>
      <c r="F20" s="151"/>
      <c r="G20" s="151"/>
      <c r="H20" s="151"/>
      <c r="I20" s="151"/>
      <c r="J20" s="152"/>
    </row>
    <row r="21" spans="1:10" x14ac:dyDescent="0.25">
      <c r="A21" s="150"/>
      <c r="B21" s="151"/>
      <c r="C21" s="151"/>
      <c r="D21" s="151"/>
      <c r="E21" s="151"/>
      <c r="F21" s="151"/>
      <c r="G21" s="151"/>
      <c r="H21" s="151"/>
      <c r="I21" s="151"/>
      <c r="J21" s="152"/>
    </row>
    <row r="22" spans="1:10" x14ac:dyDescent="0.25">
      <c r="A22" s="150"/>
      <c r="B22" s="151"/>
      <c r="C22" s="151"/>
      <c r="D22" s="151"/>
      <c r="E22" s="151"/>
      <c r="F22" s="151"/>
      <c r="G22" s="151"/>
      <c r="H22" s="151"/>
      <c r="I22" s="151"/>
      <c r="J22" s="152"/>
    </row>
    <row r="23" spans="1:10" x14ac:dyDescent="0.25">
      <c r="A23" s="150"/>
      <c r="B23" s="151"/>
      <c r="C23" s="151"/>
      <c r="D23" s="151"/>
      <c r="E23" s="151"/>
      <c r="F23" s="151"/>
      <c r="G23" s="151"/>
      <c r="H23" s="151"/>
      <c r="I23" s="151"/>
      <c r="J23" s="152"/>
    </row>
    <row r="24" spans="1:10" x14ac:dyDescent="0.25">
      <c r="A24" s="150"/>
      <c r="B24" s="151"/>
      <c r="C24" s="151"/>
      <c r="D24" s="151"/>
      <c r="E24" s="151"/>
      <c r="F24" s="151"/>
      <c r="G24" s="151"/>
      <c r="H24" s="151"/>
      <c r="I24" s="151"/>
      <c r="J24" s="152"/>
    </row>
    <row r="25" spans="1:10" x14ac:dyDescent="0.25">
      <c r="A25" s="150"/>
      <c r="B25" s="151"/>
      <c r="C25" s="151"/>
      <c r="D25" s="151"/>
      <c r="E25" s="151"/>
      <c r="F25" s="151"/>
      <c r="G25" s="151"/>
      <c r="H25" s="151"/>
      <c r="I25" s="151"/>
      <c r="J25" s="152"/>
    </row>
    <row r="26" spans="1:10" x14ac:dyDescent="0.25">
      <c r="A26" s="150"/>
      <c r="B26" s="151"/>
      <c r="C26" s="151"/>
      <c r="D26" s="151"/>
      <c r="E26" s="151"/>
      <c r="F26" s="151"/>
      <c r="G26" s="151"/>
      <c r="H26" s="151"/>
      <c r="I26" s="151"/>
      <c r="J26" s="152"/>
    </row>
    <row r="27" spans="1:10" x14ac:dyDescent="0.25">
      <c r="A27" s="150"/>
      <c r="B27" s="151"/>
      <c r="C27" s="151"/>
      <c r="D27" s="151"/>
      <c r="E27" s="151"/>
      <c r="F27" s="151"/>
      <c r="G27" s="151"/>
      <c r="H27" s="151"/>
      <c r="I27" s="151"/>
      <c r="J27" s="152"/>
    </row>
    <row r="28" spans="1:10" x14ac:dyDescent="0.25">
      <c r="A28" s="150"/>
      <c r="B28" s="151"/>
      <c r="C28" s="151"/>
      <c r="D28" s="151"/>
      <c r="E28" s="151"/>
      <c r="F28" s="151"/>
      <c r="G28" s="151"/>
      <c r="H28" s="151"/>
      <c r="I28" s="151"/>
      <c r="J28" s="152"/>
    </row>
    <row r="29" spans="1:10" x14ac:dyDescent="0.25">
      <c r="A29" s="150"/>
      <c r="B29" s="151"/>
      <c r="C29" s="151"/>
      <c r="D29" s="151"/>
      <c r="E29" s="151"/>
      <c r="F29" s="151"/>
      <c r="G29" s="151"/>
      <c r="H29" s="151"/>
      <c r="I29" s="151"/>
      <c r="J29" s="152"/>
    </row>
    <row r="30" spans="1:10" x14ac:dyDescent="0.25">
      <c r="A30" s="150"/>
      <c r="B30" s="151"/>
      <c r="C30" s="151"/>
      <c r="D30" s="151"/>
      <c r="E30" s="151"/>
      <c r="F30" s="151"/>
      <c r="G30" s="151"/>
      <c r="H30" s="151"/>
      <c r="I30" s="151"/>
      <c r="J30" s="152"/>
    </row>
    <row r="31" spans="1:10" x14ac:dyDescent="0.25">
      <c r="A31" s="150"/>
      <c r="B31" s="151"/>
      <c r="C31" s="151"/>
      <c r="D31" s="151"/>
      <c r="E31" s="151"/>
      <c r="F31" s="151"/>
      <c r="G31" s="151"/>
      <c r="H31" s="151"/>
      <c r="I31" s="151"/>
      <c r="J31" s="152"/>
    </row>
    <row r="32" spans="1:10" x14ac:dyDescent="0.25">
      <c r="A32" s="150"/>
      <c r="B32" s="151"/>
      <c r="C32" s="151"/>
      <c r="D32" s="151"/>
      <c r="E32" s="151"/>
      <c r="F32" s="151"/>
      <c r="G32" s="151"/>
      <c r="H32" s="151"/>
      <c r="I32" s="151"/>
      <c r="J32" s="152"/>
    </row>
    <row r="33" spans="1:10" x14ac:dyDescent="0.25">
      <c r="A33" s="150"/>
      <c r="B33" s="151"/>
      <c r="C33" s="151"/>
      <c r="D33" s="151"/>
      <c r="E33" s="151"/>
      <c r="F33" s="151"/>
      <c r="G33" s="151"/>
      <c r="H33" s="151"/>
      <c r="I33" s="151"/>
      <c r="J33" s="152"/>
    </row>
    <row r="34" spans="1:10" x14ac:dyDescent="0.25">
      <c r="A34" s="150"/>
      <c r="B34" s="151"/>
      <c r="C34" s="151"/>
      <c r="D34" s="151"/>
      <c r="E34" s="151"/>
      <c r="F34" s="151"/>
      <c r="G34" s="151"/>
      <c r="H34" s="151"/>
      <c r="I34" s="151"/>
      <c r="J34" s="152"/>
    </row>
    <row r="35" spans="1:10" x14ac:dyDescent="0.25">
      <c r="A35" s="153"/>
      <c r="B35" s="154"/>
      <c r="C35" s="154"/>
      <c r="D35" s="154"/>
      <c r="E35" s="154"/>
      <c r="F35" s="154"/>
      <c r="G35" s="154"/>
      <c r="H35" s="154"/>
      <c r="I35" s="154"/>
      <c r="J35" s="155"/>
    </row>
  </sheetData>
  <mergeCells count="4">
    <mergeCell ref="A13:J35"/>
    <mergeCell ref="A10:J10"/>
    <mergeCell ref="A11:J11"/>
    <mergeCell ref="A12:J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M114"/>
  <sheetViews>
    <sheetView showGridLines="0" view="pageBreakPreview" zoomScaleNormal="80" zoomScaleSheetLayoutView="100" workbookViewId="0">
      <selection activeCell="A2" sqref="A2:C2"/>
    </sheetView>
  </sheetViews>
  <sheetFormatPr defaultColWidth="9.140625" defaultRowHeight="15" x14ac:dyDescent="0.25"/>
  <cols>
    <col min="1" max="1" width="75.85546875" style="98" customWidth="1"/>
    <col min="2" max="2" width="15.7109375" style="99" customWidth="1"/>
    <col min="3" max="3" width="18.7109375" style="100" customWidth="1"/>
    <col min="4" max="4" width="5.7109375" style="11" customWidth="1"/>
    <col min="5" max="5" width="10" style="11" customWidth="1"/>
    <col min="6" max="6" width="11.7109375" style="11" customWidth="1"/>
    <col min="7" max="7" width="15" style="11" customWidth="1"/>
    <col min="8" max="8" width="12.7109375" style="11" customWidth="1"/>
    <col min="9" max="9" width="13.140625" style="11" bestFit="1" customWidth="1"/>
    <col min="10" max="10" width="12.7109375" style="11" customWidth="1"/>
    <col min="11" max="11" width="13.140625" style="11" bestFit="1" customWidth="1"/>
    <col min="12" max="16384" width="9.140625" style="11"/>
  </cols>
  <sheetData>
    <row r="1" spans="1:13" s="10" customFormat="1" ht="18.75" x14ac:dyDescent="0.25">
      <c r="A1" s="186" t="s">
        <v>141</v>
      </c>
      <c r="B1" s="186"/>
      <c r="C1" s="186"/>
    </row>
    <row r="2" spans="1:13" ht="18.600000000000001" customHeight="1" x14ac:dyDescent="0.25">
      <c r="A2" s="187" t="s">
        <v>130</v>
      </c>
      <c r="B2" s="187"/>
      <c r="C2" s="187"/>
    </row>
    <row r="3" spans="1:13" x14ac:dyDescent="0.25">
      <c r="A3" s="12"/>
      <c r="B3" s="13"/>
      <c r="C3" s="13"/>
    </row>
    <row r="4" spans="1:13" x14ac:dyDescent="0.25">
      <c r="A4" s="174" t="s">
        <v>35</v>
      </c>
      <c r="B4" s="174"/>
      <c r="C4" s="174"/>
    </row>
    <row r="5" spans="1:13" x14ac:dyDescent="0.25">
      <c r="A5" s="14" t="s">
        <v>36</v>
      </c>
      <c r="B5" s="15" t="s">
        <v>37</v>
      </c>
      <c r="C5" s="16" t="s">
        <v>38</v>
      </c>
    </row>
    <row r="6" spans="1:13" x14ac:dyDescent="0.25">
      <c r="A6" s="17" t="s">
        <v>39</v>
      </c>
      <c r="B6" s="18">
        <v>1</v>
      </c>
      <c r="C6" s="114">
        <v>5500</v>
      </c>
      <c r="G6" s="19"/>
    </row>
    <row r="7" spans="1:13" x14ac:dyDescent="0.25">
      <c r="A7" s="20" t="s">
        <v>40</v>
      </c>
      <c r="B7" s="18"/>
      <c r="C7" s="21">
        <f>ROUND(B7*C6,2)</f>
        <v>0</v>
      </c>
      <c r="E7" s="19"/>
    </row>
    <row r="8" spans="1:13" x14ac:dyDescent="0.25">
      <c r="A8" s="177" t="s">
        <v>41</v>
      </c>
      <c r="B8" s="183"/>
      <c r="C8" s="22">
        <f>C6+C7</f>
        <v>5500</v>
      </c>
    </row>
    <row r="9" spans="1:13" x14ac:dyDescent="0.25">
      <c r="A9" s="23"/>
      <c r="B9" s="80"/>
      <c r="C9" s="25"/>
    </row>
    <row r="10" spans="1:13" x14ac:dyDescent="0.25">
      <c r="A10" s="26" t="s">
        <v>42</v>
      </c>
      <c r="B10" s="27"/>
      <c r="C10" s="28">
        <v>160</v>
      </c>
    </row>
    <row r="11" spans="1:13" x14ac:dyDescent="0.25">
      <c r="A11" s="26" t="s">
        <v>43</v>
      </c>
      <c r="B11" s="27"/>
      <c r="C11" s="28">
        <f>ROUND(C8/C10,2)</f>
        <v>34.380000000000003</v>
      </c>
    </row>
    <row r="12" spans="1:13" x14ac:dyDescent="0.25">
      <c r="A12" s="23"/>
      <c r="B12" s="80"/>
      <c r="C12" s="25"/>
    </row>
    <row r="13" spans="1:13" x14ac:dyDescent="0.25">
      <c r="A13" s="184" t="s">
        <v>44</v>
      </c>
      <c r="B13" s="185"/>
      <c r="C13" s="185"/>
      <c r="D13" s="33"/>
      <c r="E13" s="107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A14" s="14" t="s">
        <v>45</v>
      </c>
      <c r="B14" s="15" t="s">
        <v>37</v>
      </c>
      <c r="C14" s="101" t="s">
        <v>38</v>
      </c>
      <c r="D14" s="33"/>
      <c r="E14" s="108"/>
      <c r="F14" s="109"/>
      <c r="G14" s="33"/>
      <c r="H14" s="33"/>
      <c r="I14" s="33"/>
      <c r="J14" s="33"/>
      <c r="K14" s="33"/>
      <c r="L14" s="33"/>
      <c r="M14" s="33"/>
    </row>
    <row r="15" spans="1:13" x14ac:dyDescent="0.25">
      <c r="A15" s="29" t="s">
        <v>46</v>
      </c>
      <c r="B15" s="30">
        <f>C15/$C$8</f>
        <v>0</v>
      </c>
      <c r="C15" s="102"/>
      <c r="D15" s="45"/>
      <c r="E15" s="25"/>
      <c r="F15" s="110"/>
      <c r="G15" s="33"/>
      <c r="H15" s="32"/>
      <c r="I15" s="33"/>
      <c r="J15" s="33"/>
      <c r="K15" s="33"/>
      <c r="L15" s="33"/>
      <c r="M15" s="33"/>
    </row>
    <row r="16" spans="1:13" x14ac:dyDescent="0.25">
      <c r="A16" s="29" t="s">
        <v>47</v>
      </c>
      <c r="B16" s="30">
        <f>C16/$C$8</f>
        <v>9.0926181818181823E-2</v>
      </c>
      <c r="C16" s="102">
        <f>(26.46*21)*(1-IF(C6&gt;=6851.4,20%,IF(C6&gt;=5592.97,15%,IF(C6&gt;=4474.37,10%,IF(C6&gt;=3076.13,7.5%,IF(C6&gt;=1817.71,5%,IF(C6&lt;=1817.7,0%)))))))</f>
        <v>500.09399999999999</v>
      </c>
      <c r="D16" s="33"/>
      <c r="E16" s="138"/>
      <c r="F16" s="111"/>
      <c r="G16" s="33"/>
      <c r="H16" s="33"/>
      <c r="I16" s="33"/>
      <c r="J16" s="33"/>
      <c r="K16" s="44"/>
      <c r="L16" s="33"/>
      <c r="M16" s="33"/>
    </row>
    <row r="17" spans="1:13" x14ac:dyDescent="0.25">
      <c r="A17" s="29" t="s">
        <v>48</v>
      </c>
      <c r="B17" s="30">
        <f t="shared" ref="B17:B19" si="0">C17/$C$8</f>
        <v>3.734545454545455E-2</v>
      </c>
      <c r="C17" s="102">
        <v>205.4</v>
      </c>
      <c r="D17" s="33"/>
      <c r="E17" s="138"/>
      <c r="F17" s="33"/>
      <c r="G17" s="45"/>
      <c r="H17" s="32"/>
      <c r="I17" s="32"/>
      <c r="J17" s="32"/>
      <c r="K17" s="32"/>
      <c r="L17" s="33"/>
      <c r="M17" s="33"/>
    </row>
    <row r="18" spans="1:13" x14ac:dyDescent="0.25">
      <c r="A18" s="29" t="s">
        <v>149</v>
      </c>
      <c r="B18" s="30">
        <v>0.1</v>
      </c>
      <c r="C18" s="102">
        <f>B18*C6</f>
        <v>550</v>
      </c>
      <c r="D18" s="33"/>
      <c r="E18" s="138"/>
      <c r="F18" s="33"/>
      <c r="G18" s="35"/>
      <c r="H18" s="34"/>
      <c r="I18" s="34"/>
      <c r="J18" s="35"/>
      <c r="K18" s="34"/>
      <c r="L18" s="33"/>
      <c r="M18" s="33"/>
    </row>
    <row r="19" spans="1:13" x14ac:dyDescent="0.25">
      <c r="A19" s="29" t="s">
        <v>49</v>
      </c>
      <c r="B19" s="30">
        <f t="shared" si="0"/>
        <v>9.8181818181818179E-4</v>
      </c>
      <c r="C19" s="102">
        <v>5.4</v>
      </c>
      <c r="D19" s="33"/>
      <c r="E19" s="138"/>
      <c r="F19" s="35"/>
      <c r="G19" s="38"/>
      <c r="H19" s="38"/>
      <c r="I19" s="38"/>
      <c r="J19" s="38"/>
      <c r="K19" s="38"/>
      <c r="L19" s="33"/>
      <c r="M19" s="33"/>
    </row>
    <row r="20" spans="1:13" x14ac:dyDescent="0.25">
      <c r="A20" s="177" t="s">
        <v>50</v>
      </c>
      <c r="B20" s="178"/>
      <c r="C20" s="104">
        <f>SUM(C15:C19)</f>
        <v>1260.8940000000002</v>
      </c>
      <c r="D20" s="33"/>
      <c r="E20" s="33"/>
      <c r="F20" s="37"/>
      <c r="G20" s="112"/>
      <c r="H20" s="38"/>
      <c r="I20" s="38"/>
      <c r="J20" s="38"/>
      <c r="K20" s="38"/>
      <c r="L20" s="33"/>
      <c r="M20" s="33"/>
    </row>
    <row r="21" spans="1:13" x14ac:dyDescent="0.25">
      <c r="A21" s="39"/>
      <c r="B21" s="40"/>
      <c r="C21" s="41"/>
      <c r="D21" s="33"/>
      <c r="E21" s="33"/>
      <c r="F21" s="35"/>
      <c r="G21" s="38"/>
      <c r="H21" s="38"/>
      <c r="I21" s="38"/>
      <c r="J21" s="38"/>
      <c r="K21" s="38"/>
      <c r="L21" s="33"/>
      <c r="M21" s="33"/>
    </row>
    <row r="22" spans="1:13" x14ac:dyDescent="0.25">
      <c r="A22" s="174" t="s">
        <v>51</v>
      </c>
      <c r="B22" s="174"/>
      <c r="C22" s="168"/>
      <c r="D22" s="33"/>
      <c r="E22" s="33"/>
      <c r="F22" s="35"/>
      <c r="G22" s="38"/>
      <c r="H22" s="38"/>
      <c r="I22" s="38"/>
      <c r="J22" s="38"/>
      <c r="K22" s="38"/>
      <c r="L22" s="33"/>
      <c r="M22" s="33"/>
    </row>
    <row r="23" spans="1:13" x14ac:dyDescent="0.25">
      <c r="A23" s="42" t="s">
        <v>45</v>
      </c>
      <c r="B23" s="43" t="s">
        <v>37</v>
      </c>
      <c r="C23" s="105" t="s">
        <v>38</v>
      </c>
      <c r="D23" s="33"/>
      <c r="E23" s="33"/>
      <c r="F23" s="33"/>
      <c r="G23" s="33"/>
      <c r="H23" s="32"/>
      <c r="I23" s="38"/>
      <c r="J23" s="38"/>
      <c r="K23" s="38"/>
      <c r="L23" s="33"/>
      <c r="M23" s="33"/>
    </row>
    <row r="24" spans="1:13" x14ac:dyDescent="0.25">
      <c r="A24" s="29" t="s">
        <v>52</v>
      </c>
      <c r="B24" s="30">
        <f>C24/$C$8</f>
        <v>0</v>
      </c>
      <c r="C24" s="103"/>
      <c r="D24" s="33"/>
      <c r="E24" s="33"/>
      <c r="F24" s="33"/>
      <c r="G24" s="33"/>
      <c r="H24" s="33"/>
      <c r="I24" s="44"/>
      <c r="J24" s="33"/>
      <c r="K24" s="33"/>
      <c r="L24" s="33"/>
      <c r="M24" s="33"/>
    </row>
    <row r="25" spans="1:13" x14ac:dyDescent="0.25">
      <c r="A25" s="29" t="s">
        <v>53</v>
      </c>
      <c r="B25" s="30">
        <f t="shared" ref="B25:B27" si="1">C25/$C$8</f>
        <v>0</v>
      </c>
      <c r="C25" s="103">
        <v>0</v>
      </c>
      <c r="D25" s="33"/>
      <c r="E25" s="138"/>
      <c r="F25" s="34"/>
      <c r="G25" s="45"/>
      <c r="H25" s="45"/>
      <c r="I25" s="45"/>
      <c r="J25" s="45"/>
      <c r="K25" s="32"/>
      <c r="L25" s="33"/>
      <c r="M25" s="33"/>
    </row>
    <row r="26" spans="1:13" x14ac:dyDescent="0.25">
      <c r="A26" s="46" t="str">
        <f>"C - Treinamento e/ou reciclagem / - (" &amp; TEXT(B26,"0,00%") &amp; ") sobre o salário"</f>
        <v>C - Treinamento e/ou reciclagem / - (0,00%) sobre o salário</v>
      </c>
      <c r="B26" s="30">
        <f t="shared" si="1"/>
        <v>0</v>
      </c>
      <c r="C26" s="103"/>
      <c r="D26" s="33"/>
      <c r="E26" s="33"/>
      <c r="F26" s="34"/>
      <c r="G26" s="35"/>
      <c r="H26" s="34"/>
      <c r="I26" s="35"/>
      <c r="J26" s="45"/>
      <c r="K26" s="32"/>
      <c r="L26" s="33"/>
      <c r="M26" s="33"/>
    </row>
    <row r="27" spans="1:13" x14ac:dyDescent="0.25">
      <c r="A27" s="47" t="s">
        <v>54</v>
      </c>
      <c r="B27" s="30">
        <f t="shared" si="1"/>
        <v>0</v>
      </c>
      <c r="C27" s="103"/>
      <c r="D27" s="45"/>
      <c r="E27" s="33"/>
      <c r="F27" s="34"/>
      <c r="G27" s="38"/>
      <c r="H27" s="38"/>
      <c r="I27" s="38"/>
      <c r="J27" s="33"/>
      <c r="K27" s="33"/>
      <c r="L27" s="33"/>
      <c r="M27" s="33"/>
    </row>
    <row r="28" spans="1:13" x14ac:dyDescent="0.25">
      <c r="A28" s="177" t="s">
        <v>55</v>
      </c>
      <c r="B28" s="178"/>
      <c r="C28" s="104">
        <f>SUM(C24:C27)</f>
        <v>0</v>
      </c>
      <c r="D28" s="33"/>
      <c r="E28" s="33"/>
      <c r="F28" s="34"/>
      <c r="G28" s="48"/>
      <c r="H28" s="48"/>
      <c r="I28" s="48"/>
      <c r="J28" s="48"/>
      <c r="K28" s="48"/>
      <c r="L28" s="33"/>
      <c r="M28" s="33"/>
    </row>
    <row r="29" spans="1:13" x14ac:dyDescent="0.25">
      <c r="A29" s="49"/>
      <c r="B29" s="50"/>
      <c r="C29" s="51"/>
      <c r="D29" s="33"/>
      <c r="E29" s="33"/>
      <c r="F29" s="33"/>
      <c r="G29" s="32"/>
      <c r="H29" s="32"/>
      <c r="I29" s="113"/>
      <c r="J29" s="32"/>
      <c r="K29" s="32"/>
      <c r="L29" s="33"/>
      <c r="M29" s="33"/>
    </row>
    <row r="30" spans="1:13" x14ac:dyDescent="0.25">
      <c r="A30" s="174" t="s">
        <v>56</v>
      </c>
      <c r="B30" s="174"/>
      <c r="C30" s="168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s="52" customFormat="1" x14ac:dyDescent="0.25">
      <c r="A31" s="42" t="s">
        <v>57</v>
      </c>
      <c r="B31" s="43" t="s">
        <v>37</v>
      </c>
      <c r="C31" s="105" t="s">
        <v>38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1:13" ht="30" x14ac:dyDescent="0.25">
      <c r="A32" s="53" t="s">
        <v>58</v>
      </c>
      <c r="B32" s="54">
        <v>0</v>
      </c>
      <c r="C32" s="106">
        <f t="shared" ref="C32:C39" si="2">ROUND($C$8*B32,2)</f>
        <v>0</v>
      </c>
      <c r="D32" s="55"/>
      <c r="E32" s="33"/>
      <c r="F32" s="33"/>
      <c r="G32" s="33"/>
      <c r="H32" s="33"/>
      <c r="I32" s="33"/>
      <c r="J32" s="33"/>
      <c r="K32" s="33"/>
      <c r="L32" s="33"/>
      <c r="M32" s="33"/>
    </row>
    <row r="33" spans="1:13" x14ac:dyDescent="0.25">
      <c r="A33" s="56" t="s">
        <v>59</v>
      </c>
      <c r="B33" s="57">
        <v>1.4999999999999999E-2</v>
      </c>
      <c r="C33" s="31">
        <f t="shared" si="2"/>
        <v>82.5</v>
      </c>
      <c r="D33" s="55"/>
      <c r="E33" s="33"/>
      <c r="F33" s="33"/>
      <c r="G33" s="33"/>
      <c r="H33" s="33"/>
      <c r="I33" s="33"/>
      <c r="J33" s="33"/>
      <c r="K33" s="33"/>
      <c r="L33" s="33"/>
      <c r="M33" s="33"/>
    </row>
    <row r="34" spans="1:13" x14ac:dyDescent="0.25">
      <c r="A34" s="56" t="s">
        <v>60</v>
      </c>
      <c r="B34" s="57">
        <v>0.01</v>
      </c>
      <c r="C34" s="58">
        <f t="shared" si="2"/>
        <v>55</v>
      </c>
      <c r="D34" s="55"/>
      <c r="E34" s="33"/>
    </row>
    <row r="35" spans="1:13" x14ac:dyDescent="0.25">
      <c r="A35" s="56" t="s">
        <v>61</v>
      </c>
      <c r="B35" s="57">
        <v>2E-3</v>
      </c>
      <c r="C35" s="58">
        <f t="shared" si="2"/>
        <v>11</v>
      </c>
      <c r="D35" s="55"/>
      <c r="E35" s="33"/>
    </row>
    <row r="36" spans="1:13" x14ac:dyDescent="0.25">
      <c r="A36" s="56" t="s">
        <v>62</v>
      </c>
      <c r="B36" s="57">
        <v>2.5000000000000001E-2</v>
      </c>
      <c r="C36" s="58">
        <f t="shared" si="2"/>
        <v>137.5</v>
      </c>
      <c r="D36" s="55"/>
      <c r="E36" s="33"/>
    </row>
    <row r="37" spans="1:13" x14ac:dyDescent="0.25">
      <c r="A37" s="56" t="s">
        <v>63</v>
      </c>
      <c r="B37" s="57">
        <v>0.08</v>
      </c>
      <c r="C37" s="58">
        <f t="shared" si="2"/>
        <v>440</v>
      </c>
      <c r="D37" s="55"/>
    </row>
    <row r="38" spans="1:13" x14ac:dyDescent="0.25">
      <c r="A38" s="56" t="s">
        <v>64</v>
      </c>
      <c r="B38" s="57">
        <v>0.01</v>
      </c>
      <c r="C38" s="58">
        <f t="shared" si="2"/>
        <v>55</v>
      </c>
      <c r="D38" s="55"/>
    </row>
    <row r="39" spans="1:13" x14ac:dyDescent="0.25">
      <c r="A39" s="56" t="s">
        <v>65</v>
      </c>
      <c r="B39" s="57">
        <v>6.0000000000000001E-3</v>
      </c>
      <c r="C39" s="59">
        <f t="shared" si="2"/>
        <v>33</v>
      </c>
      <c r="D39" s="55"/>
    </row>
    <row r="40" spans="1:13" x14ac:dyDescent="0.25">
      <c r="A40" s="14" t="s">
        <v>66</v>
      </c>
      <c r="B40" s="15">
        <f>ROUND(SUM(B32:B39),4)</f>
        <v>0.14799999999999999</v>
      </c>
      <c r="C40" s="60">
        <f>ROUND(SUM(C32:C39),2)</f>
        <v>814</v>
      </c>
      <c r="D40" s="55"/>
      <c r="E40" s="33"/>
    </row>
    <row r="41" spans="1:13" x14ac:dyDescent="0.25">
      <c r="A41" s="61"/>
      <c r="B41" s="62"/>
      <c r="C41" s="63"/>
      <c r="D41" s="55"/>
    </row>
    <row r="42" spans="1:13" x14ac:dyDescent="0.25">
      <c r="A42" s="14" t="s">
        <v>67</v>
      </c>
      <c r="B42" s="64" t="s">
        <v>37</v>
      </c>
      <c r="C42" s="16" t="s">
        <v>38</v>
      </c>
      <c r="D42" s="55"/>
    </row>
    <row r="43" spans="1:13" x14ac:dyDescent="0.25">
      <c r="A43" s="65" t="s">
        <v>68</v>
      </c>
      <c r="B43" s="57">
        <v>9.0899999999999995E-2</v>
      </c>
      <c r="C43" s="66">
        <f>ROUND($C$8*B43,2)</f>
        <v>499.95</v>
      </c>
      <c r="D43" s="55"/>
    </row>
    <row r="44" spans="1:13" x14ac:dyDescent="0.25">
      <c r="A44" s="65" t="s">
        <v>69</v>
      </c>
      <c r="B44" s="57">
        <f>B43/3</f>
        <v>3.0299999999999997E-2</v>
      </c>
      <c r="C44" s="58">
        <f>ROUND($C$8*B44,2)</f>
        <v>166.65</v>
      </c>
      <c r="D44" s="55"/>
      <c r="I44" s="67"/>
    </row>
    <row r="45" spans="1:13" x14ac:dyDescent="0.25">
      <c r="A45" s="188" t="s">
        <v>70</v>
      </c>
      <c r="B45" s="182"/>
      <c r="C45" s="68">
        <f>SUM(C43:C44)</f>
        <v>666.6</v>
      </c>
      <c r="D45" s="55"/>
    </row>
    <row r="46" spans="1:13" x14ac:dyDescent="0.25">
      <c r="A46" s="69" t="s">
        <v>71</v>
      </c>
      <c r="B46" s="57">
        <f>B40*B43</f>
        <v>1.3453199999999998E-2</v>
      </c>
      <c r="C46" s="58">
        <f>ROUND($C$8*B46,2)</f>
        <v>73.989999999999995</v>
      </c>
      <c r="D46" s="55"/>
    </row>
    <row r="47" spans="1:13" x14ac:dyDescent="0.25">
      <c r="A47" s="14" t="s">
        <v>72</v>
      </c>
      <c r="B47" s="15">
        <f>SUM(B43:B44,B46)</f>
        <v>0.13465319999999997</v>
      </c>
      <c r="C47" s="60">
        <f>C45+C46</f>
        <v>740.59</v>
      </c>
      <c r="D47" s="55"/>
      <c r="E47" s="33"/>
    </row>
    <row r="48" spans="1:13" x14ac:dyDescent="0.25">
      <c r="A48" s="61"/>
      <c r="B48" s="62"/>
      <c r="C48" s="63"/>
      <c r="D48" s="55"/>
    </row>
    <row r="49" spans="1:7" x14ac:dyDescent="0.25">
      <c r="A49" s="14" t="s">
        <v>73</v>
      </c>
      <c r="B49" s="64" t="s">
        <v>37</v>
      </c>
      <c r="C49" s="16" t="s">
        <v>38</v>
      </c>
      <c r="D49" s="55"/>
    </row>
    <row r="50" spans="1:7" x14ac:dyDescent="0.25">
      <c r="A50" s="65" t="s">
        <v>74</v>
      </c>
      <c r="B50" s="57">
        <v>2.9999999999999997E-4</v>
      </c>
      <c r="C50" s="58">
        <f>ROUND($C$8*B50,2)</f>
        <v>1.65</v>
      </c>
      <c r="D50" s="55"/>
      <c r="G50" s="70"/>
    </row>
    <row r="51" spans="1:7" x14ac:dyDescent="0.25">
      <c r="A51" s="65" t="s">
        <v>75</v>
      </c>
      <c r="B51" s="57">
        <f>B40*B50</f>
        <v>4.4399999999999995E-5</v>
      </c>
      <c r="C51" s="58">
        <f>ROUND($C$8*B51,2)</f>
        <v>0.24</v>
      </c>
      <c r="D51" s="55"/>
    </row>
    <row r="52" spans="1:7" x14ac:dyDescent="0.25">
      <c r="A52" s="14" t="s">
        <v>76</v>
      </c>
      <c r="B52" s="15">
        <f>SUM(B50:B51)</f>
        <v>3.4439999999999997E-4</v>
      </c>
      <c r="C52" s="60">
        <f>SUM(C50:C51)</f>
        <v>1.89</v>
      </c>
      <c r="D52" s="55"/>
      <c r="E52" s="33"/>
    </row>
    <row r="53" spans="1:7" x14ac:dyDescent="0.25">
      <c r="A53" s="61"/>
      <c r="B53" s="62"/>
      <c r="C53" s="63"/>
      <c r="D53" s="55"/>
    </row>
    <row r="54" spans="1:7" x14ac:dyDescent="0.25">
      <c r="A54" s="14" t="s">
        <v>77</v>
      </c>
      <c r="B54" s="64" t="s">
        <v>37</v>
      </c>
      <c r="C54" s="16" t="s">
        <v>38</v>
      </c>
      <c r="D54" s="55"/>
    </row>
    <row r="55" spans="1:7" x14ac:dyDescent="0.25">
      <c r="A55" s="65" t="s">
        <v>78</v>
      </c>
      <c r="B55" s="71">
        <v>8.3000000000000001E-3</v>
      </c>
      <c r="C55" s="58">
        <f t="shared" ref="C55:C60" si="3">ROUND($C$8*B55,2)</f>
        <v>45.65</v>
      </c>
      <c r="D55" s="55"/>
    </row>
    <row r="56" spans="1:7" x14ac:dyDescent="0.25">
      <c r="A56" s="65" t="s">
        <v>79</v>
      </c>
      <c r="B56" s="139">
        <f>B55*B37</f>
        <v>6.6399999999999999E-4</v>
      </c>
      <c r="C56" s="58">
        <f t="shared" si="3"/>
        <v>3.65</v>
      </c>
      <c r="D56" s="55"/>
    </row>
    <row r="57" spans="1:7" x14ac:dyDescent="0.25">
      <c r="A57" s="65" t="s">
        <v>80</v>
      </c>
      <c r="B57" s="140">
        <v>0</v>
      </c>
      <c r="C57" s="58">
        <f t="shared" si="3"/>
        <v>0</v>
      </c>
      <c r="D57" s="55"/>
    </row>
    <row r="58" spans="1:7" x14ac:dyDescent="0.25">
      <c r="A58" s="65" t="s">
        <v>81</v>
      </c>
      <c r="B58" s="71">
        <v>1.9400000000000001E-2</v>
      </c>
      <c r="C58" s="58">
        <f t="shared" si="3"/>
        <v>106.7</v>
      </c>
      <c r="D58" s="55"/>
    </row>
    <row r="59" spans="1:7" x14ac:dyDescent="0.25">
      <c r="A59" s="65" t="s">
        <v>82</v>
      </c>
      <c r="B59" s="71">
        <f>B58*B40</f>
        <v>2.8712E-3</v>
      </c>
      <c r="C59" s="58">
        <f t="shared" si="3"/>
        <v>15.79</v>
      </c>
      <c r="D59" s="55"/>
    </row>
    <row r="60" spans="1:7" x14ac:dyDescent="0.25">
      <c r="A60" s="65" t="s">
        <v>83</v>
      </c>
      <c r="B60" s="71">
        <v>4.36E-2</v>
      </c>
      <c r="C60" s="58">
        <f t="shared" si="3"/>
        <v>239.8</v>
      </c>
      <c r="D60" s="55"/>
    </row>
    <row r="61" spans="1:7" x14ac:dyDescent="0.25">
      <c r="A61" s="14" t="s">
        <v>84</v>
      </c>
      <c r="B61" s="15">
        <f>SUM(B55:B60)</f>
        <v>7.4835200000000004E-2</v>
      </c>
      <c r="C61" s="60">
        <f>SUM(C55:C60)</f>
        <v>411.59000000000003</v>
      </c>
      <c r="D61" s="55"/>
      <c r="E61" s="33"/>
    </row>
    <row r="62" spans="1:7" x14ac:dyDescent="0.25">
      <c r="A62" s="61"/>
      <c r="B62" s="62"/>
      <c r="C62" s="63"/>
      <c r="D62" s="55"/>
    </row>
    <row r="63" spans="1:7" x14ac:dyDescent="0.25">
      <c r="A63" s="14" t="s">
        <v>85</v>
      </c>
      <c r="B63" s="64" t="s">
        <v>37</v>
      </c>
      <c r="C63" s="16" t="s">
        <v>38</v>
      </c>
      <c r="D63" s="55"/>
    </row>
    <row r="64" spans="1:7" x14ac:dyDescent="0.25">
      <c r="A64" s="65" t="s">
        <v>86</v>
      </c>
      <c r="B64" s="71">
        <v>9.0899999999999995E-2</v>
      </c>
      <c r="C64" s="58">
        <f t="shared" ref="C64:C69" si="4">ROUND($C$8*B64,2)</f>
        <v>499.95</v>
      </c>
      <c r="D64" s="55"/>
    </row>
    <row r="65" spans="1:5" x14ac:dyDescent="0.25">
      <c r="A65" s="65" t="s">
        <v>87</v>
      </c>
      <c r="B65" s="71">
        <v>1.66E-2</v>
      </c>
      <c r="C65" s="58">
        <f t="shared" si="4"/>
        <v>91.3</v>
      </c>
      <c r="D65" s="55"/>
    </row>
    <row r="66" spans="1:5" x14ac:dyDescent="0.25">
      <c r="A66" s="65" t="s">
        <v>88</v>
      </c>
      <c r="B66" s="71">
        <v>2.0000000000000001E-4</v>
      </c>
      <c r="C66" s="58">
        <f t="shared" si="4"/>
        <v>1.1000000000000001</v>
      </c>
      <c r="D66" s="55"/>
    </row>
    <row r="67" spans="1:5" x14ac:dyDescent="0.25">
      <c r="A67" s="65" t="s">
        <v>89</v>
      </c>
      <c r="B67" s="71">
        <v>0.01</v>
      </c>
      <c r="C67" s="58">
        <f t="shared" si="4"/>
        <v>55</v>
      </c>
      <c r="D67" s="55"/>
    </row>
    <row r="68" spans="1:5" x14ac:dyDescent="0.25">
      <c r="A68" s="65" t="s">
        <v>90</v>
      </c>
      <c r="B68" s="71">
        <v>3.0000000000000001E-3</v>
      </c>
      <c r="C68" s="58">
        <f t="shared" si="4"/>
        <v>16.5</v>
      </c>
      <c r="D68" s="55"/>
    </row>
    <row r="69" spans="1:5" x14ac:dyDescent="0.25">
      <c r="A69" s="65" t="s">
        <v>91</v>
      </c>
      <c r="B69" s="71">
        <v>0</v>
      </c>
      <c r="C69" s="58">
        <f t="shared" si="4"/>
        <v>0</v>
      </c>
      <c r="D69" s="55"/>
    </row>
    <row r="70" spans="1:5" x14ac:dyDescent="0.25">
      <c r="A70" s="181" t="s">
        <v>70</v>
      </c>
      <c r="B70" s="182"/>
      <c r="C70" s="68">
        <f>SUM(C64:C69)</f>
        <v>663.85</v>
      </c>
      <c r="D70" s="55"/>
      <c r="E70" s="33"/>
    </row>
    <row r="71" spans="1:5" x14ac:dyDescent="0.25">
      <c r="A71" s="69" t="s">
        <v>92</v>
      </c>
      <c r="B71" s="57">
        <f>SUM(B64:B69)*B40</f>
        <v>1.78636E-2</v>
      </c>
      <c r="C71" s="58">
        <f>ROUND($C$8*B71,2)</f>
        <v>98.25</v>
      </c>
      <c r="D71" s="55"/>
    </row>
    <row r="72" spans="1:5" x14ac:dyDescent="0.25">
      <c r="A72" s="14" t="s">
        <v>93</v>
      </c>
      <c r="B72" s="15">
        <f>SUM(B64:B69,B71)</f>
        <v>0.13856360000000001</v>
      </c>
      <c r="C72" s="60">
        <f>SUM(C64:C69)+C71</f>
        <v>762.1</v>
      </c>
      <c r="D72" s="55"/>
      <c r="E72" s="33"/>
    </row>
    <row r="73" spans="1:5" x14ac:dyDescent="0.25">
      <c r="A73" s="61"/>
      <c r="B73" s="62"/>
      <c r="C73" s="63"/>
      <c r="D73" s="55"/>
    </row>
    <row r="74" spans="1:5" s="52" customFormat="1" x14ac:dyDescent="0.25">
      <c r="A74" s="14" t="s">
        <v>94</v>
      </c>
      <c r="B74" s="64">
        <f>SUM(B40,B47,B52,B61,B72)</f>
        <v>0.49639639999999996</v>
      </c>
      <c r="C74" s="16">
        <f>SUM(C40,C47,C52,C61,C72)</f>
        <v>2730.17</v>
      </c>
      <c r="D74" s="72"/>
    </row>
    <row r="75" spans="1:5" x14ac:dyDescent="0.25">
      <c r="A75" s="73"/>
      <c r="B75" s="74"/>
      <c r="C75" s="75"/>
    </row>
    <row r="76" spans="1:5" x14ac:dyDescent="0.25">
      <c r="A76" s="174" t="s">
        <v>95</v>
      </c>
      <c r="B76" s="174"/>
      <c r="C76" s="174"/>
    </row>
    <row r="77" spans="1:5" x14ac:dyDescent="0.25">
      <c r="A77" s="42" t="s">
        <v>96</v>
      </c>
      <c r="B77" s="15" t="s">
        <v>37</v>
      </c>
      <c r="C77" s="16" t="s">
        <v>38</v>
      </c>
    </row>
    <row r="78" spans="1:5" x14ac:dyDescent="0.25">
      <c r="A78" s="65" t="s">
        <v>97</v>
      </c>
      <c r="B78" s="18">
        <f>B40</f>
        <v>0.14799999999999999</v>
      </c>
      <c r="C78" s="68">
        <f>ROUND($C$8*B78,2)</f>
        <v>814</v>
      </c>
    </row>
    <row r="79" spans="1:5" x14ac:dyDescent="0.25">
      <c r="A79" s="65" t="s">
        <v>98</v>
      </c>
      <c r="B79" s="18">
        <f>B47</f>
        <v>0.13465319999999997</v>
      </c>
      <c r="C79" s="68">
        <f t="shared" ref="C79:C83" si="5">ROUND($C$8*B79,2)</f>
        <v>740.59</v>
      </c>
    </row>
    <row r="80" spans="1:5" x14ac:dyDescent="0.25">
      <c r="A80" s="65" t="s">
        <v>99</v>
      </c>
      <c r="B80" s="18">
        <f>B52</f>
        <v>3.4439999999999997E-4</v>
      </c>
      <c r="C80" s="68">
        <f t="shared" si="5"/>
        <v>1.89</v>
      </c>
    </row>
    <row r="81" spans="1:7" x14ac:dyDescent="0.25">
      <c r="A81" s="65" t="s">
        <v>100</v>
      </c>
      <c r="B81" s="18">
        <f>B61</f>
        <v>7.4835200000000004E-2</v>
      </c>
      <c r="C81" s="68">
        <f t="shared" si="5"/>
        <v>411.59</v>
      </c>
    </row>
    <row r="82" spans="1:7" x14ac:dyDescent="0.25">
      <c r="A82" s="65" t="s">
        <v>101</v>
      </c>
      <c r="B82" s="18">
        <f>B72</f>
        <v>0.13856360000000001</v>
      </c>
      <c r="C82" s="68">
        <f t="shared" si="5"/>
        <v>762.1</v>
      </c>
    </row>
    <row r="83" spans="1:7" x14ac:dyDescent="0.25">
      <c r="A83" s="65" t="s">
        <v>102</v>
      </c>
      <c r="B83" s="18">
        <v>0</v>
      </c>
      <c r="C83" s="68">
        <f t="shared" si="5"/>
        <v>0</v>
      </c>
    </row>
    <row r="84" spans="1:7" x14ac:dyDescent="0.25">
      <c r="A84" s="14" t="s">
        <v>103</v>
      </c>
      <c r="B84" s="15">
        <f>SUM(B78:B83)</f>
        <v>0.49639639999999996</v>
      </c>
      <c r="C84" s="16">
        <f>SUM(C78:C83)</f>
        <v>2730.17</v>
      </c>
    </row>
    <row r="85" spans="1:7" x14ac:dyDescent="0.25">
      <c r="A85" s="76"/>
      <c r="B85" s="62"/>
      <c r="C85" s="63"/>
    </row>
    <row r="86" spans="1:7" x14ac:dyDescent="0.25">
      <c r="A86" s="165" t="s">
        <v>104</v>
      </c>
      <c r="B86" s="165"/>
      <c r="C86" s="16">
        <f>C8+C20+C28+C84</f>
        <v>9491.0640000000003</v>
      </c>
    </row>
    <row r="87" spans="1:7" x14ac:dyDescent="0.25">
      <c r="A87" s="77"/>
      <c r="B87" s="77"/>
      <c r="C87" s="25"/>
      <c r="E87" s="33"/>
    </row>
    <row r="88" spans="1:7" x14ac:dyDescent="0.25">
      <c r="A88" s="168" t="s">
        <v>105</v>
      </c>
      <c r="B88" s="169"/>
      <c r="C88" s="170"/>
      <c r="E88" s="33"/>
    </row>
    <row r="89" spans="1:7" x14ac:dyDescent="0.25">
      <c r="A89" s="78" t="s">
        <v>106</v>
      </c>
      <c r="B89" s="64" t="s">
        <v>37</v>
      </c>
      <c r="C89" s="79" t="s">
        <v>38</v>
      </c>
      <c r="E89" s="55"/>
    </row>
    <row r="90" spans="1:7" x14ac:dyDescent="0.25">
      <c r="A90" s="56" t="s">
        <v>107</v>
      </c>
      <c r="B90" s="57">
        <v>6.7679333466776903E-2</v>
      </c>
      <c r="C90" s="58">
        <f>ROUND($C$86*B90,2)</f>
        <v>642.35</v>
      </c>
    </row>
    <row r="91" spans="1:7" x14ac:dyDescent="0.25">
      <c r="A91" s="56" t="s">
        <v>108</v>
      </c>
      <c r="B91" s="57">
        <v>0.04</v>
      </c>
      <c r="C91" s="58">
        <f>ROUND($C$86*B91,2)</f>
        <v>379.64</v>
      </c>
      <c r="E91" s="175"/>
      <c r="F91" s="176"/>
    </row>
    <row r="92" spans="1:7" x14ac:dyDescent="0.25">
      <c r="A92" s="177" t="s">
        <v>109</v>
      </c>
      <c r="B92" s="178"/>
      <c r="C92" s="36">
        <f>ROUND(SUM(C90:C91),2)</f>
        <v>1021.99</v>
      </c>
      <c r="E92" s="175"/>
      <c r="F92" s="176"/>
    </row>
    <row r="93" spans="1:7" x14ac:dyDescent="0.25">
      <c r="A93" s="179"/>
      <c r="B93" s="180"/>
      <c r="C93" s="25"/>
      <c r="E93" s="175"/>
      <c r="F93" s="176"/>
    </row>
    <row r="94" spans="1:7" x14ac:dyDescent="0.25">
      <c r="A94" s="177" t="s">
        <v>110</v>
      </c>
      <c r="B94" s="178"/>
      <c r="C94" s="36">
        <f>'Custos do Time'!I9</f>
        <v>269.09871154699829</v>
      </c>
      <c r="E94" s="175"/>
      <c r="F94" s="176"/>
    </row>
    <row r="95" spans="1:7" x14ac:dyDescent="0.25">
      <c r="A95" s="81"/>
      <c r="B95" s="80"/>
      <c r="C95" s="25"/>
      <c r="E95" s="82"/>
      <c r="F95" s="83"/>
    </row>
    <row r="96" spans="1:7" x14ac:dyDescent="0.25">
      <c r="A96" s="168" t="s">
        <v>111</v>
      </c>
      <c r="B96" s="169"/>
      <c r="C96" s="170"/>
      <c r="E96" s="33"/>
      <c r="F96" s="33"/>
      <c r="G96" s="33"/>
    </row>
    <row r="97" spans="1:11" x14ac:dyDescent="0.25">
      <c r="A97" s="78" t="s">
        <v>112</v>
      </c>
      <c r="B97" s="64" t="s">
        <v>37</v>
      </c>
      <c r="C97" s="79" t="s">
        <v>38</v>
      </c>
      <c r="E97" s="33"/>
      <c r="F97" s="33"/>
      <c r="G97" s="33"/>
    </row>
    <row r="98" spans="1:11" x14ac:dyDescent="0.25">
      <c r="A98" s="20" t="s">
        <v>113</v>
      </c>
      <c r="B98" s="18">
        <v>0.02</v>
      </c>
      <c r="C98" s="84">
        <f>ROUND($C$105*B98/$B$102,2)</f>
        <v>240</v>
      </c>
      <c r="E98" s="85"/>
      <c r="F98" s="33"/>
      <c r="G98" s="33"/>
      <c r="H98" s="33"/>
      <c r="I98" s="33"/>
      <c r="J98" s="33"/>
    </row>
    <row r="99" spans="1:11" x14ac:dyDescent="0.25">
      <c r="A99" s="20" t="s">
        <v>114</v>
      </c>
      <c r="B99" s="18">
        <v>6.4999999999999997E-3</v>
      </c>
      <c r="C99" s="84">
        <f>ROUND($C$105*B99/$B$102,2)</f>
        <v>78</v>
      </c>
      <c r="F99" s="33"/>
      <c r="G99" s="33"/>
      <c r="H99" s="33"/>
      <c r="I99" s="33"/>
      <c r="J99" s="33"/>
    </row>
    <row r="100" spans="1:11" x14ac:dyDescent="0.25">
      <c r="A100" s="20" t="s">
        <v>115</v>
      </c>
      <c r="B100" s="18">
        <v>0.03</v>
      </c>
      <c r="C100" s="84">
        <f>ROUND($C$105*B100/$B$102,2)</f>
        <v>360.01</v>
      </c>
      <c r="F100" s="33"/>
      <c r="G100" s="33"/>
      <c r="H100" s="33"/>
      <c r="I100" s="33"/>
      <c r="J100" s="33"/>
    </row>
    <row r="101" spans="1:11" ht="30" x14ac:dyDescent="0.25">
      <c r="A101" s="86" t="s">
        <v>116</v>
      </c>
      <c r="B101" s="18">
        <v>4.4999999999999998E-2</v>
      </c>
      <c r="C101" s="87">
        <f>ROUND($C$105*B101/$B$102,2)</f>
        <v>540.01</v>
      </c>
      <c r="F101" s="33"/>
      <c r="G101" s="33"/>
      <c r="H101" s="33"/>
      <c r="I101" s="33"/>
      <c r="J101" s="33"/>
    </row>
    <row r="102" spans="1:11" x14ac:dyDescent="0.25">
      <c r="A102" s="88" t="s">
        <v>117</v>
      </c>
      <c r="B102" s="89">
        <f>ROUND(SUM(B98:B101),4)</f>
        <v>0.10150000000000001</v>
      </c>
      <c r="C102" s="90">
        <f>ROUND($C$105*B102/$B$102,2)</f>
        <v>1218.02</v>
      </c>
      <c r="E102" s="91"/>
      <c r="F102" s="33"/>
      <c r="G102" s="33"/>
      <c r="H102" s="33"/>
      <c r="I102" s="33"/>
      <c r="J102" s="33"/>
    </row>
    <row r="103" spans="1:11" s="33" customFormat="1" x14ac:dyDescent="0.25">
      <c r="A103" s="92"/>
      <c r="B103" s="93"/>
      <c r="C103" s="94"/>
      <c r="D103" s="45"/>
      <c r="E103" s="11"/>
      <c r="H103" s="11"/>
      <c r="I103" s="11"/>
      <c r="J103" s="11"/>
    </row>
    <row r="104" spans="1:11" s="33" customFormat="1" x14ac:dyDescent="0.25">
      <c r="A104" s="172" t="s">
        <v>118</v>
      </c>
      <c r="B104" s="173"/>
      <c r="C104" s="95">
        <f>ROUND(C86+C92+C94,2)</f>
        <v>10782.15</v>
      </c>
      <c r="E104" s="11"/>
      <c r="F104" s="11"/>
      <c r="G104" s="11"/>
      <c r="H104" s="11"/>
      <c r="I104" s="11"/>
      <c r="J104" s="11"/>
      <c r="K104" s="11"/>
    </row>
    <row r="105" spans="1:11" x14ac:dyDescent="0.25">
      <c r="A105" s="166" t="s">
        <v>119</v>
      </c>
      <c r="B105" s="167"/>
      <c r="C105" s="16">
        <f>ROUND(C106-C104,2)</f>
        <v>1218.02</v>
      </c>
      <c r="E105" s="91"/>
      <c r="G105" s="33"/>
      <c r="H105" s="33"/>
      <c r="I105" s="33"/>
      <c r="J105" s="33"/>
    </row>
    <row r="106" spans="1:11" s="33" customFormat="1" x14ac:dyDescent="0.25">
      <c r="A106" s="165" t="s">
        <v>120</v>
      </c>
      <c r="B106" s="165"/>
      <c r="C106" s="16">
        <f>ROUND(C104/(1-$B$102),2)</f>
        <v>12000.17</v>
      </c>
      <c r="D106" s="45"/>
    </row>
    <row r="107" spans="1:11" s="33" customFormat="1" x14ac:dyDescent="0.25">
      <c r="A107" s="96"/>
      <c r="B107" s="81"/>
      <c r="C107" s="97"/>
    </row>
    <row r="108" spans="1:11" s="33" customFormat="1" x14ac:dyDescent="0.25">
      <c r="A108" s="168" t="s">
        <v>121</v>
      </c>
      <c r="B108" s="169"/>
      <c r="C108" s="170"/>
    </row>
    <row r="109" spans="1:11" s="33" customFormat="1" x14ac:dyDescent="0.25">
      <c r="A109" s="171" t="s">
        <v>122</v>
      </c>
      <c r="B109" s="171"/>
      <c r="C109" s="22">
        <f>ROUND(C106,2)</f>
        <v>12000.17</v>
      </c>
    </row>
    <row r="110" spans="1:11" x14ac:dyDescent="0.25">
      <c r="A110" s="23"/>
      <c r="B110" s="81"/>
      <c r="C110" s="97"/>
    </row>
    <row r="111" spans="1:11" hidden="1" x14ac:dyDescent="0.25">
      <c r="A111" s="165" t="s">
        <v>123</v>
      </c>
      <c r="B111" s="165"/>
      <c r="C111" s="68" t="e">
        <f>ROUND(#REF!/C8,2)</f>
        <v>#REF!</v>
      </c>
    </row>
    <row r="112" spans="1:11" x14ac:dyDescent="0.25">
      <c r="A112" s="165" t="s">
        <v>124</v>
      </c>
      <c r="B112" s="165"/>
      <c r="C112" s="68">
        <f>ROUND(C109/C10,2)</f>
        <v>75</v>
      </c>
    </row>
    <row r="113" spans="1:3" hidden="1" x14ac:dyDescent="0.25">
      <c r="A113" s="165" t="s">
        <v>125</v>
      </c>
      <c r="B113" s="165"/>
      <c r="C113" s="68" t="e">
        <f>#REF!</f>
        <v>#REF!</v>
      </c>
    </row>
    <row r="114" spans="1:3" x14ac:dyDescent="0.25">
      <c r="C114" s="97"/>
    </row>
  </sheetData>
  <mergeCells count="30">
    <mergeCell ref="A108:C108"/>
    <mergeCell ref="A109:B109"/>
    <mergeCell ref="A111:B111"/>
    <mergeCell ref="A112:B112"/>
    <mergeCell ref="A113:B113"/>
    <mergeCell ref="A106:B106"/>
    <mergeCell ref="A86:B86"/>
    <mergeCell ref="A88:C88"/>
    <mergeCell ref="E91:F91"/>
    <mergeCell ref="A92:B92"/>
    <mergeCell ref="E92:F92"/>
    <mergeCell ref="A93:B93"/>
    <mergeCell ref="E93:F93"/>
    <mergeCell ref="A94:B94"/>
    <mergeCell ref="E94:F94"/>
    <mergeCell ref="A96:C96"/>
    <mergeCell ref="A104:B104"/>
    <mergeCell ref="A105:B105"/>
    <mergeCell ref="A76:C76"/>
    <mergeCell ref="A1:C1"/>
    <mergeCell ref="A2:C2"/>
    <mergeCell ref="A4:C4"/>
    <mergeCell ref="A8:B8"/>
    <mergeCell ref="A13:C13"/>
    <mergeCell ref="A20:B20"/>
    <mergeCell ref="A22:C22"/>
    <mergeCell ref="A28:B28"/>
    <mergeCell ref="A30:C30"/>
    <mergeCell ref="A45:B45"/>
    <mergeCell ref="A70:B70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3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115" zoomScaleNormal="115" workbookViewId="0">
      <selection activeCell="B17" sqref="B17"/>
    </sheetView>
  </sheetViews>
  <sheetFormatPr defaultColWidth="8.85546875" defaultRowHeight="15" x14ac:dyDescent="0.25"/>
  <cols>
    <col min="1" max="1" width="22.5703125" style="127" bestFit="1" customWidth="1"/>
    <col min="2" max="2" width="71.85546875" style="127" customWidth="1"/>
    <col min="3" max="16384" width="8.85546875" style="127"/>
  </cols>
  <sheetData>
    <row r="1" spans="1:2" ht="21" x14ac:dyDescent="0.35">
      <c r="A1" s="159" t="s">
        <v>34</v>
      </c>
      <c r="B1" s="159"/>
    </row>
    <row r="2" spans="1:2" ht="15.75" x14ac:dyDescent="0.25">
      <c r="A2" s="128" t="s">
        <v>1</v>
      </c>
      <c r="B2" s="1"/>
    </row>
    <row r="3" spans="1:2" ht="15.75" x14ac:dyDescent="0.25">
      <c r="A3" s="128" t="s">
        <v>2</v>
      </c>
      <c r="B3" s="1"/>
    </row>
    <row r="4" spans="1:2" ht="15.75" x14ac:dyDescent="0.25">
      <c r="A4" s="128" t="s">
        <v>3</v>
      </c>
      <c r="B4" s="2"/>
    </row>
    <row r="5" spans="1:2" ht="15.75" x14ac:dyDescent="0.25">
      <c r="A5" s="129" t="s">
        <v>4</v>
      </c>
      <c r="B5" s="1"/>
    </row>
    <row r="6" spans="1:2" ht="15.75" x14ac:dyDescent="0.25">
      <c r="A6" s="129" t="s">
        <v>5</v>
      </c>
      <c r="B6" s="1"/>
    </row>
    <row r="7" spans="1:2" ht="15.75" x14ac:dyDescent="0.25">
      <c r="A7" s="130" t="s">
        <v>6</v>
      </c>
      <c r="B7" s="1"/>
    </row>
    <row r="8" spans="1:2" ht="15.75" x14ac:dyDescent="0.25">
      <c r="A8" s="130" t="s">
        <v>7</v>
      </c>
      <c r="B8" s="3"/>
    </row>
    <row r="9" spans="1:2" ht="15.75" x14ac:dyDescent="0.25">
      <c r="A9" s="129" t="s">
        <v>8</v>
      </c>
      <c r="B9" s="1"/>
    </row>
    <row r="10" spans="1:2" ht="15.75" x14ac:dyDescent="0.25">
      <c r="A10" s="129" t="s">
        <v>9</v>
      </c>
      <c r="B10" s="132" t="s">
        <v>14</v>
      </c>
    </row>
    <row r="11" spans="1:2" x14ac:dyDescent="0.25">
      <c r="A11" s="131" t="s">
        <v>10</v>
      </c>
      <c r="B11" s="133" t="s">
        <v>11</v>
      </c>
    </row>
    <row r="12" spans="1:2" x14ac:dyDescent="0.25">
      <c r="A12" s="131" t="s">
        <v>12</v>
      </c>
      <c r="B12" s="134">
        <v>15000</v>
      </c>
    </row>
    <row r="13" spans="1:2" ht="15.75" x14ac:dyDescent="0.25">
      <c r="A13" s="129" t="s">
        <v>13</v>
      </c>
      <c r="B13" s="132" t="s">
        <v>15</v>
      </c>
    </row>
    <row r="14" spans="1:2" x14ac:dyDescent="0.25">
      <c r="A14" s="131" t="s">
        <v>10</v>
      </c>
      <c r="B14" s="133" t="s">
        <v>16</v>
      </c>
    </row>
    <row r="15" spans="1:2" x14ac:dyDescent="0.25">
      <c r="A15" s="131" t="s">
        <v>12</v>
      </c>
      <c r="B15" s="134">
        <v>60000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tabSelected="1" workbookViewId="0">
      <selection activeCell="B7" sqref="B7"/>
    </sheetView>
  </sheetViews>
  <sheetFormatPr defaultRowHeight="15" x14ac:dyDescent="0.25"/>
  <cols>
    <col min="1" max="1" width="35" customWidth="1"/>
    <col min="2" max="2" width="15.85546875" bestFit="1" customWidth="1"/>
    <col min="3" max="3" width="16.140625" bestFit="1" customWidth="1"/>
    <col min="4" max="4" width="17.85546875" customWidth="1"/>
    <col min="5" max="5" width="18.28515625" customWidth="1"/>
    <col min="6" max="7" width="16.140625" bestFit="1" customWidth="1"/>
    <col min="8" max="8" width="46" customWidth="1"/>
    <col min="9" max="9" width="23" customWidth="1"/>
    <col min="10" max="10" width="16.42578125" customWidth="1"/>
  </cols>
  <sheetData>
    <row r="1" spans="1:9" ht="30.75" customHeight="1" x14ac:dyDescent="0.25">
      <c r="A1" s="162" t="s">
        <v>27</v>
      </c>
      <c r="B1" s="162"/>
      <c r="C1" s="162"/>
      <c r="D1" s="162"/>
      <c r="E1" s="162"/>
      <c r="F1" s="7"/>
      <c r="H1" s="163" t="s">
        <v>29</v>
      </c>
      <c r="I1" s="163"/>
    </row>
    <row r="2" spans="1:9" x14ac:dyDescent="0.25">
      <c r="A2" s="9" t="s">
        <v>17</v>
      </c>
      <c r="B2" s="9" t="s">
        <v>145</v>
      </c>
      <c r="C2" s="9" t="s">
        <v>18</v>
      </c>
      <c r="D2" s="9" t="s">
        <v>19</v>
      </c>
      <c r="E2" s="9" t="s">
        <v>144</v>
      </c>
      <c r="F2" s="9" t="s">
        <v>136</v>
      </c>
      <c r="H2" s="9" t="s">
        <v>28</v>
      </c>
      <c r="I2" s="9" t="s">
        <v>30</v>
      </c>
    </row>
    <row r="3" spans="1:9" x14ac:dyDescent="0.25">
      <c r="A3" s="4" t="s">
        <v>20</v>
      </c>
      <c r="B3" s="8">
        <f>'3'!$C$109</f>
        <v>12634.94</v>
      </c>
      <c r="C3" s="5">
        <v>1</v>
      </c>
      <c r="D3" s="4">
        <v>160</v>
      </c>
      <c r="E3" s="8">
        <f>B3*C3</f>
        <v>12634.94</v>
      </c>
      <c r="F3" s="8">
        <f>B3/160</f>
        <v>78.968375000000009</v>
      </c>
      <c r="H3" s="6" t="s">
        <v>150</v>
      </c>
      <c r="I3" s="118">
        <v>185.64414720000002</v>
      </c>
    </row>
    <row r="4" spans="1:9" x14ac:dyDescent="0.25">
      <c r="A4" s="4" t="s">
        <v>21</v>
      </c>
      <c r="B4" s="8">
        <f>'4'!$C$109</f>
        <v>9354.2900000000009</v>
      </c>
      <c r="C4" s="5">
        <v>1</v>
      </c>
      <c r="D4" s="4">
        <v>160</v>
      </c>
      <c r="E4" s="8">
        <f t="shared" ref="E4:E10" si="0">B4*C4</f>
        <v>9354.2900000000009</v>
      </c>
      <c r="F4" s="8">
        <f t="shared" ref="F4:F10" si="1">B4/160</f>
        <v>58.464312500000005</v>
      </c>
      <c r="H4" s="4" t="s">
        <v>151</v>
      </c>
      <c r="I4" s="118">
        <v>52.521231013664966</v>
      </c>
    </row>
    <row r="5" spans="1:9" x14ac:dyDescent="0.25">
      <c r="A5" s="4" t="s">
        <v>22</v>
      </c>
      <c r="B5" s="8">
        <f>'4'!$C$109</f>
        <v>9354.2900000000009</v>
      </c>
      <c r="C5" s="5">
        <v>1</v>
      </c>
      <c r="D5" s="4">
        <v>160</v>
      </c>
      <c r="E5" s="8">
        <f t="shared" si="0"/>
        <v>9354.2900000000009</v>
      </c>
      <c r="F5" s="8">
        <f t="shared" si="1"/>
        <v>58.464312500000005</v>
      </c>
      <c r="H5" s="4" t="s">
        <v>152</v>
      </c>
      <c r="I5" s="118">
        <v>30.933333333333334</v>
      </c>
    </row>
    <row r="6" spans="1:9" x14ac:dyDescent="0.25">
      <c r="A6" s="6" t="s">
        <v>129</v>
      </c>
      <c r="B6" s="8">
        <f>'5'!$C$109</f>
        <v>12369.93</v>
      </c>
      <c r="C6" s="5">
        <v>0.5</v>
      </c>
      <c r="D6" s="4">
        <v>80</v>
      </c>
      <c r="E6" s="8">
        <f t="shared" si="0"/>
        <v>6184.9650000000001</v>
      </c>
      <c r="F6" s="8">
        <f t="shared" si="1"/>
        <v>77.312062499999996</v>
      </c>
      <c r="H6" s="4" t="s">
        <v>31</v>
      </c>
      <c r="I6" s="118"/>
    </row>
    <row r="7" spans="1:9" x14ac:dyDescent="0.25">
      <c r="A7" s="4" t="s">
        <v>23</v>
      </c>
      <c r="B7" s="8">
        <f>'2'!$C$109</f>
        <v>28661.73</v>
      </c>
      <c r="C7" s="5">
        <v>0.33329999999999999</v>
      </c>
      <c r="D7" s="4">
        <v>53.33</v>
      </c>
      <c r="E7" s="8">
        <f t="shared" si="0"/>
        <v>9552.9546089999985</v>
      </c>
      <c r="F7" s="8">
        <f t="shared" si="1"/>
        <v>179.13581249999999</v>
      </c>
      <c r="H7" s="4" t="s">
        <v>32</v>
      </c>
      <c r="I7" s="118"/>
    </row>
    <row r="8" spans="1:9" x14ac:dyDescent="0.25">
      <c r="A8" s="4" t="s">
        <v>24</v>
      </c>
      <c r="B8" s="8">
        <f>'1'!$C$109</f>
        <v>11411.76</v>
      </c>
      <c r="C8" s="5">
        <v>0.33329999999999999</v>
      </c>
      <c r="D8" s="4">
        <v>53.33</v>
      </c>
      <c r="E8" s="8">
        <f t="shared" si="0"/>
        <v>3803.539608</v>
      </c>
      <c r="F8" s="8">
        <f t="shared" si="1"/>
        <v>71.323499999999996</v>
      </c>
      <c r="H8" s="4" t="s">
        <v>33</v>
      </c>
      <c r="I8" s="118"/>
    </row>
    <row r="9" spans="1:9" x14ac:dyDescent="0.25">
      <c r="A9" s="4" t="s">
        <v>25</v>
      </c>
      <c r="B9" s="8">
        <f>'6'!$C$109</f>
        <v>5005.32</v>
      </c>
      <c r="C9" s="5">
        <v>0.2</v>
      </c>
      <c r="D9" s="4">
        <v>32</v>
      </c>
      <c r="E9" s="8">
        <f t="shared" si="0"/>
        <v>1001.064</v>
      </c>
      <c r="F9" s="8">
        <f t="shared" si="1"/>
        <v>31.283249999999999</v>
      </c>
      <c r="H9" s="123" t="s">
        <v>127</v>
      </c>
      <c r="I9" s="124">
        <f>SUM(I3:I8)</f>
        <v>269.09871154699829</v>
      </c>
    </row>
    <row r="10" spans="1:9" x14ac:dyDescent="0.25">
      <c r="A10" s="4" t="s">
        <v>26</v>
      </c>
      <c r="B10" s="8">
        <f>'7'!$C$109</f>
        <v>12000.17</v>
      </c>
      <c r="C10" s="5">
        <v>0.2</v>
      </c>
      <c r="D10" s="4">
        <v>32</v>
      </c>
      <c r="E10" s="8">
        <f t="shared" si="0"/>
        <v>2400.0340000000001</v>
      </c>
      <c r="F10" s="8">
        <f t="shared" si="1"/>
        <v>75.001062500000003</v>
      </c>
    </row>
    <row r="11" spans="1:9" ht="29.25" customHeight="1" x14ac:dyDescent="0.25">
      <c r="C11" s="115" t="s">
        <v>127</v>
      </c>
      <c r="D11" s="116">
        <f>SUM(D3:D10)</f>
        <v>730.66000000000008</v>
      </c>
      <c r="E11" s="117">
        <f>SUM(E3:E10)</f>
        <v>54286.077216999998</v>
      </c>
      <c r="F11" s="125"/>
    </row>
    <row r="12" spans="1:9" x14ac:dyDescent="0.25">
      <c r="I12" s="141"/>
    </row>
    <row r="13" spans="1:9" x14ac:dyDescent="0.25">
      <c r="F13" s="146"/>
    </row>
    <row r="14" spans="1:9" ht="37.5" x14ac:dyDescent="0.3">
      <c r="A14" s="120" t="s">
        <v>131</v>
      </c>
      <c r="B14" s="119">
        <v>10</v>
      </c>
      <c r="E14" s="143"/>
      <c r="F14" s="143"/>
      <c r="G14" s="143"/>
    </row>
    <row r="15" spans="1:9" ht="18.75" x14ac:dyDescent="0.3">
      <c r="A15" s="137" t="s">
        <v>133</v>
      </c>
      <c r="B15" s="121">
        <f>D11</f>
        <v>730.66000000000008</v>
      </c>
      <c r="E15" s="144"/>
    </row>
    <row r="16" spans="1:9" ht="18.75" x14ac:dyDescent="0.3">
      <c r="A16" s="137" t="s">
        <v>134</v>
      </c>
      <c r="B16" s="121">
        <f>IF(B14&gt;0,B15/B14,0)</f>
        <v>73.066000000000003</v>
      </c>
      <c r="E16" s="142"/>
    </row>
    <row r="17" spans="1:7" ht="18.75" x14ac:dyDescent="0.3">
      <c r="A17" s="137" t="s">
        <v>132</v>
      </c>
      <c r="B17" s="122">
        <f>E11+I9</f>
        <v>54555.175928546996</v>
      </c>
      <c r="G17" s="144"/>
    </row>
    <row r="18" spans="1:7" ht="18.75" x14ac:dyDescent="0.3">
      <c r="A18" s="135"/>
      <c r="B18" s="136"/>
    </row>
    <row r="19" spans="1:7" ht="18" customHeight="1" x14ac:dyDescent="0.3">
      <c r="A19" s="164" t="s">
        <v>147</v>
      </c>
      <c r="B19" s="164"/>
      <c r="C19" s="164"/>
      <c r="D19" s="164"/>
    </row>
    <row r="20" spans="1:7" ht="18.75" x14ac:dyDescent="0.3">
      <c r="A20" s="137" t="s">
        <v>148</v>
      </c>
      <c r="B20" s="122">
        <f>B17/D11</f>
        <v>74.665611814725025</v>
      </c>
      <c r="C20" s="160" t="s">
        <v>138</v>
      </c>
      <c r="D20" s="161"/>
      <c r="E20" s="144"/>
      <c r="F20" s="144"/>
      <c r="G20" s="142"/>
    </row>
    <row r="21" spans="1:7" ht="18.75" x14ac:dyDescent="0.3">
      <c r="A21" s="137" t="s">
        <v>135</v>
      </c>
      <c r="B21" s="122">
        <f>ROUND(IF(B16&gt;0,B17/B16,0),2)</f>
        <v>746.66</v>
      </c>
      <c r="C21" s="160" t="s">
        <v>139</v>
      </c>
      <c r="D21" s="161"/>
      <c r="F21" s="142"/>
      <c r="G21" s="142"/>
    </row>
    <row r="22" spans="1:7" x14ac:dyDescent="0.25">
      <c r="G22" s="142"/>
    </row>
    <row r="23" spans="1:7" x14ac:dyDescent="0.25">
      <c r="G23" s="142"/>
    </row>
    <row r="291" spans="9:9" x14ac:dyDescent="0.25">
      <c r="I291">
        <v>6</v>
      </c>
    </row>
  </sheetData>
  <mergeCells count="5">
    <mergeCell ref="C21:D21"/>
    <mergeCell ref="A1:E1"/>
    <mergeCell ref="H1:I1"/>
    <mergeCell ref="A19:D19"/>
    <mergeCell ref="C20:D2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M114"/>
  <sheetViews>
    <sheetView showGridLines="0" view="pageBreakPreview" zoomScaleNormal="80" zoomScaleSheetLayoutView="100" workbookViewId="0">
      <selection activeCell="E94" sqref="E94:F94"/>
    </sheetView>
  </sheetViews>
  <sheetFormatPr defaultColWidth="9.140625" defaultRowHeight="15" x14ac:dyDescent="0.25"/>
  <cols>
    <col min="1" max="1" width="75.85546875" style="98" customWidth="1"/>
    <col min="2" max="2" width="15.7109375" style="99" customWidth="1"/>
    <col min="3" max="3" width="18.7109375" style="100" customWidth="1"/>
    <col min="4" max="4" width="5.7109375" style="11" customWidth="1"/>
    <col min="5" max="5" width="10" style="11" customWidth="1"/>
    <col min="6" max="6" width="11.7109375" style="11" customWidth="1"/>
    <col min="7" max="7" width="15" style="11" customWidth="1"/>
    <col min="8" max="8" width="12.7109375" style="11" customWidth="1"/>
    <col min="9" max="9" width="13.140625" style="11" bestFit="1" customWidth="1"/>
    <col min="10" max="10" width="12.7109375" style="11" customWidth="1"/>
    <col min="11" max="11" width="13.140625" style="11" bestFit="1" customWidth="1"/>
    <col min="12" max="16384" width="9.140625" style="11"/>
  </cols>
  <sheetData>
    <row r="1" spans="1:13" s="10" customFormat="1" ht="18.75" x14ac:dyDescent="0.25">
      <c r="A1" s="186" t="s">
        <v>141</v>
      </c>
      <c r="B1" s="186"/>
      <c r="C1" s="186"/>
    </row>
    <row r="2" spans="1:13" ht="18.600000000000001" customHeight="1" x14ac:dyDescent="0.25">
      <c r="A2" s="187" t="s">
        <v>126</v>
      </c>
      <c r="B2" s="187"/>
      <c r="C2" s="187"/>
    </row>
    <row r="3" spans="1:13" x14ac:dyDescent="0.25">
      <c r="A3" s="12"/>
      <c r="B3" s="13"/>
      <c r="C3" s="13"/>
    </row>
    <row r="4" spans="1:13" x14ac:dyDescent="0.25">
      <c r="A4" s="174" t="s">
        <v>35</v>
      </c>
      <c r="B4" s="174"/>
      <c r="C4" s="174"/>
    </row>
    <row r="5" spans="1:13" x14ac:dyDescent="0.25">
      <c r="A5" s="14" t="s">
        <v>36</v>
      </c>
      <c r="B5" s="15" t="s">
        <v>37</v>
      </c>
      <c r="C5" s="16" t="s">
        <v>38</v>
      </c>
    </row>
    <row r="6" spans="1:13" x14ac:dyDescent="0.25">
      <c r="A6" s="17" t="s">
        <v>39</v>
      </c>
      <c r="B6" s="18">
        <v>1</v>
      </c>
      <c r="C6" s="145">
        <v>5200.9799999999996</v>
      </c>
      <c r="G6" s="19"/>
    </row>
    <row r="7" spans="1:13" x14ac:dyDescent="0.25">
      <c r="A7" s="20" t="s">
        <v>40</v>
      </c>
      <c r="B7" s="18"/>
      <c r="C7" s="21">
        <f>ROUND(B7*C6,2)</f>
        <v>0</v>
      </c>
      <c r="E7" s="19"/>
    </row>
    <row r="8" spans="1:13" x14ac:dyDescent="0.25">
      <c r="A8" s="177" t="s">
        <v>41</v>
      </c>
      <c r="B8" s="183"/>
      <c r="C8" s="22">
        <f>C6+C7</f>
        <v>5200.9799999999996</v>
      </c>
    </row>
    <row r="9" spans="1:13" x14ac:dyDescent="0.25">
      <c r="A9" s="23"/>
      <c r="B9" s="24"/>
      <c r="C9" s="25"/>
    </row>
    <row r="10" spans="1:13" x14ac:dyDescent="0.25">
      <c r="A10" s="26" t="s">
        <v>42</v>
      </c>
      <c r="B10" s="27"/>
      <c r="C10" s="28">
        <v>160</v>
      </c>
    </row>
    <row r="11" spans="1:13" x14ac:dyDescent="0.25">
      <c r="A11" s="26" t="s">
        <v>43</v>
      </c>
      <c r="B11" s="27"/>
      <c r="C11" s="28">
        <f>ROUND(C8/C10,2)</f>
        <v>32.51</v>
      </c>
    </row>
    <row r="12" spans="1:13" x14ac:dyDescent="0.25">
      <c r="A12" s="23"/>
      <c r="B12" s="24"/>
      <c r="C12" s="25"/>
    </row>
    <row r="13" spans="1:13" x14ac:dyDescent="0.25">
      <c r="A13" s="184" t="s">
        <v>44</v>
      </c>
      <c r="B13" s="185"/>
      <c r="C13" s="185"/>
      <c r="D13" s="33"/>
      <c r="E13" s="107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A14" s="14" t="s">
        <v>45</v>
      </c>
      <c r="B14" s="15" t="s">
        <v>37</v>
      </c>
      <c r="C14" s="101" t="s">
        <v>38</v>
      </c>
      <c r="D14" s="33"/>
      <c r="E14" s="108"/>
      <c r="F14" s="109"/>
      <c r="G14" s="33"/>
      <c r="H14" s="33"/>
      <c r="I14" s="33"/>
      <c r="J14" s="33"/>
      <c r="K14" s="33"/>
      <c r="L14" s="33"/>
      <c r="M14" s="33"/>
    </row>
    <row r="15" spans="1:13" x14ac:dyDescent="0.25">
      <c r="A15" s="29" t="s">
        <v>46</v>
      </c>
      <c r="B15" s="30">
        <f>C15/$C$8</f>
        <v>0</v>
      </c>
      <c r="C15" s="102"/>
      <c r="D15" s="45"/>
      <c r="E15" s="25"/>
      <c r="F15" s="110"/>
      <c r="G15" s="33"/>
      <c r="H15" s="32"/>
      <c r="I15" s="33"/>
      <c r="J15" s="33"/>
      <c r="K15" s="33"/>
      <c r="L15" s="33"/>
      <c r="M15" s="33"/>
    </row>
    <row r="16" spans="1:13" x14ac:dyDescent="0.25">
      <c r="A16" s="29" t="s">
        <v>47</v>
      </c>
      <c r="B16" s="30">
        <f>C16/$C$8</f>
        <v>9.6153801783510032E-2</v>
      </c>
      <c r="C16" s="102">
        <f>(26.46*21)*(1-IF(C6&gt;=6851.4,20%,IF(C6&gt;=5592.97,15%,IF(C6&gt;=4474.37,10%,IF(C6&gt;=3076.13,7.5%,IF(C6&gt;=1817.71,5%,IF(C6&lt;=1817.7,0%)))))))</f>
        <v>500.09399999999999</v>
      </c>
      <c r="D16" s="33"/>
      <c r="E16" s="138"/>
      <c r="F16" s="111"/>
      <c r="G16" s="33"/>
      <c r="H16" s="33"/>
      <c r="I16" s="33"/>
      <c r="J16" s="33"/>
      <c r="K16" s="44"/>
      <c r="L16" s="33"/>
      <c r="M16" s="33"/>
    </row>
    <row r="17" spans="1:13" x14ac:dyDescent="0.25">
      <c r="A17" s="29" t="s">
        <v>48</v>
      </c>
      <c r="B17" s="30">
        <f t="shared" ref="B17:B19" si="0">C17/$C$8</f>
        <v>3.9492557171917603E-2</v>
      </c>
      <c r="C17" s="102">
        <v>205.4</v>
      </c>
      <c r="D17" s="33"/>
      <c r="E17" s="138"/>
      <c r="F17" s="33"/>
      <c r="G17" s="45"/>
      <c r="H17" s="32"/>
      <c r="I17" s="32"/>
      <c r="J17" s="32"/>
      <c r="K17" s="32"/>
      <c r="L17" s="33"/>
      <c r="M17" s="33"/>
    </row>
    <row r="18" spans="1:13" x14ac:dyDescent="0.25">
      <c r="A18" s="29" t="s">
        <v>149</v>
      </c>
      <c r="B18" s="30">
        <v>0.1</v>
      </c>
      <c r="C18" s="102">
        <f>B18*C6</f>
        <v>520.09799999999996</v>
      </c>
      <c r="D18" s="33"/>
      <c r="E18" s="138"/>
      <c r="F18" s="33"/>
      <c r="G18" s="35"/>
      <c r="H18" s="34"/>
      <c r="I18" s="34"/>
      <c r="J18" s="35"/>
      <c r="K18" s="34"/>
      <c r="L18" s="33"/>
      <c r="M18" s="33"/>
    </row>
    <row r="19" spans="1:13" x14ac:dyDescent="0.25">
      <c r="A19" s="29" t="s">
        <v>49</v>
      </c>
      <c r="B19" s="30">
        <f t="shared" si="0"/>
        <v>1.0382658652792361E-3</v>
      </c>
      <c r="C19" s="102">
        <v>5.4</v>
      </c>
      <c r="D19" s="33"/>
      <c r="E19" s="138"/>
      <c r="F19" s="35"/>
      <c r="G19" s="38"/>
      <c r="H19" s="38"/>
      <c r="I19" s="38"/>
      <c r="J19" s="38"/>
      <c r="K19" s="38"/>
      <c r="L19" s="33"/>
      <c r="M19" s="33"/>
    </row>
    <row r="20" spans="1:13" x14ac:dyDescent="0.25">
      <c r="A20" s="177" t="s">
        <v>50</v>
      </c>
      <c r="B20" s="178"/>
      <c r="C20" s="104">
        <f>SUM(C15:C19)</f>
        <v>1230.9920000000002</v>
      </c>
      <c r="D20" s="33"/>
      <c r="E20" s="33"/>
      <c r="F20" s="37"/>
      <c r="G20" s="112"/>
      <c r="H20" s="38"/>
      <c r="I20" s="38"/>
      <c r="J20" s="38"/>
      <c r="K20" s="38"/>
      <c r="L20" s="33"/>
      <c r="M20" s="33"/>
    </row>
    <row r="21" spans="1:13" x14ac:dyDescent="0.25">
      <c r="A21" s="39"/>
      <c r="B21" s="40"/>
      <c r="C21" s="41"/>
      <c r="D21" s="33"/>
      <c r="E21" s="33"/>
      <c r="F21" s="35"/>
      <c r="G21" s="38"/>
      <c r="H21" s="38"/>
      <c r="I21" s="38"/>
      <c r="J21" s="38"/>
      <c r="K21" s="38"/>
      <c r="L21" s="33"/>
      <c r="M21" s="33"/>
    </row>
    <row r="22" spans="1:13" x14ac:dyDescent="0.25">
      <c r="A22" s="174" t="s">
        <v>51</v>
      </c>
      <c r="B22" s="174"/>
      <c r="C22" s="168"/>
      <c r="D22" s="33"/>
      <c r="E22" s="33"/>
      <c r="F22" s="35"/>
      <c r="G22" s="38"/>
      <c r="H22" s="38"/>
      <c r="I22" s="38"/>
      <c r="J22" s="38"/>
      <c r="K22" s="38"/>
      <c r="L22" s="33"/>
      <c r="M22" s="33"/>
    </row>
    <row r="23" spans="1:13" x14ac:dyDescent="0.25">
      <c r="A23" s="42" t="s">
        <v>45</v>
      </c>
      <c r="B23" s="43" t="s">
        <v>37</v>
      </c>
      <c r="C23" s="105" t="s">
        <v>38</v>
      </c>
      <c r="D23" s="33"/>
      <c r="E23" s="33"/>
      <c r="F23" s="33"/>
      <c r="G23" s="33"/>
      <c r="H23" s="32"/>
      <c r="I23" s="38"/>
      <c r="J23" s="38"/>
      <c r="K23" s="38"/>
      <c r="L23" s="33"/>
      <c r="M23" s="33"/>
    </row>
    <row r="24" spans="1:13" x14ac:dyDescent="0.25">
      <c r="A24" s="29" t="s">
        <v>52</v>
      </c>
      <c r="B24" s="30">
        <f>C24/$C$8</f>
        <v>0</v>
      </c>
      <c r="C24" s="103"/>
      <c r="D24" s="33"/>
      <c r="E24" s="33"/>
      <c r="F24" s="33"/>
      <c r="G24" s="33"/>
      <c r="H24" s="33"/>
      <c r="I24" s="44"/>
      <c r="J24" s="33"/>
      <c r="K24" s="33"/>
      <c r="L24" s="33"/>
      <c r="M24" s="33"/>
    </row>
    <row r="25" spans="1:13" x14ac:dyDescent="0.25">
      <c r="A25" s="29" t="s">
        <v>53</v>
      </c>
      <c r="B25" s="30">
        <f t="shared" ref="B25:B27" si="1">C25/$C$8</f>
        <v>0</v>
      </c>
      <c r="C25" s="103">
        <v>0</v>
      </c>
      <c r="D25" s="33"/>
      <c r="E25" s="138"/>
      <c r="F25" s="34"/>
      <c r="G25" s="45"/>
      <c r="H25" s="45"/>
      <c r="I25" s="45"/>
      <c r="J25" s="45"/>
      <c r="K25" s="32"/>
      <c r="L25" s="33"/>
      <c r="M25" s="33"/>
    </row>
    <row r="26" spans="1:13" x14ac:dyDescent="0.25">
      <c r="A26" s="46" t="str">
        <f>"C - Treinamento e/ou reciclagem / - (" &amp; TEXT(B26,"0,00%") &amp; ") sobre o salário"</f>
        <v>C - Treinamento e/ou reciclagem / - (0,00%) sobre o salário</v>
      </c>
      <c r="B26" s="30">
        <f t="shared" si="1"/>
        <v>0</v>
      </c>
      <c r="C26" s="103"/>
      <c r="D26" s="33"/>
      <c r="E26" s="33"/>
      <c r="F26" s="34"/>
      <c r="G26" s="35"/>
      <c r="H26" s="34"/>
      <c r="I26" s="35"/>
      <c r="J26" s="45"/>
      <c r="K26" s="32"/>
      <c r="L26" s="33"/>
      <c r="M26" s="33"/>
    </row>
    <row r="27" spans="1:13" x14ac:dyDescent="0.25">
      <c r="A27" s="47" t="s">
        <v>54</v>
      </c>
      <c r="B27" s="30">
        <f t="shared" si="1"/>
        <v>0</v>
      </c>
      <c r="C27" s="103"/>
      <c r="D27" s="45"/>
      <c r="E27" s="33"/>
      <c r="F27" s="34"/>
      <c r="G27" s="38"/>
      <c r="H27" s="38"/>
      <c r="I27" s="38"/>
      <c r="J27" s="33"/>
      <c r="K27" s="33"/>
      <c r="L27" s="33"/>
      <c r="M27" s="33"/>
    </row>
    <row r="28" spans="1:13" x14ac:dyDescent="0.25">
      <c r="A28" s="177" t="s">
        <v>55</v>
      </c>
      <c r="B28" s="178"/>
      <c r="C28" s="104">
        <f>SUM(C24:C27)</f>
        <v>0</v>
      </c>
      <c r="D28" s="33"/>
      <c r="E28" s="33"/>
      <c r="F28" s="34"/>
      <c r="G28" s="48"/>
      <c r="H28" s="48"/>
      <c r="I28" s="48"/>
      <c r="J28" s="48"/>
      <c r="K28" s="48"/>
      <c r="L28" s="33"/>
      <c r="M28" s="33"/>
    </row>
    <row r="29" spans="1:13" x14ac:dyDescent="0.25">
      <c r="A29" s="49"/>
      <c r="B29" s="50"/>
      <c r="C29" s="51"/>
      <c r="D29" s="33"/>
      <c r="E29" s="33"/>
      <c r="F29" s="33"/>
      <c r="G29" s="32"/>
      <c r="H29" s="32"/>
      <c r="I29" s="113"/>
      <c r="J29" s="32"/>
      <c r="K29" s="32"/>
      <c r="L29" s="33"/>
      <c r="M29" s="33"/>
    </row>
    <row r="30" spans="1:13" x14ac:dyDescent="0.25">
      <c r="A30" s="174" t="s">
        <v>56</v>
      </c>
      <c r="B30" s="174"/>
      <c r="C30" s="168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s="52" customFormat="1" x14ac:dyDescent="0.25">
      <c r="A31" s="42" t="s">
        <v>57</v>
      </c>
      <c r="B31" s="43" t="s">
        <v>37</v>
      </c>
      <c r="C31" s="105" t="s">
        <v>38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ht="30" x14ac:dyDescent="0.25">
      <c r="A32" s="53" t="s">
        <v>58</v>
      </c>
      <c r="B32" s="54">
        <v>0</v>
      </c>
      <c r="C32" s="106">
        <f t="shared" ref="C32:C39" si="2">ROUND($C$8*B32,2)</f>
        <v>0</v>
      </c>
      <c r="D32" s="55"/>
      <c r="E32" s="33"/>
      <c r="F32" s="33"/>
      <c r="G32" s="33"/>
      <c r="H32" s="33"/>
      <c r="I32" s="33"/>
      <c r="J32" s="33"/>
      <c r="K32" s="33"/>
      <c r="L32" s="33"/>
      <c r="M32" s="33"/>
    </row>
    <row r="33" spans="1:13" x14ac:dyDescent="0.25">
      <c r="A33" s="56" t="s">
        <v>59</v>
      </c>
      <c r="B33" s="57">
        <v>1.4999999999999999E-2</v>
      </c>
      <c r="C33" s="31">
        <f t="shared" si="2"/>
        <v>78.010000000000005</v>
      </c>
      <c r="D33" s="55"/>
      <c r="E33" s="33"/>
      <c r="F33" s="33"/>
      <c r="G33" s="33"/>
      <c r="H33" s="33"/>
      <c r="I33" s="33"/>
      <c r="J33" s="33"/>
      <c r="K33" s="33"/>
      <c r="L33" s="33"/>
      <c r="M33" s="33"/>
    </row>
    <row r="34" spans="1:13" x14ac:dyDescent="0.25">
      <c r="A34" s="56" t="s">
        <v>60</v>
      </c>
      <c r="B34" s="57">
        <v>0.01</v>
      </c>
      <c r="C34" s="58">
        <f t="shared" si="2"/>
        <v>52.01</v>
      </c>
      <c r="D34" s="55"/>
      <c r="E34" s="33"/>
    </row>
    <row r="35" spans="1:13" x14ac:dyDescent="0.25">
      <c r="A35" s="56" t="s">
        <v>61</v>
      </c>
      <c r="B35" s="57">
        <v>2E-3</v>
      </c>
      <c r="C35" s="58">
        <f t="shared" si="2"/>
        <v>10.4</v>
      </c>
      <c r="D35" s="55"/>
      <c r="E35" s="33"/>
    </row>
    <row r="36" spans="1:13" x14ac:dyDescent="0.25">
      <c r="A36" s="56" t="s">
        <v>62</v>
      </c>
      <c r="B36" s="57">
        <v>2.5000000000000001E-2</v>
      </c>
      <c r="C36" s="58">
        <f t="shared" si="2"/>
        <v>130.02000000000001</v>
      </c>
      <c r="D36" s="55"/>
      <c r="E36" s="33"/>
    </row>
    <row r="37" spans="1:13" x14ac:dyDescent="0.25">
      <c r="A37" s="56" t="s">
        <v>63</v>
      </c>
      <c r="B37" s="57">
        <v>0.08</v>
      </c>
      <c r="C37" s="58">
        <f t="shared" si="2"/>
        <v>416.08</v>
      </c>
      <c r="D37" s="55"/>
    </row>
    <row r="38" spans="1:13" x14ac:dyDescent="0.25">
      <c r="A38" s="56" t="s">
        <v>64</v>
      </c>
      <c r="B38" s="57">
        <v>0.01</v>
      </c>
      <c r="C38" s="58">
        <f t="shared" si="2"/>
        <v>52.01</v>
      </c>
      <c r="D38" s="55"/>
    </row>
    <row r="39" spans="1:13" x14ac:dyDescent="0.25">
      <c r="A39" s="56" t="s">
        <v>65</v>
      </c>
      <c r="B39" s="57">
        <v>6.0000000000000001E-3</v>
      </c>
      <c r="C39" s="59">
        <f t="shared" si="2"/>
        <v>31.21</v>
      </c>
      <c r="D39" s="55"/>
    </row>
    <row r="40" spans="1:13" x14ac:dyDescent="0.25">
      <c r="A40" s="14" t="s">
        <v>66</v>
      </c>
      <c r="B40" s="15">
        <f>ROUND(SUM(B32:B39),4)</f>
        <v>0.14799999999999999</v>
      </c>
      <c r="C40" s="60">
        <f>ROUND(SUM(C32:C39),2)</f>
        <v>769.74</v>
      </c>
      <c r="D40" s="55"/>
      <c r="E40" s="33"/>
    </row>
    <row r="41" spans="1:13" x14ac:dyDescent="0.25">
      <c r="A41" s="61"/>
      <c r="B41" s="62"/>
      <c r="C41" s="63"/>
      <c r="D41" s="55"/>
    </row>
    <row r="42" spans="1:13" x14ac:dyDescent="0.25">
      <c r="A42" s="14" t="s">
        <v>67</v>
      </c>
      <c r="B42" s="64" t="s">
        <v>37</v>
      </c>
      <c r="C42" s="16" t="s">
        <v>38</v>
      </c>
      <c r="D42" s="55"/>
    </row>
    <row r="43" spans="1:13" x14ac:dyDescent="0.25">
      <c r="A43" s="65" t="s">
        <v>68</v>
      </c>
      <c r="B43" s="57">
        <v>9.0899999999999995E-2</v>
      </c>
      <c r="C43" s="66">
        <f>ROUND($C$8*B43,2)</f>
        <v>472.77</v>
      </c>
      <c r="D43" s="55"/>
    </row>
    <row r="44" spans="1:13" x14ac:dyDescent="0.25">
      <c r="A44" s="65" t="s">
        <v>69</v>
      </c>
      <c r="B44" s="57">
        <f>B43/3</f>
        <v>3.0299999999999997E-2</v>
      </c>
      <c r="C44" s="58">
        <f>ROUND($C$8*B44,2)</f>
        <v>157.59</v>
      </c>
      <c r="D44" s="55"/>
      <c r="I44" s="67"/>
    </row>
    <row r="45" spans="1:13" x14ac:dyDescent="0.25">
      <c r="A45" s="188" t="s">
        <v>70</v>
      </c>
      <c r="B45" s="182"/>
      <c r="C45" s="68">
        <f>SUM(C43:C44)</f>
        <v>630.36</v>
      </c>
      <c r="D45" s="55"/>
    </row>
    <row r="46" spans="1:13" x14ac:dyDescent="0.25">
      <c r="A46" s="69" t="s">
        <v>71</v>
      </c>
      <c r="B46" s="57">
        <f>B40*B43</f>
        <v>1.3453199999999998E-2</v>
      </c>
      <c r="C46" s="58">
        <f>ROUND($C$8*B46,2)</f>
        <v>69.97</v>
      </c>
      <c r="D46" s="55"/>
    </row>
    <row r="47" spans="1:13" x14ac:dyDescent="0.25">
      <c r="A47" s="14" t="s">
        <v>72</v>
      </c>
      <c r="B47" s="15">
        <f>SUM(B43:B44,B46)</f>
        <v>0.13465319999999997</v>
      </c>
      <c r="C47" s="60">
        <f>C45+C46</f>
        <v>700.33</v>
      </c>
      <c r="D47" s="55"/>
      <c r="E47" s="33"/>
    </row>
    <row r="48" spans="1:13" x14ac:dyDescent="0.25">
      <c r="A48" s="61"/>
      <c r="B48" s="62"/>
      <c r="C48" s="63"/>
      <c r="D48" s="55"/>
    </row>
    <row r="49" spans="1:7" x14ac:dyDescent="0.25">
      <c r="A49" s="14" t="s">
        <v>73</v>
      </c>
      <c r="B49" s="64" t="s">
        <v>37</v>
      </c>
      <c r="C49" s="16" t="s">
        <v>38</v>
      </c>
      <c r="D49" s="55"/>
    </row>
    <row r="50" spans="1:7" x14ac:dyDescent="0.25">
      <c r="A50" s="65" t="s">
        <v>74</v>
      </c>
      <c r="B50" s="57">
        <v>2.9999999999999997E-4</v>
      </c>
      <c r="C50" s="58">
        <f>ROUND($C$8*B50,2)</f>
        <v>1.56</v>
      </c>
      <c r="D50" s="55"/>
      <c r="G50" s="70"/>
    </row>
    <row r="51" spans="1:7" x14ac:dyDescent="0.25">
      <c r="A51" s="65" t="s">
        <v>75</v>
      </c>
      <c r="B51" s="57">
        <f>B40*B50</f>
        <v>4.4399999999999995E-5</v>
      </c>
      <c r="C51" s="58">
        <f>ROUND($C$8*B51,2)</f>
        <v>0.23</v>
      </c>
      <c r="D51" s="55"/>
    </row>
    <row r="52" spans="1:7" x14ac:dyDescent="0.25">
      <c r="A52" s="14" t="s">
        <v>76</v>
      </c>
      <c r="B52" s="15">
        <f>SUM(B50:B51)</f>
        <v>3.4439999999999997E-4</v>
      </c>
      <c r="C52" s="60">
        <f>SUM(C50:C51)</f>
        <v>1.79</v>
      </c>
      <c r="D52" s="55"/>
      <c r="E52" s="33"/>
    </row>
    <row r="53" spans="1:7" x14ac:dyDescent="0.25">
      <c r="A53" s="61"/>
      <c r="B53" s="62"/>
      <c r="C53" s="63"/>
      <c r="D53" s="55"/>
    </row>
    <row r="54" spans="1:7" x14ac:dyDescent="0.25">
      <c r="A54" s="14" t="s">
        <v>77</v>
      </c>
      <c r="B54" s="64" t="s">
        <v>37</v>
      </c>
      <c r="C54" s="16" t="s">
        <v>38</v>
      </c>
      <c r="D54" s="55"/>
    </row>
    <row r="55" spans="1:7" x14ac:dyDescent="0.25">
      <c r="A55" s="65" t="s">
        <v>78</v>
      </c>
      <c r="B55" s="71">
        <v>8.3000000000000001E-3</v>
      </c>
      <c r="C55" s="58">
        <f t="shared" ref="C55:C60" si="3">ROUND($C$8*B55,2)</f>
        <v>43.17</v>
      </c>
      <c r="D55" s="55"/>
    </row>
    <row r="56" spans="1:7" x14ac:dyDescent="0.25">
      <c r="A56" s="65" t="s">
        <v>79</v>
      </c>
      <c r="B56" s="139">
        <f>B55*B37</f>
        <v>6.6399999999999999E-4</v>
      </c>
      <c r="C56" s="58">
        <f t="shared" si="3"/>
        <v>3.45</v>
      </c>
      <c r="D56" s="55"/>
    </row>
    <row r="57" spans="1:7" x14ac:dyDescent="0.25">
      <c r="A57" s="65" t="s">
        <v>80</v>
      </c>
      <c r="B57" s="140">
        <v>7.9999999999999996E-6</v>
      </c>
      <c r="C57" s="58">
        <f t="shared" si="3"/>
        <v>0.04</v>
      </c>
      <c r="D57" s="55"/>
    </row>
    <row r="58" spans="1:7" x14ac:dyDescent="0.25">
      <c r="A58" s="65" t="s">
        <v>81</v>
      </c>
      <c r="B58" s="71">
        <v>1.9400000000000001E-2</v>
      </c>
      <c r="C58" s="58">
        <f t="shared" si="3"/>
        <v>100.9</v>
      </c>
      <c r="D58" s="55"/>
    </row>
    <row r="59" spans="1:7" x14ac:dyDescent="0.25">
      <c r="A59" s="65" t="s">
        <v>82</v>
      </c>
      <c r="B59" s="71">
        <f>B58*B40</f>
        <v>2.8712E-3</v>
      </c>
      <c r="C59" s="58">
        <f t="shared" si="3"/>
        <v>14.93</v>
      </c>
      <c r="D59" s="55"/>
    </row>
    <row r="60" spans="1:7" x14ac:dyDescent="0.25">
      <c r="A60" s="65" t="s">
        <v>83</v>
      </c>
      <c r="B60" s="71">
        <v>4.36E-2</v>
      </c>
      <c r="C60" s="58">
        <f t="shared" si="3"/>
        <v>226.76</v>
      </c>
      <c r="D60" s="55"/>
    </row>
    <row r="61" spans="1:7" x14ac:dyDescent="0.25">
      <c r="A61" s="14" t="s">
        <v>84</v>
      </c>
      <c r="B61" s="15">
        <f>SUM(B55:B60)</f>
        <v>7.4843199999999999E-2</v>
      </c>
      <c r="C61" s="60">
        <f>SUM(C55:C60)</f>
        <v>389.25</v>
      </c>
      <c r="D61" s="55"/>
      <c r="E61" s="33"/>
    </row>
    <row r="62" spans="1:7" x14ac:dyDescent="0.25">
      <c r="A62" s="61"/>
      <c r="B62" s="62"/>
      <c r="C62" s="63"/>
      <c r="D62" s="55"/>
    </row>
    <row r="63" spans="1:7" x14ac:dyDescent="0.25">
      <c r="A63" s="14" t="s">
        <v>85</v>
      </c>
      <c r="B63" s="64" t="s">
        <v>37</v>
      </c>
      <c r="C63" s="16" t="s">
        <v>38</v>
      </c>
      <c r="D63" s="55"/>
    </row>
    <row r="64" spans="1:7" x14ac:dyDescent="0.25">
      <c r="A64" s="65" t="s">
        <v>86</v>
      </c>
      <c r="B64" s="71">
        <v>9.0899999999999995E-2</v>
      </c>
      <c r="C64" s="58">
        <f t="shared" ref="C64:C69" si="4">ROUND($C$8*B64,2)</f>
        <v>472.77</v>
      </c>
      <c r="D64" s="55"/>
    </row>
    <row r="65" spans="1:5" x14ac:dyDescent="0.25">
      <c r="A65" s="65" t="s">
        <v>87</v>
      </c>
      <c r="B65" s="71">
        <v>1.66E-2</v>
      </c>
      <c r="C65" s="58">
        <f t="shared" si="4"/>
        <v>86.34</v>
      </c>
      <c r="D65" s="55"/>
    </row>
    <row r="66" spans="1:5" x14ac:dyDescent="0.25">
      <c r="A66" s="65" t="s">
        <v>88</v>
      </c>
      <c r="B66" s="71">
        <v>2.0000000000000001E-4</v>
      </c>
      <c r="C66" s="58">
        <f t="shared" si="4"/>
        <v>1.04</v>
      </c>
      <c r="D66" s="55"/>
    </row>
    <row r="67" spans="1:5" x14ac:dyDescent="0.25">
      <c r="A67" s="65" t="s">
        <v>89</v>
      </c>
      <c r="B67" s="71">
        <v>0.01</v>
      </c>
      <c r="C67" s="58">
        <f t="shared" si="4"/>
        <v>52.01</v>
      </c>
      <c r="D67" s="55"/>
    </row>
    <row r="68" spans="1:5" x14ac:dyDescent="0.25">
      <c r="A68" s="65" t="s">
        <v>90</v>
      </c>
      <c r="B68" s="71">
        <v>3.0000000000000001E-3</v>
      </c>
      <c r="C68" s="58">
        <f t="shared" si="4"/>
        <v>15.6</v>
      </c>
      <c r="D68" s="55"/>
    </row>
    <row r="69" spans="1:5" x14ac:dyDescent="0.25">
      <c r="A69" s="65" t="s">
        <v>91</v>
      </c>
      <c r="B69" s="71">
        <v>0</v>
      </c>
      <c r="C69" s="58">
        <f t="shared" si="4"/>
        <v>0</v>
      </c>
      <c r="D69" s="55"/>
    </row>
    <row r="70" spans="1:5" x14ac:dyDescent="0.25">
      <c r="A70" s="181" t="s">
        <v>70</v>
      </c>
      <c r="B70" s="182"/>
      <c r="C70" s="68">
        <f>SUM(C64:C69)</f>
        <v>627.76</v>
      </c>
      <c r="D70" s="55"/>
      <c r="E70" s="33"/>
    </row>
    <row r="71" spans="1:5" x14ac:dyDescent="0.25">
      <c r="A71" s="69" t="s">
        <v>92</v>
      </c>
      <c r="B71" s="57">
        <f>SUM(B64:B69)*B40</f>
        <v>1.78636E-2</v>
      </c>
      <c r="C71" s="58">
        <f>ROUND($C$8*B71,2)</f>
        <v>92.91</v>
      </c>
      <c r="D71" s="55"/>
    </row>
    <row r="72" spans="1:5" x14ac:dyDescent="0.25">
      <c r="A72" s="14" t="s">
        <v>93</v>
      </c>
      <c r="B72" s="15">
        <f>SUM(B64:B69,B71)</f>
        <v>0.13856360000000001</v>
      </c>
      <c r="C72" s="60">
        <f>SUM(C64:C69)+C71</f>
        <v>720.67</v>
      </c>
      <c r="D72" s="55"/>
      <c r="E72" s="33"/>
    </row>
    <row r="73" spans="1:5" x14ac:dyDescent="0.25">
      <c r="A73" s="61"/>
      <c r="B73" s="62"/>
      <c r="C73" s="63"/>
      <c r="D73" s="55"/>
    </row>
    <row r="74" spans="1:5" s="52" customFormat="1" x14ac:dyDescent="0.25">
      <c r="A74" s="14" t="s">
        <v>94</v>
      </c>
      <c r="B74" s="64">
        <f>SUM(B40,B47,B52,B61,B72)</f>
        <v>0.49640439999999997</v>
      </c>
      <c r="C74" s="16">
        <f>SUM(C40,C47,C52,C61,C72)</f>
        <v>2581.7800000000002</v>
      </c>
      <c r="D74" s="72"/>
    </row>
    <row r="75" spans="1:5" x14ac:dyDescent="0.25">
      <c r="A75" s="73"/>
      <c r="B75" s="74"/>
      <c r="C75" s="75"/>
    </row>
    <row r="76" spans="1:5" x14ac:dyDescent="0.25">
      <c r="A76" s="174" t="s">
        <v>95</v>
      </c>
      <c r="B76" s="174"/>
      <c r="C76" s="174"/>
    </row>
    <row r="77" spans="1:5" x14ac:dyDescent="0.25">
      <c r="A77" s="42" t="s">
        <v>96</v>
      </c>
      <c r="B77" s="15" t="s">
        <v>37</v>
      </c>
      <c r="C77" s="16" t="s">
        <v>38</v>
      </c>
    </row>
    <row r="78" spans="1:5" x14ac:dyDescent="0.25">
      <c r="A78" s="65" t="s">
        <v>97</v>
      </c>
      <c r="B78" s="18">
        <f>B40</f>
        <v>0.14799999999999999</v>
      </c>
      <c r="C78" s="68">
        <f>ROUND($C$8*B78,2)</f>
        <v>769.75</v>
      </c>
    </row>
    <row r="79" spans="1:5" x14ac:dyDescent="0.25">
      <c r="A79" s="65" t="s">
        <v>98</v>
      </c>
      <c r="B79" s="18">
        <f>B47</f>
        <v>0.13465319999999997</v>
      </c>
      <c r="C79" s="68">
        <f t="shared" ref="C79:C83" si="5">ROUND($C$8*B79,2)</f>
        <v>700.33</v>
      </c>
    </row>
    <row r="80" spans="1:5" x14ac:dyDescent="0.25">
      <c r="A80" s="65" t="s">
        <v>99</v>
      </c>
      <c r="B80" s="18">
        <f>B52</f>
        <v>3.4439999999999997E-4</v>
      </c>
      <c r="C80" s="68">
        <f t="shared" si="5"/>
        <v>1.79</v>
      </c>
    </row>
    <row r="81" spans="1:7" x14ac:dyDescent="0.25">
      <c r="A81" s="65" t="s">
        <v>100</v>
      </c>
      <c r="B81" s="18">
        <f>B61</f>
        <v>7.4843199999999999E-2</v>
      </c>
      <c r="C81" s="68">
        <f t="shared" si="5"/>
        <v>389.26</v>
      </c>
    </row>
    <row r="82" spans="1:7" x14ac:dyDescent="0.25">
      <c r="A82" s="65" t="s">
        <v>101</v>
      </c>
      <c r="B82" s="18">
        <f>B72</f>
        <v>0.13856360000000001</v>
      </c>
      <c r="C82" s="68">
        <f t="shared" si="5"/>
        <v>720.67</v>
      </c>
    </row>
    <row r="83" spans="1:7" x14ac:dyDescent="0.25">
      <c r="A83" s="65" t="s">
        <v>102</v>
      </c>
      <c r="B83" s="18">
        <v>0</v>
      </c>
      <c r="C83" s="68">
        <f t="shared" si="5"/>
        <v>0</v>
      </c>
    </row>
    <row r="84" spans="1:7" x14ac:dyDescent="0.25">
      <c r="A84" s="14" t="s">
        <v>103</v>
      </c>
      <c r="B84" s="15">
        <f>SUM(B78:B83)</f>
        <v>0.49640439999999997</v>
      </c>
      <c r="C84" s="16">
        <f>SUM(C78:C83)</f>
        <v>2581.7999999999997</v>
      </c>
    </row>
    <row r="85" spans="1:7" x14ac:dyDescent="0.25">
      <c r="A85" s="76"/>
      <c r="B85" s="62"/>
      <c r="C85" s="63"/>
    </row>
    <row r="86" spans="1:7" x14ac:dyDescent="0.25">
      <c r="A86" s="165" t="s">
        <v>104</v>
      </c>
      <c r="B86" s="165"/>
      <c r="C86" s="16">
        <f>C8+C20+C28+C84</f>
        <v>9013.771999999999</v>
      </c>
    </row>
    <row r="87" spans="1:7" x14ac:dyDescent="0.25">
      <c r="A87" s="77"/>
      <c r="B87" s="77"/>
      <c r="C87" s="25"/>
      <c r="E87" s="33"/>
    </row>
    <row r="88" spans="1:7" x14ac:dyDescent="0.25">
      <c r="A88" s="168" t="s">
        <v>105</v>
      </c>
      <c r="B88" s="169"/>
      <c r="C88" s="170"/>
      <c r="E88" s="33"/>
    </row>
    <row r="89" spans="1:7" x14ac:dyDescent="0.25">
      <c r="A89" s="78" t="s">
        <v>106</v>
      </c>
      <c r="B89" s="64" t="s">
        <v>37</v>
      </c>
      <c r="C89" s="79" t="s">
        <v>38</v>
      </c>
      <c r="E89" s="55"/>
    </row>
    <row r="90" spans="1:7" x14ac:dyDescent="0.25">
      <c r="A90" s="56" t="s">
        <v>107</v>
      </c>
      <c r="B90" s="57">
        <v>6.7679333466776903E-2</v>
      </c>
      <c r="C90" s="58">
        <f>ROUND($C$86*B90,2)</f>
        <v>610.04999999999995</v>
      </c>
    </row>
    <row r="91" spans="1:7" x14ac:dyDescent="0.25">
      <c r="A91" s="56" t="s">
        <v>108</v>
      </c>
      <c r="B91" s="57">
        <v>0.04</v>
      </c>
      <c r="C91" s="58">
        <f>ROUND($C$86*B91,2)</f>
        <v>360.55</v>
      </c>
      <c r="E91" s="175"/>
      <c r="F91" s="176"/>
    </row>
    <row r="92" spans="1:7" x14ac:dyDescent="0.25">
      <c r="A92" s="177" t="s">
        <v>109</v>
      </c>
      <c r="B92" s="178"/>
      <c r="C92" s="36">
        <f>ROUND(SUM(C90:C91),2)</f>
        <v>970.6</v>
      </c>
      <c r="E92" s="175"/>
      <c r="F92" s="176"/>
    </row>
    <row r="93" spans="1:7" x14ac:dyDescent="0.25">
      <c r="A93" s="179"/>
      <c r="B93" s="180"/>
      <c r="C93" s="25"/>
      <c r="E93" s="175"/>
      <c r="F93" s="176"/>
    </row>
    <row r="94" spans="1:7" x14ac:dyDescent="0.25">
      <c r="A94" s="177" t="s">
        <v>110</v>
      </c>
      <c r="B94" s="178"/>
      <c r="C94" s="36">
        <f>'Custos do Time'!I9</f>
        <v>269.09871154699829</v>
      </c>
      <c r="E94" s="175"/>
      <c r="F94" s="176"/>
    </row>
    <row r="95" spans="1:7" x14ac:dyDescent="0.25">
      <c r="A95" s="81"/>
      <c r="B95" s="24"/>
      <c r="C95" s="25"/>
      <c r="E95" s="82"/>
      <c r="F95" s="83"/>
    </row>
    <row r="96" spans="1:7" x14ac:dyDescent="0.25">
      <c r="A96" s="168" t="s">
        <v>111</v>
      </c>
      <c r="B96" s="169"/>
      <c r="C96" s="170"/>
      <c r="E96" s="33"/>
      <c r="F96" s="33"/>
      <c r="G96" s="33"/>
    </row>
    <row r="97" spans="1:11" x14ac:dyDescent="0.25">
      <c r="A97" s="78" t="s">
        <v>112</v>
      </c>
      <c r="B97" s="64" t="s">
        <v>37</v>
      </c>
      <c r="C97" s="79" t="s">
        <v>38</v>
      </c>
      <c r="E97" s="33"/>
      <c r="F97" s="33"/>
      <c r="G97" s="33"/>
    </row>
    <row r="98" spans="1:11" x14ac:dyDescent="0.25">
      <c r="A98" s="20" t="s">
        <v>113</v>
      </c>
      <c r="B98" s="18">
        <v>0.02</v>
      </c>
      <c r="C98" s="84">
        <f>ROUND($C$105*B98/$B$102,2)</f>
        <v>228.23</v>
      </c>
      <c r="E98" s="85"/>
      <c r="F98" s="33"/>
      <c r="G98" s="33"/>
      <c r="H98" s="33"/>
      <c r="I98" s="33"/>
      <c r="J98" s="33"/>
    </row>
    <row r="99" spans="1:11" x14ac:dyDescent="0.25">
      <c r="A99" s="20" t="s">
        <v>114</v>
      </c>
      <c r="B99" s="18">
        <v>6.4999999999999997E-3</v>
      </c>
      <c r="C99" s="84">
        <f>ROUND($C$105*B99/$B$102,2)</f>
        <v>74.180000000000007</v>
      </c>
      <c r="F99" s="33"/>
      <c r="G99" s="33"/>
      <c r="H99" s="33"/>
      <c r="I99" s="33"/>
      <c r="J99" s="33"/>
    </row>
    <row r="100" spans="1:11" x14ac:dyDescent="0.25">
      <c r="A100" s="20" t="s">
        <v>115</v>
      </c>
      <c r="B100" s="18">
        <v>0.03</v>
      </c>
      <c r="C100" s="84">
        <f>ROUND($C$105*B100/$B$102,2)</f>
        <v>342.35</v>
      </c>
      <c r="F100" s="33"/>
      <c r="G100" s="33"/>
      <c r="H100" s="33"/>
      <c r="I100" s="33"/>
      <c r="J100" s="33"/>
    </row>
    <row r="101" spans="1:11" ht="30" x14ac:dyDescent="0.25">
      <c r="A101" s="86" t="s">
        <v>116</v>
      </c>
      <c r="B101" s="18">
        <v>4.4999999999999998E-2</v>
      </c>
      <c r="C101" s="87">
        <f>ROUND($C$105*B101/$B$102,2)</f>
        <v>513.53</v>
      </c>
      <c r="F101" s="33"/>
      <c r="G101" s="33"/>
      <c r="H101" s="33"/>
      <c r="I101" s="33"/>
      <c r="J101" s="33"/>
    </row>
    <row r="102" spans="1:11" x14ac:dyDescent="0.25">
      <c r="A102" s="88" t="s">
        <v>117</v>
      </c>
      <c r="B102" s="89">
        <f>ROUND(SUM(B98:B101),4)</f>
        <v>0.10150000000000001</v>
      </c>
      <c r="C102" s="90">
        <f>ROUND($C$105*B102/$B$102,2)</f>
        <v>1158.29</v>
      </c>
      <c r="E102" s="91"/>
      <c r="F102" s="33"/>
      <c r="G102" s="33"/>
      <c r="H102" s="33"/>
      <c r="I102" s="33"/>
      <c r="J102" s="33"/>
    </row>
    <row r="103" spans="1:11" s="33" customFormat="1" x14ac:dyDescent="0.25">
      <c r="A103" s="92"/>
      <c r="B103" s="93"/>
      <c r="C103" s="94"/>
      <c r="D103" s="45"/>
      <c r="E103" s="11"/>
      <c r="H103" s="11"/>
      <c r="I103" s="11"/>
      <c r="J103" s="11"/>
    </row>
    <row r="104" spans="1:11" s="33" customFormat="1" x14ac:dyDescent="0.25">
      <c r="A104" s="172" t="s">
        <v>118</v>
      </c>
      <c r="B104" s="173"/>
      <c r="C104" s="95">
        <f>ROUND(C86+C92+C94,2)</f>
        <v>10253.469999999999</v>
      </c>
      <c r="E104" s="11"/>
      <c r="F104" s="11"/>
      <c r="G104" s="11"/>
      <c r="H104" s="11"/>
      <c r="I104" s="11"/>
      <c r="J104" s="11"/>
      <c r="K104" s="11"/>
    </row>
    <row r="105" spans="1:11" x14ac:dyDescent="0.25">
      <c r="A105" s="166" t="s">
        <v>119</v>
      </c>
      <c r="B105" s="167"/>
      <c r="C105" s="16">
        <f>ROUND(C106-C104,2)</f>
        <v>1158.29</v>
      </c>
      <c r="E105" s="91"/>
      <c r="G105" s="33"/>
      <c r="H105" s="33"/>
      <c r="I105" s="33"/>
      <c r="J105" s="33"/>
    </row>
    <row r="106" spans="1:11" s="33" customFormat="1" x14ac:dyDescent="0.25">
      <c r="A106" s="165" t="s">
        <v>120</v>
      </c>
      <c r="B106" s="165"/>
      <c r="C106" s="16">
        <f>ROUND(C104/(1-$B$102),2)</f>
        <v>11411.76</v>
      </c>
      <c r="D106" s="45"/>
    </row>
    <row r="107" spans="1:11" s="33" customFormat="1" x14ac:dyDescent="0.25">
      <c r="A107" s="96"/>
      <c r="B107" s="81"/>
      <c r="C107" s="97"/>
    </row>
    <row r="108" spans="1:11" s="33" customFormat="1" x14ac:dyDescent="0.25">
      <c r="A108" s="168" t="s">
        <v>121</v>
      </c>
      <c r="B108" s="169"/>
      <c r="C108" s="170"/>
    </row>
    <row r="109" spans="1:11" s="33" customFormat="1" x14ac:dyDescent="0.25">
      <c r="A109" s="171" t="s">
        <v>122</v>
      </c>
      <c r="B109" s="171"/>
      <c r="C109" s="22">
        <f>ROUND(C106,2)</f>
        <v>11411.76</v>
      </c>
    </row>
    <row r="110" spans="1:11" x14ac:dyDescent="0.25">
      <c r="A110" s="23"/>
      <c r="B110" s="81"/>
      <c r="C110" s="97"/>
    </row>
    <row r="111" spans="1:11" hidden="1" x14ac:dyDescent="0.25">
      <c r="A111" s="165" t="s">
        <v>123</v>
      </c>
      <c r="B111" s="165"/>
      <c r="C111" s="68" t="e">
        <f>ROUND(#REF!/C8,2)</f>
        <v>#REF!</v>
      </c>
    </row>
    <row r="112" spans="1:11" x14ac:dyDescent="0.25">
      <c r="A112" s="165" t="s">
        <v>124</v>
      </c>
      <c r="B112" s="165"/>
      <c r="C112" s="68">
        <f>ROUND(C109/C10,2)</f>
        <v>71.319999999999993</v>
      </c>
    </row>
    <row r="113" spans="1:3" hidden="1" x14ac:dyDescent="0.25">
      <c r="A113" s="165" t="s">
        <v>125</v>
      </c>
      <c r="B113" s="165"/>
      <c r="C113" s="68" t="e">
        <f>#REF!</f>
        <v>#REF!</v>
      </c>
    </row>
    <row r="114" spans="1:3" x14ac:dyDescent="0.25">
      <c r="C114" s="97"/>
    </row>
  </sheetData>
  <mergeCells count="30">
    <mergeCell ref="A70:B70"/>
    <mergeCell ref="A4:C4"/>
    <mergeCell ref="A8:B8"/>
    <mergeCell ref="A13:C13"/>
    <mergeCell ref="A1:C1"/>
    <mergeCell ref="A2:C2"/>
    <mergeCell ref="A20:B20"/>
    <mergeCell ref="A22:C22"/>
    <mergeCell ref="A28:B28"/>
    <mergeCell ref="A30:C30"/>
    <mergeCell ref="A45:B45"/>
    <mergeCell ref="A104:B104"/>
    <mergeCell ref="A76:C76"/>
    <mergeCell ref="A86:B86"/>
    <mergeCell ref="A88:C88"/>
    <mergeCell ref="E91:F91"/>
    <mergeCell ref="A92:B92"/>
    <mergeCell ref="E92:F92"/>
    <mergeCell ref="A93:B93"/>
    <mergeCell ref="E93:F93"/>
    <mergeCell ref="A94:B94"/>
    <mergeCell ref="E94:F94"/>
    <mergeCell ref="A96:C96"/>
    <mergeCell ref="A113:B113"/>
    <mergeCell ref="A105:B105"/>
    <mergeCell ref="A106:B106"/>
    <mergeCell ref="A108:C108"/>
    <mergeCell ref="A109:B109"/>
    <mergeCell ref="A111:B111"/>
    <mergeCell ref="A112:B112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3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M114"/>
  <sheetViews>
    <sheetView showGridLines="0" view="pageBreakPreview" zoomScaleNormal="80" zoomScaleSheetLayoutView="100" workbookViewId="0">
      <selection activeCell="E94" sqref="E94:F94"/>
    </sheetView>
  </sheetViews>
  <sheetFormatPr defaultColWidth="9.140625" defaultRowHeight="15" x14ac:dyDescent="0.25"/>
  <cols>
    <col min="1" max="1" width="75.85546875" style="98" customWidth="1"/>
    <col min="2" max="2" width="15.7109375" style="99" customWidth="1"/>
    <col min="3" max="3" width="18.7109375" style="100" customWidth="1"/>
    <col min="4" max="4" width="5.7109375" style="11" customWidth="1"/>
    <col min="5" max="5" width="10" style="11" customWidth="1"/>
    <col min="6" max="6" width="11.7109375" style="11" customWidth="1"/>
    <col min="7" max="7" width="15" style="11" customWidth="1"/>
    <col min="8" max="8" width="12.7109375" style="11" customWidth="1"/>
    <col min="9" max="9" width="13.140625" style="11" bestFit="1" customWidth="1"/>
    <col min="10" max="10" width="12.7109375" style="11" customWidth="1"/>
    <col min="11" max="11" width="13.140625" style="11" bestFit="1" customWidth="1"/>
    <col min="12" max="16384" width="9.140625" style="11"/>
  </cols>
  <sheetData>
    <row r="1" spans="1:13" s="10" customFormat="1" ht="18.75" x14ac:dyDescent="0.25">
      <c r="A1" s="186" t="s">
        <v>141</v>
      </c>
      <c r="B1" s="186"/>
      <c r="C1" s="186"/>
    </row>
    <row r="2" spans="1:13" ht="18.600000000000001" customHeight="1" x14ac:dyDescent="0.25">
      <c r="A2" s="187" t="s">
        <v>23</v>
      </c>
      <c r="B2" s="187"/>
      <c r="C2" s="187"/>
    </row>
    <row r="3" spans="1:13" x14ac:dyDescent="0.25">
      <c r="A3" s="12"/>
      <c r="B3" s="13"/>
      <c r="C3" s="13"/>
    </row>
    <row r="4" spans="1:13" x14ac:dyDescent="0.25">
      <c r="A4" s="174" t="s">
        <v>35</v>
      </c>
      <c r="B4" s="174"/>
      <c r="C4" s="174"/>
    </row>
    <row r="5" spans="1:13" x14ac:dyDescent="0.25">
      <c r="A5" s="14" t="s">
        <v>36</v>
      </c>
      <c r="B5" s="15" t="s">
        <v>37</v>
      </c>
      <c r="C5" s="16" t="s">
        <v>38</v>
      </c>
    </row>
    <row r="6" spans="1:13" x14ac:dyDescent="0.25">
      <c r="A6" s="17" t="s">
        <v>39</v>
      </c>
      <c r="B6" s="18">
        <v>1</v>
      </c>
      <c r="C6" s="114">
        <v>14936.45</v>
      </c>
      <c r="G6" s="19"/>
    </row>
    <row r="7" spans="1:13" x14ac:dyDescent="0.25">
      <c r="A7" s="20" t="s">
        <v>40</v>
      </c>
      <c r="B7" s="18"/>
      <c r="C7" s="21">
        <f>ROUND(B7*C6,2)</f>
        <v>0</v>
      </c>
      <c r="E7" s="19"/>
    </row>
    <row r="8" spans="1:13" x14ac:dyDescent="0.25">
      <c r="A8" s="177" t="s">
        <v>41</v>
      </c>
      <c r="B8" s="183"/>
      <c r="C8" s="22">
        <f>C6+C7</f>
        <v>14936.45</v>
      </c>
    </row>
    <row r="9" spans="1:13" x14ac:dyDescent="0.25">
      <c r="A9" s="23"/>
      <c r="B9" s="80"/>
      <c r="C9" s="25"/>
    </row>
    <row r="10" spans="1:13" x14ac:dyDescent="0.25">
      <c r="A10" s="26" t="s">
        <v>42</v>
      </c>
      <c r="B10" s="27"/>
      <c r="C10" s="28">
        <v>160</v>
      </c>
    </row>
    <row r="11" spans="1:13" x14ac:dyDescent="0.25">
      <c r="A11" s="26" t="s">
        <v>43</v>
      </c>
      <c r="B11" s="27"/>
      <c r="C11" s="28">
        <f>ROUND(C8/C10,2)</f>
        <v>93.35</v>
      </c>
    </row>
    <row r="12" spans="1:13" x14ac:dyDescent="0.25">
      <c r="A12" s="23"/>
      <c r="B12" s="80"/>
      <c r="C12" s="25"/>
    </row>
    <row r="13" spans="1:13" x14ac:dyDescent="0.25">
      <c r="A13" s="184" t="s">
        <v>44</v>
      </c>
      <c r="B13" s="185"/>
      <c r="C13" s="185"/>
      <c r="D13" s="33"/>
      <c r="E13" s="107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A14" s="14" t="s">
        <v>45</v>
      </c>
      <c r="B14" s="15" t="s">
        <v>37</v>
      </c>
      <c r="C14" s="101" t="s">
        <v>38</v>
      </c>
      <c r="D14" s="33"/>
      <c r="E14" s="108"/>
      <c r="F14" s="109"/>
      <c r="G14" s="33"/>
      <c r="H14" s="33"/>
      <c r="I14" s="33"/>
      <c r="J14" s="33"/>
      <c r="K14" s="33"/>
      <c r="L14" s="33"/>
      <c r="M14" s="33"/>
    </row>
    <row r="15" spans="1:13" x14ac:dyDescent="0.25">
      <c r="A15" s="29" t="s">
        <v>46</v>
      </c>
      <c r="B15" s="30">
        <f>C15/$C$8</f>
        <v>0</v>
      </c>
      <c r="C15" s="102"/>
      <c r="D15" s="45"/>
      <c r="E15" s="25"/>
      <c r="F15" s="110"/>
      <c r="G15" s="33"/>
      <c r="H15" s="32"/>
      <c r="I15" s="33"/>
      <c r="J15" s="33"/>
      <c r="K15" s="33"/>
      <c r="L15" s="33"/>
      <c r="M15" s="33"/>
    </row>
    <row r="16" spans="1:13" x14ac:dyDescent="0.25">
      <c r="A16" s="29" t="s">
        <v>47</v>
      </c>
      <c r="B16" s="30">
        <f>C16/$C$8</f>
        <v>2.9761288659621261E-2</v>
      </c>
      <c r="C16" s="102">
        <f>(26.46*21)*(1-IF(C6&gt;=6851.4,20%,IF(C6&gt;=5592.97,15%,IF(C6&gt;=4474.37,10%,IF(C6&gt;=3076.13,7.5%,IF(C6&gt;=1817.71,5%,IF(C6&lt;=1817.7,0%)))))))</f>
        <v>444.52800000000002</v>
      </c>
      <c r="D16" s="33"/>
      <c r="E16" s="138"/>
      <c r="F16" s="111"/>
      <c r="G16" s="33"/>
      <c r="H16" s="33"/>
      <c r="I16" s="33"/>
      <c r="J16" s="33"/>
      <c r="K16" s="44"/>
      <c r="L16" s="33"/>
      <c r="M16" s="33"/>
    </row>
    <row r="17" spans="1:13" x14ac:dyDescent="0.25">
      <c r="A17" s="29" t="s">
        <v>48</v>
      </c>
      <c r="B17" s="30">
        <f t="shared" ref="B17:B19" si="0">C17/$C$8</f>
        <v>1.3751594254324153E-2</v>
      </c>
      <c r="C17" s="102">
        <v>205.4</v>
      </c>
      <c r="D17" s="33"/>
      <c r="E17" s="138"/>
      <c r="F17" s="33"/>
      <c r="G17" s="45"/>
      <c r="H17" s="32"/>
      <c r="I17" s="32"/>
      <c r="J17" s="32"/>
      <c r="K17" s="32"/>
      <c r="L17" s="33"/>
      <c r="M17" s="33"/>
    </row>
    <row r="18" spans="1:13" x14ac:dyDescent="0.25">
      <c r="A18" s="29" t="s">
        <v>149</v>
      </c>
      <c r="B18" s="30">
        <v>0</v>
      </c>
      <c r="C18" s="102">
        <f>B18*C6</f>
        <v>0</v>
      </c>
      <c r="D18" s="33"/>
      <c r="E18" s="138"/>
      <c r="F18" s="33"/>
      <c r="G18" s="35"/>
      <c r="H18" s="34"/>
      <c r="I18" s="34"/>
      <c r="J18" s="35"/>
      <c r="K18" s="34"/>
      <c r="L18" s="33"/>
      <c r="M18" s="33"/>
    </row>
    <row r="19" spans="1:13" x14ac:dyDescent="0.25">
      <c r="A19" s="29" t="s">
        <v>49</v>
      </c>
      <c r="B19" s="30">
        <f t="shared" si="0"/>
        <v>3.6153168925681808E-4</v>
      </c>
      <c r="C19" s="102">
        <v>5.4</v>
      </c>
      <c r="D19" s="33"/>
      <c r="E19" s="138"/>
      <c r="F19" s="35"/>
      <c r="G19" s="38"/>
      <c r="H19" s="38"/>
      <c r="I19" s="38"/>
      <c r="J19" s="38"/>
      <c r="K19" s="38"/>
      <c r="L19" s="33"/>
      <c r="M19" s="33"/>
    </row>
    <row r="20" spans="1:13" x14ac:dyDescent="0.25">
      <c r="A20" s="177" t="s">
        <v>50</v>
      </c>
      <c r="B20" s="178"/>
      <c r="C20" s="104">
        <f>SUM(C15:C19)</f>
        <v>655.32799999999997</v>
      </c>
      <c r="D20" s="33"/>
      <c r="E20" s="33"/>
      <c r="F20" s="37"/>
      <c r="G20" s="112"/>
      <c r="H20" s="38"/>
      <c r="I20" s="38"/>
      <c r="J20" s="38"/>
      <c r="K20" s="38"/>
      <c r="L20" s="33"/>
      <c r="M20" s="33"/>
    </row>
    <row r="21" spans="1:13" x14ac:dyDescent="0.25">
      <c r="A21" s="39"/>
      <c r="B21" s="40"/>
      <c r="C21" s="41"/>
      <c r="D21" s="33"/>
      <c r="E21" s="33"/>
      <c r="F21" s="35"/>
      <c r="G21" s="38"/>
      <c r="H21" s="38"/>
      <c r="I21" s="38"/>
      <c r="J21" s="38"/>
      <c r="K21" s="38"/>
      <c r="L21" s="33"/>
      <c r="M21" s="33"/>
    </row>
    <row r="22" spans="1:13" x14ac:dyDescent="0.25">
      <c r="A22" s="174" t="s">
        <v>51</v>
      </c>
      <c r="B22" s="174"/>
      <c r="C22" s="168"/>
      <c r="D22" s="33"/>
      <c r="E22" s="33"/>
      <c r="F22" s="35"/>
      <c r="G22" s="38"/>
      <c r="H22" s="38"/>
      <c r="I22" s="38"/>
      <c r="J22" s="38"/>
      <c r="K22" s="38"/>
      <c r="L22" s="33"/>
      <c r="M22" s="33"/>
    </row>
    <row r="23" spans="1:13" x14ac:dyDescent="0.25">
      <c r="A23" s="42" t="s">
        <v>45</v>
      </c>
      <c r="B23" s="43" t="s">
        <v>37</v>
      </c>
      <c r="C23" s="105" t="s">
        <v>38</v>
      </c>
      <c r="D23" s="33"/>
      <c r="E23" s="33"/>
      <c r="F23" s="33"/>
      <c r="G23" s="33"/>
      <c r="H23" s="32"/>
      <c r="I23" s="38"/>
      <c r="J23" s="38"/>
      <c r="K23" s="38"/>
      <c r="L23" s="33"/>
      <c r="M23" s="33"/>
    </row>
    <row r="24" spans="1:13" x14ac:dyDescent="0.25">
      <c r="A24" s="29" t="s">
        <v>52</v>
      </c>
      <c r="B24" s="30">
        <f>C24/$C$8</f>
        <v>0</v>
      </c>
      <c r="C24" s="103"/>
      <c r="D24" s="33"/>
      <c r="E24" s="33"/>
      <c r="F24" s="33"/>
      <c r="G24" s="33"/>
      <c r="H24" s="33"/>
      <c r="I24" s="44"/>
      <c r="J24" s="33"/>
      <c r="K24" s="33"/>
      <c r="L24" s="33"/>
      <c r="M24" s="33"/>
    </row>
    <row r="25" spans="1:13" x14ac:dyDescent="0.25">
      <c r="A25" s="29" t="s">
        <v>53</v>
      </c>
      <c r="B25" s="30">
        <f t="shared" ref="B25:B27" si="1">C25/$C$8</f>
        <v>0</v>
      </c>
      <c r="C25" s="103">
        <v>0</v>
      </c>
      <c r="D25" s="33"/>
      <c r="E25" s="138"/>
      <c r="F25" s="34"/>
      <c r="G25" s="45"/>
      <c r="H25" s="45"/>
      <c r="I25" s="45"/>
      <c r="J25" s="45"/>
      <c r="K25" s="32"/>
      <c r="L25" s="33"/>
      <c r="M25" s="33"/>
    </row>
    <row r="26" spans="1:13" x14ac:dyDescent="0.25">
      <c r="A26" s="46" t="str">
        <f>"C - Treinamento e/ou reciclagem / - (" &amp; TEXT(B26,"0,00%") &amp; ") sobre o salário"</f>
        <v>C - Treinamento e/ou reciclagem / - (0,00%) sobre o salário</v>
      </c>
      <c r="B26" s="30">
        <f t="shared" si="1"/>
        <v>0</v>
      </c>
      <c r="C26" s="103"/>
      <c r="D26" s="33"/>
      <c r="E26" s="33"/>
      <c r="F26" s="34"/>
      <c r="G26" s="35"/>
      <c r="H26" s="34"/>
      <c r="I26" s="35"/>
      <c r="J26" s="45"/>
      <c r="K26" s="32"/>
      <c r="L26" s="33"/>
      <c r="M26" s="33"/>
    </row>
    <row r="27" spans="1:13" x14ac:dyDescent="0.25">
      <c r="A27" s="47" t="s">
        <v>54</v>
      </c>
      <c r="B27" s="30">
        <f t="shared" si="1"/>
        <v>0</v>
      </c>
      <c r="C27" s="103"/>
      <c r="D27" s="45"/>
      <c r="E27" s="33"/>
      <c r="F27" s="34"/>
      <c r="G27" s="38"/>
      <c r="H27" s="38"/>
      <c r="I27" s="38"/>
      <c r="J27" s="33"/>
      <c r="K27" s="33"/>
      <c r="L27" s="33"/>
      <c r="M27" s="33"/>
    </row>
    <row r="28" spans="1:13" x14ac:dyDescent="0.25">
      <c r="A28" s="177" t="s">
        <v>55</v>
      </c>
      <c r="B28" s="178"/>
      <c r="C28" s="104">
        <f>SUM(C24:C27)</f>
        <v>0</v>
      </c>
      <c r="D28" s="33"/>
      <c r="E28" s="33"/>
      <c r="F28" s="34"/>
      <c r="G28" s="48"/>
      <c r="H28" s="48"/>
      <c r="I28" s="48"/>
      <c r="J28" s="48"/>
      <c r="K28" s="48"/>
      <c r="L28" s="33"/>
      <c r="M28" s="33"/>
    </row>
    <row r="29" spans="1:13" x14ac:dyDescent="0.25">
      <c r="A29" s="49"/>
      <c r="B29" s="50"/>
      <c r="C29" s="51"/>
      <c r="D29" s="33"/>
      <c r="E29" s="33"/>
      <c r="F29" s="33"/>
      <c r="G29" s="32"/>
      <c r="H29" s="32"/>
      <c r="I29" s="113"/>
      <c r="J29" s="32"/>
      <c r="K29" s="32"/>
      <c r="L29" s="33"/>
      <c r="M29" s="33"/>
    </row>
    <row r="30" spans="1:13" x14ac:dyDescent="0.25">
      <c r="A30" s="174" t="s">
        <v>56</v>
      </c>
      <c r="B30" s="174"/>
      <c r="C30" s="168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s="52" customFormat="1" x14ac:dyDescent="0.25">
      <c r="A31" s="42" t="s">
        <v>57</v>
      </c>
      <c r="B31" s="43" t="s">
        <v>37</v>
      </c>
      <c r="C31" s="105" t="s">
        <v>38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1:13" ht="30" x14ac:dyDescent="0.25">
      <c r="A32" s="53" t="s">
        <v>58</v>
      </c>
      <c r="B32" s="54">
        <v>0</v>
      </c>
      <c r="C32" s="106">
        <f t="shared" ref="C32:C39" si="2">ROUND($C$8*B32,2)</f>
        <v>0</v>
      </c>
      <c r="D32" s="55"/>
      <c r="E32" s="33"/>
      <c r="F32" s="33"/>
      <c r="G32" s="33"/>
      <c r="H32" s="33"/>
      <c r="I32" s="33"/>
      <c r="J32" s="33"/>
      <c r="K32" s="33"/>
      <c r="L32" s="33"/>
      <c r="M32" s="33"/>
    </row>
    <row r="33" spans="1:13" x14ac:dyDescent="0.25">
      <c r="A33" s="56" t="s">
        <v>59</v>
      </c>
      <c r="B33" s="57">
        <v>1.4999999999999999E-2</v>
      </c>
      <c r="C33" s="31">
        <f t="shared" si="2"/>
        <v>224.05</v>
      </c>
      <c r="D33" s="55"/>
      <c r="E33" s="33"/>
      <c r="F33" s="33"/>
      <c r="G33" s="33"/>
      <c r="H33" s="33"/>
      <c r="I33" s="33"/>
      <c r="J33" s="33"/>
      <c r="K33" s="33"/>
      <c r="L33" s="33"/>
      <c r="M33" s="33"/>
    </row>
    <row r="34" spans="1:13" x14ac:dyDescent="0.25">
      <c r="A34" s="56" t="s">
        <v>60</v>
      </c>
      <c r="B34" s="57">
        <v>0.01</v>
      </c>
      <c r="C34" s="58">
        <f t="shared" si="2"/>
        <v>149.36000000000001</v>
      </c>
      <c r="D34" s="55"/>
      <c r="E34" s="33"/>
    </row>
    <row r="35" spans="1:13" x14ac:dyDescent="0.25">
      <c r="A35" s="56" t="s">
        <v>61</v>
      </c>
      <c r="B35" s="57">
        <v>2E-3</v>
      </c>
      <c r="C35" s="58">
        <f t="shared" si="2"/>
        <v>29.87</v>
      </c>
      <c r="D35" s="55"/>
      <c r="E35" s="33"/>
    </row>
    <row r="36" spans="1:13" x14ac:dyDescent="0.25">
      <c r="A36" s="56" t="s">
        <v>62</v>
      </c>
      <c r="B36" s="57">
        <v>2.5000000000000001E-2</v>
      </c>
      <c r="C36" s="58">
        <f t="shared" si="2"/>
        <v>373.41</v>
      </c>
      <c r="D36" s="55"/>
      <c r="E36" s="33"/>
    </row>
    <row r="37" spans="1:13" x14ac:dyDescent="0.25">
      <c r="A37" s="56" t="s">
        <v>63</v>
      </c>
      <c r="B37" s="57">
        <v>0.08</v>
      </c>
      <c r="C37" s="58">
        <f t="shared" si="2"/>
        <v>1194.92</v>
      </c>
      <c r="D37" s="55"/>
    </row>
    <row r="38" spans="1:13" x14ac:dyDescent="0.25">
      <c r="A38" s="56" t="s">
        <v>64</v>
      </c>
      <c r="B38" s="57">
        <v>0.01</v>
      </c>
      <c r="C38" s="58">
        <f t="shared" si="2"/>
        <v>149.36000000000001</v>
      </c>
      <c r="D38" s="55"/>
    </row>
    <row r="39" spans="1:13" x14ac:dyDescent="0.25">
      <c r="A39" s="56" t="s">
        <v>65</v>
      </c>
      <c r="B39" s="57">
        <v>6.0000000000000001E-3</v>
      </c>
      <c r="C39" s="59">
        <f t="shared" si="2"/>
        <v>89.62</v>
      </c>
      <c r="D39" s="55"/>
    </row>
    <row r="40" spans="1:13" x14ac:dyDescent="0.25">
      <c r="A40" s="14" t="s">
        <v>66</v>
      </c>
      <c r="B40" s="15">
        <f>ROUND(SUM(B32:B39),4)</f>
        <v>0.14799999999999999</v>
      </c>
      <c r="C40" s="60">
        <f>ROUND(SUM(C32:C39),2)</f>
        <v>2210.59</v>
      </c>
      <c r="D40" s="55"/>
      <c r="E40" s="33"/>
    </row>
    <row r="41" spans="1:13" x14ac:dyDescent="0.25">
      <c r="A41" s="61"/>
      <c r="B41" s="62"/>
      <c r="C41" s="63"/>
      <c r="D41" s="55"/>
    </row>
    <row r="42" spans="1:13" x14ac:dyDescent="0.25">
      <c r="A42" s="14" t="s">
        <v>67</v>
      </c>
      <c r="B42" s="64" t="s">
        <v>37</v>
      </c>
      <c r="C42" s="16" t="s">
        <v>38</v>
      </c>
      <c r="D42" s="55"/>
    </row>
    <row r="43" spans="1:13" x14ac:dyDescent="0.25">
      <c r="A43" s="65" t="s">
        <v>68</v>
      </c>
      <c r="B43" s="57">
        <v>9.0899999999999995E-2</v>
      </c>
      <c r="C43" s="66">
        <f>ROUND($C$8*B43,2)</f>
        <v>1357.72</v>
      </c>
      <c r="D43" s="55"/>
    </row>
    <row r="44" spans="1:13" x14ac:dyDescent="0.25">
      <c r="A44" s="65" t="s">
        <v>69</v>
      </c>
      <c r="B44" s="57">
        <f>B43/3</f>
        <v>3.0299999999999997E-2</v>
      </c>
      <c r="C44" s="58">
        <f>ROUND($C$8*B44,2)</f>
        <v>452.57</v>
      </c>
      <c r="D44" s="55"/>
      <c r="I44" s="67"/>
    </row>
    <row r="45" spans="1:13" x14ac:dyDescent="0.25">
      <c r="A45" s="188" t="s">
        <v>70</v>
      </c>
      <c r="B45" s="182"/>
      <c r="C45" s="68">
        <f>SUM(C43:C44)</f>
        <v>1810.29</v>
      </c>
      <c r="D45" s="55"/>
    </row>
    <row r="46" spans="1:13" x14ac:dyDescent="0.25">
      <c r="A46" s="69" t="s">
        <v>71</v>
      </c>
      <c r="B46" s="57">
        <f>B40*B43</f>
        <v>1.3453199999999998E-2</v>
      </c>
      <c r="C46" s="58">
        <f>ROUND($C$8*B46,2)</f>
        <v>200.94</v>
      </c>
      <c r="D46" s="55"/>
    </row>
    <row r="47" spans="1:13" x14ac:dyDescent="0.25">
      <c r="A47" s="14" t="s">
        <v>72</v>
      </c>
      <c r="B47" s="15">
        <f>SUM(B43:B44,B46)</f>
        <v>0.13465319999999997</v>
      </c>
      <c r="C47" s="60">
        <f>C45+C46</f>
        <v>2011.23</v>
      </c>
      <c r="D47" s="55"/>
      <c r="E47" s="33"/>
    </row>
    <row r="48" spans="1:13" x14ac:dyDescent="0.25">
      <c r="A48" s="61"/>
      <c r="B48" s="62"/>
      <c r="C48" s="63"/>
      <c r="D48" s="55"/>
    </row>
    <row r="49" spans="1:7" x14ac:dyDescent="0.25">
      <c r="A49" s="14" t="s">
        <v>73</v>
      </c>
      <c r="B49" s="64" t="s">
        <v>37</v>
      </c>
      <c r="C49" s="16" t="s">
        <v>38</v>
      </c>
      <c r="D49" s="55"/>
    </row>
    <row r="50" spans="1:7" x14ac:dyDescent="0.25">
      <c r="A50" s="65" t="s">
        <v>74</v>
      </c>
      <c r="B50" s="57">
        <v>2.9999999999999997E-4</v>
      </c>
      <c r="C50" s="58">
        <f>ROUND($C$8*B50,2)</f>
        <v>4.4800000000000004</v>
      </c>
      <c r="D50" s="55"/>
      <c r="G50" s="70"/>
    </row>
    <row r="51" spans="1:7" x14ac:dyDescent="0.25">
      <c r="A51" s="65" t="s">
        <v>75</v>
      </c>
      <c r="B51" s="57">
        <f>B40*B50</f>
        <v>4.4399999999999995E-5</v>
      </c>
      <c r="C51" s="58">
        <f>ROUND($C$8*B51,2)</f>
        <v>0.66</v>
      </c>
      <c r="D51" s="55"/>
    </row>
    <row r="52" spans="1:7" x14ac:dyDescent="0.25">
      <c r="A52" s="14" t="s">
        <v>76</v>
      </c>
      <c r="B52" s="15">
        <f>SUM(B50:B51)</f>
        <v>3.4439999999999997E-4</v>
      </c>
      <c r="C52" s="60">
        <f>SUM(C50:C51)</f>
        <v>5.1400000000000006</v>
      </c>
      <c r="D52" s="55"/>
      <c r="E52" s="33"/>
    </row>
    <row r="53" spans="1:7" x14ac:dyDescent="0.25">
      <c r="A53" s="61"/>
      <c r="B53" s="62"/>
      <c r="C53" s="63"/>
      <c r="D53" s="55"/>
    </row>
    <row r="54" spans="1:7" x14ac:dyDescent="0.25">
      <c r="A54" s="14" t="s">
        <v>77</v>
      </c>
      <c r="B54" s="64" t="s">
        <v>37</v>
      </c>
      <c r="C54" s="16" t="s">
        <v>38</v>
      </c>
      <c r="D54" s="55"/>
    </row>
    <row r="55" spans="1:7" x14ac:dyDescent="0.25">
      <c r="A55" s="65" t="s">
        <v>78</v>
      </c>
      <c r="B55" s="71">
        <v>8.3000000000000001E-3</v>
      </c>
      <c r="C55" s="58">
        <f t="shared" ref="C55:C60" si="3">ROUND($C$8*B55,2)</f>
        <v>123.97</v>
      </c>
      <c r="D55" s="55"/>
    </row>
    <row r="56" spans="1:7" x14ac:dyDescent="0.25">
      <c r="A56" s="65" t="s">
        <v>79</v>
      </c>
      <c r="B56" s="139">
        <f>B55*B37</f>
        <v>6.6399999999999999E-4</v>
      </c>
      <c r="C56" s="58">
        <f t="shared" si="3"/>
        <v>9.92</v>
      </c>
      <c r="D56" s="55"/>
    </row>
    <row r="57" spans="1:7" x14ac:dyDescent="0.25">
      <c r="A57" s="65" t="s">
        <v>80</v>
      </c>
      <c r="B57" s="140">
        <v>0</v>
      </c>
      <c r="C57" s="58">
        <f t="shared" si="3"/>
        <v>0</v>
      </c>
      <c r="D57" s="55"/>
    </row>
    <row r="58" spans="1:7" x14ac:dyDescent="0.25">
      <c r="A58" s="65" t="s">
        <v>81</v>
      </c>
      <c r="B58" s="71">
        <v>1.9400000000000001E-2</v>
      </c>
      <c r="C58" s="58">
        <f t="shared" si="3"/>
        <v>289.77</v>
      </c>
      <c r="D58" s="55"/>
    </row>
    <row r="59" spans="1:7" x14ac:dyDescent="0.25">
      <c r="A59" s="65" t="s">
        <v>82</v>
      </c>
      <c r="B59" s="71">
        <f>B58*B40</f>
        <v>2.8712E-3</v>
      </c>
      <c r="C59" s="58">
        <f t="shared" si="3"/>
        <v>42.89</v>
      </c>
      <c r="D59" s="55"/>
    </row>
    <row r="60" spans="1:7" x14ac:dyDescent="0.25">
      <c r="A60" s="65" t="s">
        <v>83</v>
      </c>
      <c r="B60" s="71">
        <v>4.36E-2</v>
      </c>
      <c r="C60" s="58">
        <f t="shared" si="3"/>
        <v>651.23</v>
      </c>
      <c r="D60" s="55"/>
    </row>
    <row r="61" spans="1:7" x14ac:dyDescent="0.25">
      <c r="A61" s="14" t="s">
        <v>84</v>
      </c>
      <c r="B61" s="15">
        <f>SUM(B55:B60)</f>
        <v>7.4835200000000004E-2</v>
      </c>
      <c r="C61" s="60">
        <f>SUM(C55:C60)</f>
        <v>1117.78</v>
      </c>
      <c r="D61" s="55"/>
      <c r="E61" s="33"/>
    </row>
    <row r="62" spans="1:7" x14ac:dyDescent="0.25">
      <c r="A62" s="61"/>
      <c r="B62" s="62"/>
      <c r="C62" s="63"/>
      <c r="D62" s="55"/>
    </row>
    <row r="63" spans="1:7" x14ac:dyDescent="0.25">
      <c r="A63" s="14" t="s">
        <v>85</v>
      </c>
      <c r="B63" s="64" t="s">
        <v>37</v>
      </c>
      <c r="C63" s="16" t="s">
        <v>38</v>
      </c>
      <c r="D63" s="55"/>
    </row>
    <row r="64" spans="1:7" x14ac:dyDescent="0.25">
      <c r="A64" s="65" t="s">
        <v>86</v>
      </c>
      <c r="B64" s="71">
        <v>9.0899999999999995E-2</v>
      </c>
      <c r="C64" s="58">
        <f t="shared" ref="C64:C69" si="4">ROUND($C$8*B64,2)</f>
        <v>1357.72</v>
      </c>
      <c r="D64" s="55"/>
    </row>
    <row r="65" spans="1:5" x14ac:dyDescent="0.25">
      <c r="A65" s="65" t="s">
        <v>87</v>
      </c>
      <c r="B65" s="71">
        <v>1.66E-2</v>
      </c>
      <c r="C65" s="58">
        <f t="shared" si="4"/>
        <v>247.95</v>
      </c>
      <c r="D65" s="55"/>
    </row>
    <row r="66" spans="1:5" x14ac:dyDescent="0.25">
      <c r="A66" s="65" t="s">
        <v>88</v>
      </c>
      <c r="B66" s="71">
        <v>2.0000000000000001E-4</v>
      </c>
      <c r="C66" s="58">
        <f t="shared" si="4"/>
        <v>2.99</v>
      </c>
      <c r="D66" s="55"/>
    </row>
    <row r="67" spans="1:5" x14ac:dyDescent="0.25">
      <c r="A67" s="65" t="s">
        <v>89</v>
      </c>
      <c r="B67" s="71">
        <v>0.01</v>
      </c>
      <c r="C67" s="58">
        <f t="shared" si="4"/>
        <v>149.36000000000001</v>
      </c>
      <c r="D67" s="55"/>
    </row>
    <row r="68" spans="1:5" x14ac:dyDescent="0.25">
      <c r="A68" s="65" t="s">
        <v>90</v>
      </c>
      <c r="B68" s="71">
        <v>3.0000000000000001E-3</v>
      </c>
      <c r="C68" s="58">
        <f t="shared" si="4"/>
        <v>44.81</v>
      </c>
      <c r="D68" s="55"/>
    </row>
    <row r="69" spans="1:5" x14ac:dyDescent="0.25">
      <c r="A69" s="65" t="s">
        <v>91</v>
      </c>
      <c r="B69" s="71">
        <v>0</v>
      </c>
      <c r="C69" s="58">
        <f t="shared" si="4"/>
        <v>0</v>
      </c>
      <c r="D69" s="55"/>
    </row>
    <row r="70" spans="1:5" x14ac:dyDescent="0.25">
      <c r="A70" s="181" t="s">
        <v>70</v>
      </c>
      <c r="B70" s="182"/>
      <c r="C70" s="68">
        <f>SUM(C64:C69)</f>
        <v>1802.83</v>
      </c>
      <c r="D70" s="55"/>
      <c r="E70" s="33"/>
    </row>
    <row r="71" spans="1:5" x14ac:dyDescent="0.25">
      <c r="A71" s="69" t="s">
        <v>92</v>
      </c>
      <c r="B71" s="57">
        <f>SUM(B64:B69)*B40</f>
        <v>1.78636E-2</v>
      </c>
      <c r="C71" s="58">
        <f>ROUND($C$8*B71,2)</f>
        <v>266.82</v>
      </c>
      <c r="D71" s="55"/>
    </row>
    <row r="72" spans="1:5" x14ac:dyDescent="0.25">
      <c r="A72" s="14" t="s">
        <v>93</v>
      </c>
      <c r="B72" s="15">
        <f>SUM(B64:B69,B71)</f>
        <v>0.13856360000000001</v>
      </c>
      <c r="C72" s="60">
        <f>SUM(C64:C69)+C71</f>
        <v>2069.65</v>
      </c>
      <c r="D72" s="55"/>
      <c r="E72" s="33"/>
    </row>
    <row r="73" spans="1:5" x14ac:dyDescent="0.25">
      <c r="A73" s="61"/>
      <c r="B73" s="62"/>
      <c r="C73" s="63"/>
      <c r="D73" s="55"/>
    </row>
    <row r="74" spans="1:5" s="52" customFormat="1" x14ac:dyDescent="0.25">
      <c r="A74" s="14" t="s">
        <v>94</v>
      </c>
      <c r="B74" s="64">
        <f>SUM(B40,B47,B52,B61,B72)</f>
        <v>0.49639639999999996</v>
      </c>
      <c r="C74" s="16">
        <f>SUM(C40,C47,C52,C61,C72)</f>
        <v>7414.3899999999994</v>
      </c>
      <c r="D74" s="72"/>
    </row>
    <row r="75" spans="1:5" x14ac:dyDescent="0.25">
      <c r="A75" s="73"/>
      <c r="B75" s="74"/>
      <c r="C75" s="75"/>
    </row>
    <row r="76" spans="1:5" x14ac:dyDescent="0.25">
      <c r="A76" s="174" t="s">
        <v>95</v>
      </c>
      <c r="B76" s="174"/>
      <c r="C76" s="174"/>
    </row>
    <row r="77" spans="1:5" x14ac:dyDescent="0.25">
      <c r="A77" s="42" t="s">
        <v>96</v>
      </c>
      <c r="B77" s="15" t="s">
        <v>37</v>
      </c>
      <c r="C77" s="16" t="s">
        <v>38</v>
      </c>
    </row>
    <row r="78" spans="1:5" x14ac:dyDescent="0.25">
      <c r="A78" s="65" t="s">
        <v>97</v>
      </c>
      <c r="B78" s="18">
        <f>B40</f>
        <v>0.14799999999999999</v>
      </c>
      <c r="C78" s="68">
        <f>ROUND($C$8*B78,2)</f>
        <v>2210.59</v>
      </c>
    </row>
    <row r="79" spans="1:5" x14ac:dyDescent="0.25">
      <c r="A79" s="65" t="s">
        <v>98</v>
      </c>
      <c r="B79" s="18">
        <f>B47</f>
        <v>0.13465319999999997</v>
      </c>
      <c r="C79" s="68">
        <f t="shared" ref="C79:C83" si="5">ROUND($C$8*B79,2)</f>
        <v>2011.24</v>
      </c>
    </row>
    <row r="80" spans="1:5" x14ac:dyDescent="0.25">
      <c r="A80" s="65" t="s">
        <v>99</v>
      </c>
      <c r="B80" s="18">
        <f>B52</f>
        <v>3.4439999999999997E-4</v>
      </c>
      <c r="C80" s="68">
        <f t="shared" si="5"/>
        <v>5.14</v>
      </c>
    </row>
    <row r="81" spans="1:7" x14ac:dyDescent="0.25">
      <c r="A81" s="65" t="s">
        <v>100</v>
      </c>
      <c r="B81" s="18">
        <f>B61</f>
        <v>7.4835200000000004E-2</v>
      </c>
      <c r="C81" s="68">
        <f t="shared" si="5"/>
        <v>1117.77</v>
      </c>
    </row>
    <row r="82" spans="1:7" x14ac:dyDescent="0.25">
      <c r="A82" s="65" t="s">
        <v>101</v>
      </c>
      <c r="B82" s="18">
        <f>B72</f>
        <v>0.13856360000000001</v>
      </c>
      <c r="C82" s="68">
        <f t="shared" si="5"/>
        <v>2069.65</v>
      </c>
    </row>
    <row r="83" spans="1:7" x14ac:dyDescent="0.25">
      <c r="A83" s="65" t="s">
        <v>102</v>
      </c>
      <c r="B83" s="18">
        <v>0</v>
      </c>
      <c r="C83" s="68">
        <f t="shared" si="5"/>
        <v>0</v>
      </c>
    </row>
    <row r="84" spans="1:7" x14ac:dyDescent="0.25">
      <c r="A84" s="14" t="s">
        <v>103</v>
      </c>
      <c r="B84" s="15">
        <f>SUM(B78:B83)</f>
        <v>0.49639639999999996</v>
      </c>
      <c r="C84" s="16">
        <f>SUM(C78:C83)</f>
        <v>7414.3899999999994</v>
      </c>
    </row>
    <row r="85" spans="1:7" x14ac:dyDescent="0.25">
      <c r="A85" s="76"/>
      <c r="B85" s="62"/>
      <c r="C85" s="63"/>
    </row>
    <row r="86" spans="1:7" x14ac:dyDescent="0.25">
      <c r="A86" s="165" t="s">
        <v>104</v>
      </c>
      <c r="B86" s="165"/>
      <c r="C86" s="16">
        <f>C8+C20+C28+C84</f>
        <v>23006.167999999998</v>
      </c>
    </row>
    <row r="87" spans="1:7" x14ac:dyDescent="0.25">
      <c r="A87" s="77"/>
      <c r="B87" s="77"/>
      <c r="C87" s="25"/>
      <c r="E87" s="33"/>
    </row>
    <row r="88" spans="1:7" x14ac:dyDescent="0.25">
      <c r="A88" s="168" t="s">
        <v>105</v>
      </c>
      <c r="B88" s="169"/>
      <c r="C88" s="170"/>
      <c r="E88" s="33"/>
    </row>
    <row r="89" spans="1:7" x14ac:dyDescent="0.25">
      <c r="A89" s="78" t="s">
        <v>106</v>
      </c>
      <c r="B89" s="64" t="s">
        <v>37</v>
      </c>
      <c r="C89" s="79" t="s">
        <v>38</v>
      </c>
      <c r="E89" s="55"/>
    </row>
    <row r="90" spans="1:7" x14ac:dyDescent="0.25">
      <c r="A90" s="56" t="s">
        <v>107</v>
      </c>
      <c r="B90" s="57">
        <v>6.7679333466776903E-2</v>
      </c>
      <c r="C90" s="58">
        <f>ROUND($C$86*B90,2)</f>
        <v>1557.04</v>
      </c>
    </row>
    <row r="91" spans="1:7" x14ac:dyDescent="0.25">
      <c r="A91" s="56" t="s">
        <v>108</v>
      </c>
      <c r="B91" s="57">
        <v>0.04</v>
      </c>
      <c r="C91" s="58">
        <f>ROUND($C$86*B91,2)</f>
        <v>920.25</v>
      </c>
      <c r="E91" s="175"/>
      <c r="F91" s="176"/>
    </row>
    <row r="92" spans="1:7" x14ac:dyDescent="0.25">
      <c r="A92" s="177" t="s">
        <v>109</v>
      </c>
      <c r="B92" s="178"/>
      <c r="C92" s="36">
        <f>ROUND(SUM(C90:C91),2)</f>
        <v>2477.29</v>
      </c>
      <c r="E92" s="175"/>
      <c r="F92" s="176"/>
    </row>
    <row r="93" spans="1:7" x14ac:dyDescent="0.25">
      <c r="A93" s="179"/>
      <c r="B93" s="180"/>
      <c r="C93" s="25"/>
      <c r="E93" s="175"/>
      <c r="F93" s="176"/>
    </row>
    <row r="94" spans="1:7" x14ac:dyDescent="0.25">
      <c r="A94" s="177" t="s">
        <v>110</v>
      </c>
      <c r="B94" s="178"/>
      <c r="C94" s="36">
        <f>'Custos do Time'!I9</f>
        <v>269.09871154699829</v>
      </c>
      <c r="E94" s="175"/>
      <c r="F94" s="176"/>
    </row>
    <row r="95" spans="1:7" x14ac:dyDescent="0.25">
      <c r="A95" s="81"/>
      <c r="B95" s="80"/>
      <c r="C95" s="25"/>
      <c r="E95" s="82"/>
      <c r="F95" s="83"/>
    </row>
    <row r="96" spans="1:7" x14ac:dyDescent="0.25">
      <c r="A96" s="168" t="s">
        <v>111</v>
      </c>
      <c r="B96" s="169"/>
      <c r="C96" s="170"/>
      <c r="E96" s="33"/>
      <c r="F96" s="33"/>
      <c r="G96" s="33"/>
    </row>
    <row r="97" spans="1:11" x14ac:dyDescent="0.25">
      <c r="A97" s="78" t="s">
        <v>112</v>
      </c>
      <c r="B97" s="64" t="s">
        <v>37</v>
      </c>
      <c r="C97" s="79" t="s">
        <v>38</v>
      </c>
      <c r="E97" s="33"/>
      <c r="F97" s="33"/>
      <c r="G97" s="33"/>
    </row>
    <row r="98" spans="1:11" x14ac:dyDescent="0.25">
      <c r="A98" s="20" t="s">
        <v>113</v>
      </c>
      <c r="B98" s="18">
        <v>0.02</v>
      </c>
      <c r="C98" s="84">
        <f>ROUND($C$105*B98/$B$102,2)</f>
        <v>573.24</v>
      </c>
      <c r="E98" s="85"/>
      <c r="F98" s="33"/>
      <c r="G98" s="33"/>
      <c r="H98" s="33"/>
      <c r="I98" s="33"/>
      <c r="J98" s="33"/>
    </row>
    <row r="99" spans="1:11" x14ac:dyDescent="0.25">
      <c r="A99" s="20" t="s">
        <v>114</v>
      </c>
      <c r="B99" s="18">
        <v>6.4999999999999997E-3</v>
      </c>
      <c r="C99" s="84">
        <f>ROUND($C$105*B99/$B$102,2)</f>
        <v>186.3</v>
      </c>
      <c r="F99" s="33"/>
      <c r="G99" s="33"/>
      <c r="H99" s="33"/>
      <c r="I99" s="33"/>
      <c r="J99" s="33"/>
    </row>
    <row r="100" spans="1:11" x14ac:dyDescent="0.25">
      <c r="A100" s="20" t="s">
        <v>115</v>
      </c>
      <c r="B100" s="18">
        <v>0.03</v>
      </c>
      <c r="C100" s="84">
        <f>ROUND($C$105*B100/$B$102,2)</f>
        <v>859.85</v>
      </c>
      <c r="F100" s="33"/>
      <c r="G100" s="33"/>
      <c r="H100" s="33"/>
      <c r="I100" s="33"/>
      <c r="J100" s="33"/>
    </row>
    <row r="101" spans="1:11" ht="30" x14ac:dyDescent="0.25">
      <c r="A101" s="86" t="s">
        <v>116</v>
      </c>
      <c r="B101" s="18">
        <v>4.4999999999999998E-2</v>
      </c>
      <c r="C101" s="87">
        <f>ROUND($C$105*B101/$B$102,2)</f>
        <v>1289.78</v>
      </c>
      <c r="F101" s="33"/>
      <c r="G101" s="33"/>
      <c r="H101" s="33"/>
      <c r="I101" s="33"/>
      <c r="J101" s="33"/>
    </row>
    <row r="102" spans="1:11" x14ac:dyDescent="0.25">
      <c r="A102" s="88" t="s">
        <v>117</v>
      </c>
      <c r="B102" s="89">
        <f>ROUND(SUM(B98:B101),4)</f>
        <v>0.10150000000000001</v>
      </c>
      <c r="C102" s="90">
        <f>ROUND($C$105*B102/$B$102,2)</f>
        <v>2909.17</v>
      </c>
      <c r="E102" s="91"/>
      <c r="F102" s="33"/>
      <c r="G102" s="33"/>
      <c r="H102" s="33"/>
      <c r="I102" s="33"/>
      <c r="J102" s="33"/>
    </row>
    <row r="103" spans="1:11" s="33" customFormat="1" x14ac:dyDescent="0.25">
      <c r="A103" s="92"/>
      <c r="B103" s="93"/>
      <c r="C103" s="94"/>
      <c r="D103" s="45"/>
      <c r="E103" s="11"/>
      <c r="H103" s="11"/>
      <c r="I103" s="11"/>
      <c r="J103" s="11"/>
    </row>
    <row r="104" spans="1:11" s="33" customFormat="1" x14ac:dyDescent="0.25">
      <c r="A104" s="172" t="s">
        <v>118</v>
      </c>
      <c r="B104" s="173"/>
      <c r="C104" s="95">
        <f>ROUND(C86+C92+C94,2)</f>
        <v>25752.560000000001</v>
      </c>
      <c r="E104" s="11"/>
      <c r="F104" s="11"/>
      <c r="G104" s="11"/>
      <c r="H104" s="11"/>
      <c r="I104" s="11"/>
      <c r="J104" s="11"/>
      <c r="K104" s="11"/>
    </row>
    <row r="105" spans="1:11" x14ac:dyDescent="0.25">
      <c r="A105" s="166" t="s">
        <v>119</v>
      </c>
      <c r="B105" s="167"/>
      <c r="C105" s="16">
        <f>ROUND(C106-C104,2)</f>
        <v>2909.17</v>
      </c>
      <c r="E105" s="91"/>
      <c r="G105" s="33"/>
      <c r="H105" s="33"/>
      <c r="I105" s="33"/>
      <c r="J105" s="33"/>
    </row>
    <row r="106" spans="1:11" s="33" customFormat="1" x14ac:dyDescent="0.25">
      <c r="A106" s="165" t="s">
        <v>120</v>
      </c>
      <c r="B106" s="165"/>
      <c r="C106" s="16">
        <f>ROUND(C104/(1-$B$102),2)</f>
        <v>28661.73</v>
      </c>
      <c r="D106" s="45"/>
    </row>
    <row r="107" spans="1:11" s="33" customFormat="1" x14ac:dyDescent="0.25">
      <c r="A107" s="96"/>
      <c r="B107" s="81"/>
      <c r="C107" s="97"/>
    </row>
    <row r="108" spans="1:11" s="33" customFormat="1" x14ac:dyDescent="0.25">
      <c r="A108" s="168" t="s">
        <v>121</v>
      </c>
      <c r="B108" s="169"/>
      <c r="C108" s="170"/>
    </row>
    <row r="109" spans="1:11" s="33" customFormat="1" x14ac:dyDescent="0.25">
      <c r="A109" s="171" t="s">
        <v>122</v>
      </c>
      <c r="B109" s="171"/>
      <c r="C109" s="22">
        <f>ROUND(C106,2)</f>
        <v>28661.73</v>
      </c>
    </row>
    <row r="110" spans="1:11" x14ac:dyDescent="0.25">
      <c r="A110" s="23"/>
      <c r="B110" s="81"/>
      <c r="C110" s="97"/>
    </row>
    <row r="111" spans="1:11" hidden="1" x14ac:dyDescent="0.25">
      <c r="A111" s="165" t="s">
        <v>123</v>
      </c>
      <c r="B111" s="165"/>
      <c r="C111" s="68" t="e">
        <f>ROUND(#REF!/C8,2)</f>
        <v>#REF!</v>
      </c>
    </row>
    <row r="112" spans="1:11" x14ac:dyDescent="0.25">
      <c r="A112" s="165" t="s">
        <v>124</v>
      </c>
      <c r="B112" s="165"/>
      <c r="C112" s="68">
        <f>ROUND(C109/C10,2)</f>
        <v>179.14</v>
      </c>
    </row>
    <row r="113" spans="1:3" hidden="1" x14ac:dyDescent="0.25">
      <c r="A113" s="165" t="s">
        <v>125</v>
      </c>
      <c r="B113" s="165"/>
      <c r="C113" s="68" t="e">
        <f>#REF!</f>
        <v>#REF!</v>
      </c>
    </row>
    <row r="114" spans="1:3" x14ac:dyDescent="0.25">
      <c r="C114" s="97"/>
    </row>
  </sheetData>
  <mergeCells count="30">
    <mergeCell ref="A108:C108"/>
    <mergeCell ref="A109:B109"/>
    <mergeCell ref="A111:B111"/>
    <mergeCell ref="A112:B112"/>
    <mergeCell ref="A113:B113"/>
    <mergeCell ref="A106:B106"/>
    <mergeCell ref="A86:B86"/>
    <mergeCell ref="A88:C88"/>
    <mergeCell ref="E91:F91"/>
    <mergeCell ref="A92:B92"/>
    <mergeCell ref="E92:F92"/>
    <mergeCell ref="A93:B93"/>
    <mergeCell ref="E93:F93"/>
    <mergeCell ref="A94:B94"/>
    <mergeCell ref="E94:F94"/>
    <mergeCell ref="A96:C96"/>
    <mergeCell ref="A104:B104"/>
    <mergeCell ref="A105:B105"/>
    <mergeCell ref="A76:C76"/>
    <mergeCell ref="A1:C1"/>
    <mergeCell ref="A2:C2"/>
    <mergeCell ref="A4:C4"/>
    <mergeCell ref="A8:B8"/>
    <mergeCell ref="A13:C13"/>
    <mergeCell ref="A20:B20"/>
    <mergeCell ref="A22:C22"/>
    <mergeCell ref="A28:B28"/>
    <mergeCell ref="A30:C30"/>
    <mergeCell ref="A45:B45"/>
    <mergeCell ref="A70:B70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3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M114"/>
  <sheetViews>
    <sheetView showGridLines="0" view="pageBreakPreview" zoomScaleNormal="80" zoomScaleSheetLayoutView="100" workbookViewId="0">
      <selection activeCell="E94" sqref="E94:F94"/>
    </sheetView>
  </sheetViews>
  <sheetFormatPr defaultColWidth="9.140625" defaultRowHeight="15" x14ac:dyDescent="0.25"/>
  <cols>
    <col min="1" max="1" width="75.85546875" style="98" customWidth="1"/>
    <col min="2" max="2" width="15.7109375" style="99" customWidth="1"/>
    <col min="3" max="3" width="18.7109375" style="100" customWidth="1"/>
    <col min="4" max="4" width="5.7109375" style="11" customWidth="1"/>
    <col min="5" max="5" width="10" style="11" customWidth="1"/>
    <col min="6" max="6" width="11.7109375" style="11" customWidth="1"/>
    <col min="7" max="7" width="15" style="11" customWidth="1"/>
    <col min="8" max="8" width="12.7109375" style="11" customWidth="1"/>
    <col min="9" max="9" width="13.140625" style="11" bestFit="1" customWidth="1"/>
    <col min="10" max="10" width="12.7109375" style="11" customWidth="1"/>
    <col min="11" max="11" width="13.140625" style="11" bestFit="1" customWidth="1"/>
    <col min="12" max="16384" width="9.140625" style="11"/>
  </cols>
  <sheetData>
    <row r="1" spans="1:13" s="10" customFormat="1" ht="18.75" x14ac:dyDescent="0.25">
      <c r="A1" s="186" t="s">
        <v>141</v>
      </c>
      <c r="B1" s="186"/>
      <c r="C1" s="186"/>
    </row>
    <row r="2" spans="1:13" ht="18.600000000000001" customHeight="1" x14ac:dyDescent="0.25">
      <c r="A2" s="187" t="s">
        <v>140</v>
      </c>
      <c r="B2" s="187"/>
      <c r="C2" s="187"/>
    </row>
    <row r="3" spans="1:13" x14ac:dyDescent="0.25">
      <c r="A3" s="12"/>
      <c r="B3" s="13"/>
      <c r="C3" s="13"/>
    </row>
    <row r="4" spans="1:13" x14ac:dyDescent="0.25">
      <c r="A4" s="174" t="s">
        <v>35</v>
      </c>
      <c r="B4" s="174"/>
      <c r="C4" s="174"/>
    </row>
    <row r="5" spans="1:13" x14ac:dyDescent="0.25">
      <c r="A5" s="14" t="s">
        <v>36</v>
      </c>
      <c r="B5" s="15" t="s">
        <v>37</v>
      </c>
      <c r="C5" s="16" t="s">
        <v>38</v>
      </c>
    </row>
    <row r="6" spans="1:13" x14ac:dyDescent="0.25">
      <c r="A6" s="17" t="s">
        <v>39</v>
      </c>
      <c r="B6" s="18">
        <v>1</v>
      </c>
      <c r="C6" s="114">
        <v>5839.93</v>
      </c>
      <c r="G6" s="19"/>
    </row>
    <row r="7" spans="1:13" x14ac:dyDescent="0.25">
      <c r="A7" s="20" t="s">
        <v>40</v>
      </c>
      <c r="B7" s="18"/>
      <c r="C7" s="21">
        <f>ROUND(B7*C6,2)</f>
        <v>0</v>
      </c>
      <c r="E7" s="19"/>
    </row>
    <row r="8" spans="1:13" x14ac:dyDescent="0.25">
      <c r="A8" s="177" t="s">
        <v>41</v>
      </c>
      <c r="B8" s="183"/>
      <c r="C8" s="22">
        <f>C6+C7</f>
        <v>5839.93</v>
      </c>
    </row>
    <row r="9" spans="1:13" x14ac:dyDescent="0.25">
      <c r="A9" s="23"/>
      <c r="B9" s="80"/>
      <c r="C9" s="25"/>
    </row>
    <row r="10" spans="1:13" x14ac:dyDescent="0.25">
      <c r="A10" s="26" t="s">
        <v>42</v>
      </c>
      <c r="B10" s="27"/>
      <c r="C10" s="28">
        <v>160</v>
      </c>
    </row>
    <row r="11" spans="1:13" x14ac:dyDescent="0.25">
      <c r="A11" s="26" t="s">
        <v>43</v>
      </c>
      <c r="B11" s="27"/>
      <c r="C11" s="28">
        <f>ROUND(C8/C10,2)</f>
        <v>36.5</v>
      </c>
    </row>
    <row r="12" spans="1:13" x14ac:dyDescent="0.25">
      <c r="A12" s="23"/>
      <c r="B12" s="80"/>
      <c r="C12" s="25"/>
    </row>
    <row r="13" spans="1:13" x14ac:dyDescent="0.25">
      <c r="A13" s="184" t="s">
        <v>44</v>
      </c>
      <c r="B13" s="185"/>
      <c r="C13" s="185"/>
      <c r="D13" s="33"/>
      <c r="E13" s="107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A14" s="14" t="s">
        <v>45</v>
      </c>
      <c r="B14" s="15" t="s">
        <v>37</v>
      </c>
      <c r="C14" s="101" t="s">
        <v>38</v>
      </c>
      <c r="D14" s="33"/>
      <c r="E14" s="108"/>
      <c r="F14" s="109"/>
      <c r="G14" s="33"/>
      <c r="H14" s="33"/>
      <c r="I14" s="33"/>
      <c r="J14" s="33"/>
      <c r="K14" s="33"/>
      <c r="L14" s="33"/>
      <c r="M14" s="33"/>
    </row>
    <row r="15" spans="1:13" x14ac:dyDescent="0.25">
      <c r="A15" s="29" t="s">
        <v>46</v>
      </c>
      <c r="B15" s="30">
        <f>C15/$C$8</f>
        <v>0</v>
      </c>
      <c r="C15" s="102"/>
      <c r="D15" s="45"/>
      <c r="E15" s="25"/>
      <c r="F15" s="110"/>
      <c r="G15" s="33"/>
      <c r="H15" s="32"/>
      <c r="I15" s="33"/>
      <c r="J15" s="33"/>
      <c r="K15" s="33"/>
      <c r="L15" s="33"/>
      <c r="M15" s="33"/>
    </row>
    <row r="16" spans="1:13" x14ac:dyDescent="0.25">
      <c r="A16" s="29" t="s">
        <v>47</v>
      </c>
      <c r="B16" s="30">
        <f>C16/$C$8</f>
        <v>8.0876140638672031E-2</v>
      </c>
      <c r="C16" s="102">
        <f>(26.46*21)*(1-IF(C6&gt;=6851.4,20%,IF(C6&gt;=5592.97,15%,IF(C6&gt;=4474.37,10%,IF(C6&gt;=3076.13,7.5%,IF(C6&gt;=1817.71,5%,IF(C6&lt;=1817.7,0%)))))))</f>
        <v>472.31099999999998</v>
      </c>
      <c r="D16" s="33"/>
      <c r="E16" s="138"/>
      <c r="F16" s="111"/>
      <c r="G16" s="33"/>
      <c r="H16" s="33"/>
      <c r="I16" s="33"/>
      <c r="J16" s="33"/>
      <c r="K16" s="44"/>
      <c r="L16" s="33"/>
      <c r="M16" s="33"/>
    </row>
    <row r="17" spans="1:13" x14ac:dyDescent="0.25">
      <c r="A17" s="29" t="s">
        <v>48</v>
      </c>
      <c r="B17" s="30">
        <f t="shared" ref="B17:B19" si="0">C17/$C$8</f>
        <v>3.5171654454762301E-2</v>
      </c>
      <c r="C17" s="102">
        <v>205.4</v>
      </c>
      <c r="D17" s="33"/>
      <c r="E17" s="138"/>
      <c r="F17" s="33"/>
      <c r="G17" s="45"/>
      <c r="H17" s="32"/>
      <c r="I17" s="32"/>
      <c r="J17" s="32"/>
      <c r="K17" s="32"/>
      <c r="L17" s="33"/>
      <c r="M17" s="33"/>
    </row>
    <row r="18" spans="1:13" x14ac:dyDescent="0.25">
      <c r="A18" s="29" t="s">
        <v>149</v>
      </c>
      <c r="B18" s="30">
        <v>0.1</v>
      </c>
      <c r="C18" s="102">
        <f>B18*C6</f>
        <v>583.99300000000005</v>
      </c>
      <c r="D18" s="33"/>
      <c r="E18" s="138"/>
      <c r="F18" s="33"/>
      <c r="G18" s="35"/>
      <c r="H18" s="34"/>
      <c r="I18" s="34"/>
      <c r="J18" s="35"/>
      <c r="K18" s="34"/>
      <c r="L18" s="33"/>
      <c r="M18" s="33"/>
    </row>
    <row r="19" spans="1:13" x14ac:dyDescent="0.25">
      <c r="A19" s="29" t="s">
        <v>49</v>
      </c>
      <c r="B19" s="30">
        <f t="shared" si="0"/>
        <v>9.2466861760329318E-4</v>
      </c>
      <c r="C19" s="102">
        <v>5.4</v>
      </c>
      <c r="D19" s="33"/>
      <c r="E19" s="138"/>
      <c r="F19" s="35"/>
      <c r="G19" s="38"/>
      <c r="H19" s="38"/>
      <c r="I19" s="38"/>
      <c r="J19" s="38"/>
      <c r="K19" s="38"/>
      <c r="L19" s="33"/>
      <c r="M19" s="33"/>
    </row>
    <row r="20" spans="1:13" x14ac:dyDescent="0.25">
      <c r="A20" s="177" t="s">
        <v>50</v>
      </c>
      <c r="B20" s="178"/>
      <c r="C20" s="104">
        <f>SUM(C15:C19)</f>
        <v>1267.1040000000003</v>
      </c>
      <c r="D20" s="33"/>
      <c r="E20" s="33"/>
      <c r="F20" s="37"/>
      <c r="G20" s="112"/>
      <c r="H20" s="38"/>
      <c r="I20" s="38"/>
      <c r="J20" s="38"/>
      <c r="K20" s="38"/>
      <c r="L20" s="33"/>
      <c r="M20" s="33"/>
    </row>
    <row r="21" spans="1:13" x14ac:dyDescent="0.25">
      <c r="A21" s="39"/>
      <c r="B21" s="40"/>
      <c r="C21" s="41"/>
      <c r="D21" s="33"/>
      <c r="E21" s="33"/>
      <c r="F21" s="35"/>
      <c r="G21" s="38"/>
      <c r="H21" s="38"/>
      <c r="I21" s="38"/>
      <c r="J21" s="38"/>
      <c r="K21" s="38"/>
      <c r="L21" s="33"/>
      <c r="M21" s="33"/>
    </row>
    <row r="22" spans="1:13" x14ac:dyDescent="0.25">
      <c r="A22" s="174" t="s">
        <v>51</v>
      </c>
      <c r="B22" s="174"/>
      <c r="C22" s="168"/>
      <c r="D22" s="33"/>
      <c r="E22" s="33"/>
      <c r="F22" s="35"/>
      <c r="G22" s="38"/>
      <c r="H22" s="38"/>
      <c r="I22" s="38"/>
      <c r="J22" s="38"/>
      <c r="K22" s="38"/>
      <c r="L22" s="33"/>
      <c r="M22" s="33"/>
    </row>
    <row r="23" spans="1:13" x14ac:dyDescent="0.25">
      <c r="A23" s="42" t="s">
        <v>45</v>
      </c>
      <c r="B23" s="43" t="s">
        <v>37</v>
      </c>
      <c r="C23" s="105" t="s">
        <v>38</v>
      </c>
      <c r="D23" s="33"/>
      <c r="E23" s="33"/>
      <c r="F23" s="33"/>
      <c r="G23" s="33"/>
      <c r="H23" s="32"/>
      <c r="I23" s="38"/>
      <c r="J23" s="38"/>
      <c r="K23" s="38"/>
      <c r="L23" s="33"/>
      <c r="M23" s="33"/>
    </row>
    <row r="24" spans="1:13" x14ac:dyDescent="0.25">
      <c r="A24" s="29" t="s">
        <v>52</v>
      </c>
      <c r="B24" s="30">
        <f>C24/$C$8</f>
        <v>0</v>
      </c>
      <c r="C24" s="103"/>
      <c r="D24" s="33"/>
      <c r="E24" s="33"/>
      <c r="F24" s="33"/>
      <c r="G24" s="33"/>
      <c r="H24" s="33"/>
      <c r="I24" s="44"/>
      <c r="J24" s="33"/>
      <c r="K24" s="33"/>
      <c r="L24" s="33"/>
      <c r="M24" s="33"/>
    </row>
    <row r="25" spans="1:13" x14ac:dyDescent="0.25">
      <c r="A25" s="29" t="s">
        <v>53</v>
      </c>
      <c r="B25" s="30">
        <f t="shared" ref="B25:B27" si="1">C25/$C$8</f>
        <v>0</v>
      </c>
      <c r="C25" s="103">
        <v>0</v>
      </c>
      <c r="D25" s="33"/>
      <c r="E25" s="138"/>
      <c r="F25" s="34"/>
      <c r="G25" s="45"/>
      <c r="H25" s="45"/>
      <c r="I25" s="45"/>
      <c r="J25" s="45"/>
      <c r="K25" s="32"/>
      <c r="L25" s="33"/>
      <c r="M25" s="33"/>
    </row>
    <row r="26" spans="1:13" x14ac:dyDescent="0.25">
      <c r="A26" s="46" t="str">
        <f>"C - Treinamento e/ou reciclagem / - (" &amp; TEXT(B26,"0,00%") &amp; ") sobre o salário"</f>
        <v>C - Treinamento e/ou reciclagem / - (0,00%) sobre o salário</v>
      </c>
      <c r="B26" s="30">
        <f t="shared" si="1"/>
        <v>0</v>
      </c>
      <c r="C26" s="103"/>
      <c r="D26" s="33"/>
      <c r="E26" s="33"/>
      <c r="F26" s="34"/>
      <c r="G26" s="35"/>
      <c r="H26" s="34"/>
      <c r="I26" s="35"/>
      <c r="J26" s="45"/>
      <c r="K26" s="32"/>
      <c r="L26" s="33"/>
      <c r="M26" s="33"/>
    </row>
    <row r="27" spans="1:13" x14ac:dyDescent="0.25">
      <c r="A27" s="47" t="s">
        <v>54</v>
      </c>
      <c r="B27" s="30">
        <f t="shared" si="1"/>
        <v>0</v>
      </c>
      <c r="C27" s="103"/>
      <c r="D27" s="45"/>
      <c r="E27" s="33"/>
      <c r="F27" s="34"/>
      <c r="G27" s="38"/>
      <c r="H27" s="38"/>
      <c r="I27" s="38"/>
      <c r="J27" s="33"/>
      <c r="K27" s="33"/>
      <c r="L27" s="33"/>
      <c r="M27" s="33"/>
    </row>
    <row r="28" spans="1:13" x14ac:dyDescent="0.25">
      <c r="A28" s="177" t="s">
        <v>55</v>
      </c>
      <c r="B28" s="178"/>
      <c r="C28" s="104">
        <f>SUM(C24:C27)</f>
        <v>0</v>
      </c>
      <c r="D28" s="33"/>
      <c r="E28" s="33"/>
      <c r="F28" s="34"/>
      <c r="G28" s="48"/>
      <c r="H28" s="48"/>
      <c r="I28" s="48"/>
      <c r="J28" s="48"/>
      <c r="K28" s="48"/>
      <c r="L28" s="33"/>
      <c r="M28" s="33"/>
    </row>
    <row r="29" spans="1:13" x14ac:dyDescent="0.25">
      <c r="A29" s="49"/>
      <c r="B29" s="50"/>
      <c r="C29" s="51"/>
      <c r="D29" s="33"/>
      <c r="E29" s="33"/>
      <c r="F29" s="33"/>
      <c r="G29" s="32"/>
      <c r="H29" s="32"/>
      <c r="I29" s="113"/>
      <c r="J29" s="32"/>
      <c r="K29" s="32"/>
      <c r="L29" s="33"/>
      <c r="M29" s="33"/>
    </row>
    <row r="30" spans="1:13" x14ac:dyDescent="0.25">
      <c r="A30" s="174" t="s">
        <v>56</v>
      </c>
      <c r="B30" s="174"/>
      <c r="C30" s="168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s="52" customFormat="1" x14ac:dyDescent="0.25">
      <c r="A31" s="42" t="s">
        <v>57</v>
      </c>
      <c r="B31" s="43" t="s">
        <v>37</v>
      </c>
      <c r="C31" s="105" t="s">
        <v>38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1:13" ht="30" x14ac:dyDescent="0.25">
      <c r="A32" s="53" t="s">
        <v>58</v>
      </c>
      <c r="B32" s="54">
        <v>0</v>
      </c>
      <c r="C32" s="106">
        <f t="shared" ref="C32:C39" si="2">ROUND($C$8*B32,2)</f>
        <v>0</v>
      </c>
      <c r="D32" s="55"/>
      <c r="E32" s="33"/>
      <c r="F32" s="33"/>
      <c r="G32" s="33"/>
      <c r="H32" s="33"/>
      <c r="I32" s="33"/>
      <c r="J32" s="33"/>
      <c r="K32" s="33"/>
      <c r="L32" s="33"/>
      <c r="M32" s="33"/>
    </row>
    <row r="33" spans="1:13" x14ac:dyDescent="0.25">
      <c r="A33" s="56" t="s">
        <v>59</v>
      </c>
      <c r="B33" s="57">
        <v>1.4999999999999999E-2</v>
      </c>
      <c r="C33" s="31">
        <f t="shared" si="2"/>
        <v>87.6</v>
      </c>
      <c r="D33" s="55"/>
      <c r="E33" s="33"/>
      <c r="F33" s="33"/>
      <c r="G33" s="33"/>
      <c r="H33" s="33"/>
      <c r="I33" s="33"/>
      <c r="J33" s="33"/>
      <c r="K33" s="33"/>
      <c r="L33" s="33"/>
      <c r="M33" s="33"/>
    </row>
    <row r="34" spans="1:13" x14ac:dyDescent="0.25">
      <c r="A34" s="56" t="s">
        <v>60</v>
      </c>
      <c r="B34" s="57">
        <v>0.01</v>
      </c>
      <c r="C34" s="58">
        <f t="shared" si="2"/>
        <v>58.4</v>
      </c>
      <c r="D34" s="55"/>
      <c r="E34" s="33"/>
    </row>
    <row r="35" spans="1:13" x14ac:dyDescent="0.25">
      <c r="A35" s="56" t="s">
        <v>61</v>
      </c>
      <c r="B35" s="57">
        <v>2E-3</v>
      </c>
      <c r="C35" s="58">
        <f t="shared" si="2"/>
        <v>11.68</v>
      </c>
      <c r="D35" s="55"/>
      <c r="E35" s="33"/>
    </row>
    <row r="36" spans="1:13" x14ac:dyDescent="0.25">
      <c r="A36" s="56" t="s">
        <v>62</v>
      </c>
      <c r="B36" s="57">
        <v>2.5000000000000001E-2</v>
      </c>
      <c r="C36" s="58">
        <f t="shared" si="2"/>
        <v>146</v>
      </c>
      <c r="D36" s="55"/>
      <c r="E36" s="33"/>
    </row>
    <row r="37" spans="1:13" x14ac:dyDescent="0.25">
      <c r="A37" s="56" t="s">
        <v>63</v>
      </c>
      <c r="B37" s="57">
        <v>0.08</v>
      </c>
      <c r="C37" s="58">
        <f t="shared" si="2"/>
        <v>467.19</v>
      </c>
      <c r="D37" s="55"/>
    </row>
    <row r="38" spans="1:13" x14ac:dyDescent="0.25">
      <c r="A38" s="56" t="s">
        <v>64</v>
      </c>
      <c r="B38" s="57">
        <v>0.01</v>
      </c>
      <c r="C38" s="58">
        <f t="shared" si="2"/>
        <v>58.4</v>
      </c>
      <c r="D38" s="55"/>
    </row>
    <row r="39" spans="1:13" x14ac:dyDescent="0.25">
      <c r="A39" s="56" t="s">
        <v>65</v>
      </c>
      <c r="B39" s="57">
        <v>6.0000000000000001E-3</v>
      </c>
      <c r="C39" s="59">
        <f t="shared" si="2"/>
        <v>35.04</v>
      </c>
      <c r="D39" s="55"/>
    </row>
    <row r="40" spans="1:13" x14ac:dyDescent="0.25">
      <c r="A40" s="14" t="s">
        <v>66</v>
      </c>
      <c r="B40" s="15">
        <f>ROUND(SUM(B32:B39),4)</f>
        <v>0.14799999999999999</v>
      </c>
      <c r="C40" s="60">
        <f>ROUND(SUM(C32:C39),2)</f>
        <v>864.31</v>
      </c>
      <c r="D40" s="55"/>
      <c r="E40" s="33"/>
    </row>
    <row r="41" spans="1:13" x14ac:dyDescent="0.25">
      <c r="A41" s="61"/>
      <c r="B41" s="62"/>
      <c r="C41" s="63"/>
      <c r="D41" s="55"/>
    </row>
    <row r="42" spans="1:13" x14ac:dyDescent="0.25">
      <c r="A42" s="14" t="s">
        <v>67</v>
      </c>
      <c r="B42" s="64" t="s">
        <v>37</v>
      </c>
      <c r="C42" s="16" t="s">
        <v>38</v>
      </c>
      <c r="D42" s="55"/>
    </row>
    <row r="43" spans="1:13" x14ac:dyDescent="0.25">
      <c r="A43" s="65" t="s">
        <v>68</v>
      </c>
      <c r="B43" s="57">
        <v>9.0899999999999995E-2</v>
      </c>
      <c r="C43" s="66">
        <f>ROUND($C$8*B43,2)</f>
        <v>530.85</v>
      </c>
      <c r="D43" s="55"/>
    </row>
    <row r="44" spans="1:13" x14ac:dyDescent="0.25">
      <c r="A44" s="65" t="s">
        <v>69</v>
      </c>
      <c r="B44" s="57">
        <f>B43/3</f>
        <v>3.0299999999999997E-2</v>
      </c>
      <c r="C44" s="58">
        <f>ROUND($C$8*B44,2)</f>
        <v>176.95</v>
      </c>
      <c r="D44" s="55"/>
      <c r="I44" s="67"/>
    </row>
    <row r="45" spans="1:13" x14ac:dyDescent="0.25">
      <c r="A45" s="188" t="s">
        <v>70</v>
      </c>
      <c r="B45" s="182"/>
      <c r="C45" s="68">
        <f>SUM(C43:C44)</f>
        <v>707.8</v>
      </c>
      <c r="D45" s="55"/>
    </row>
    <row r="46" spans="1:13" x14ac:dyDescent="0.25">
      <c r="A46" s="69" t="s">
        <v>71</v>
      </c>
      <c r="B46" s="57">
        <f>B40*B43</f>
        <v>1.3453199999999998E-2</v>
      </c>
      <c r="C46" s="58">
        <f>ROUND($C$8*B46,2)</f>
        <v>78.569999999999993</v>
      </c>
      <c r="D46" s="55"/>
    </row>
    <row r="47" spans="1:13" x14ac:dyDescent="0.25">
      <c r="A47" s="14" t="s">
        <v>72</v>
      </c>
      <c r="B47" s="15">
        <f>SUM(B43:B44,B46)</f>
        <v>0.13465319999999997</v>
      </c>
      <c r="C47" s="60">
        <f>C45+C46</f>
        <v>786.36999999999989</v>
      </c>
      <c r="D47" s="55"/>
      <c r="E47" s="33"/>
    </row>
    <row r="48" spans="1:13" x14ac:dyDescent="0.25">
      <c r="A48" s="61"/>
      <c r="B48" s="62"/>
      <c r="C48" s="63"/>
      <c r="D48" s="55"/>
    </row>
    <row r="49" spans="1:7" x14ac:dyDescent="0.25">
      <c r="A49" s="14" t="s">
        <v>73</v>
      </c>
      <c r="B49" s="64" t="s">
        <v>37</v>
      </c>
      <c r="C49" s="16" t="s">
        <v>38</v>
      </c>
      <c r="D49" s="55"/>
    </row>
    <row r="50" spans="1:7" x14ac:dyDescent="0.25">
      <c r="A50" s="65" t="s">
        <v>74</v>
      </c>
      <c r="B50" s="57">
        <v>2.9999999999999997E-4</v>
      </c>
      <c r="C50" s="58">
        <f>ROUND($C$8*B50,2)</f>
        <v>1.75</v>
      </c>
      <c r="D50" s="55"/>
      <c r="G50" s="70"/>
    </row>
    <row r="51" spans="1:7" x14ac:dyDescent="0.25">
      <c r="A51" s="65" t="s">
        <v>75</v>
      </c>
      <c r="B51" s="57">
        <f>B40*B50</f>
        <v>4.4399999999999995E-5</v>
      </c>
      <c r="C51" s="58">
        <f>ROUND($C$8*B51,2)</f>
        <v>0.26</v>
      </c>
      <c r="D51" s="55"/>
    </row>
    <row r="52" spans="1:7" x14ac:dyDescent="0.25">
      <c r="A52" s="14" t="s">
        <v>76</v>
      </c>
      <c r="B52" s="15">
        <f>SUM(B50:B51)</f>
        <v>3.4439999999999997E-4</v>
      </c>
      <c r="C52" s="60">
        <f>SUM(C50:C51)</f>
        <v>2.0099999999999998</v>
      </c>
      <c r="D52" s="55"/>
      <c r="E52" s="33"/>
    </row>
    <row r="53" spans="1:7" x14ac:dyDescent="0.25">
      <c r="A53" s="61"/>
      <c r="B53" s="62"/>
      <c r="C53" s="63"/>
      <c r="D53" s="55"/>
    </row>
    <row r="54" spans="1:7" x14ac:dyDescent="0.25">
      <c r="A54" s="14" t="s">
        <v>77</v>
      </c>
      <c r="B54" s="64" t="s">
        <v>37</v>
      </c>
      <c r="C54" s="16" t="s">
        <v>38</v>
      </c>
      <c r="D54" s="55"/>
    </row>
    <row r="55" spans="1:7" x14ac:dyDescent="0.25">
      <c r="A55" s="65" t="s">
        <v>78</v>
      </c>
      <c r="B55" s="71">
        <v>8.3000000000000001E-3</v>
      </c>
      <c r="C55" s="58">
        <f t="shared" ref="C55:C60" si="3">ROUND($C$8*B55,2)</f>
        <v>48.47</v>
      </c>
      <c r="D55" s="55"/>
    </row>
    <row r="56" spans="1:7" x14ac:dyDescent="0.25">
      <c r="A56" s="65" t="s">
        <v>79</v>
      </c>
      <c r="B56" s="139">
        <f>B55*B37</f>
        <v>6.6399999999999999E-4</v>
      </c>
      <c r="C56" s="58">
        <f t="shared" si="3"/>
        <v>3.88</v>
      </c>
      <c r="D56" s="55"/>
    </row>
    <row r="57" spans="1:7" x14ac:dyDescent="0.25">
      <c r="A57" s="65" t="s">
        <v>80</v>
      </c>
      <c r="B57" s="140">
        <v>0</v>
      </c>
      <c r="C57" s="58">
        <f t="shared" si="3"/>
        <v>0</v>
      </c>
      <c r="D57" s="55"/>
    </row>
    <row r="58" spans="1:7" x14ac:dyDescent="0.25">
      <c r="A58" s="65" t="s">
        <v>81</v>
      </c>
      <c r="B58" s="71">
        <v>1.9400000000000001E-2</v>
      </c>
      <c r="C58" s="58">
        <f t="shared" si="3"/>
        <v>113.29</v>
      </c>
      <c r="D58" s="55"/>
    </row>
    <row r="59" spans="1:7" x14ac:dyDescent="0.25">
      <c r="A59" s="65" t="s">
        <v>82</v>
      </c>
      <c r="B59" s="71">
        <f>B58*B40</f>
        <v>2.8712E-3</v>
      </c>
      <c r="C59" s="58">
        <f t="shared" si="3"/>
        <v>16.77</v>
      </c>
      <c r="D59" s="55"/>
    </row>
    <row r="60" spans="1:7" x14ac:dyDescent="0.25">
      <c r="A60" s="65" t="s">
        <v>83</v>
      </c>
      <c r="B60" s="71">
        <v>4.36E-2</v>
      </c>
      <c r="C60" s="58">
        <f t="shared" si="3"/>
        <v>254.62</v>
      </c>
      <c r="D60" s="55"/>
    </row>
    <row r="61" spans="1:7" x14ac:dyDescent="0.25">
      <c r="A61" s="14" t="s">
        <v>84</v>
      </c>
      <c r="B61" s="15">
        <f>SUM(B55:B60)</f>
        <v>7.4835200000000004E-2</v>
      </c>
      <c r="C61" s="60">
        <f>SUM(C55:C60)</f>
        <v>437.03000000000003</v>
      </c>
      <c r="D61" s="55"/>
      <c r="E61" s="33"/>
    </row>
    <row r="62" spans="1:7" x14ac:dyDescent="0.25">
      <c r="A62" s="61"/>
      <c r="B62" s="62"/>
      <c r="C62" s="63"/>
      <c r="D62" s="55"/>
    </row>
    <row r="63" spans="1:7" x14ac:dyDescent="0.25">
      <c r="A63" s="14" t="s">
        <v>85</v>
      </c>
      <c r="B63" s="64" t="s">
        <v>37</v>
      </c>
      <c r="C63" s="16" t="s">
        <v>38</v>
      </c>
      <c r="D63" s="55"/>
    </row>
    <row r="64" spans="1:7" x14ac:dyDescent="0.25">
      <c r="A64" s="65" t="s">
        <v>86</v>
      </c>
      <c r="B64" s="71">
        <v>9.0899999999999995E-2</v>
      </c>
      <c r="C64" s="58">
        <f t="shared" ref="C64:C69" si="4">ROUND($C$8*B64,2)</f>
        <v>530.85</v>
      </c>
      <c r="D64" s="55"/>
    </row>
    <row r="65" spans="1:5" x14ac:dyDescent="0.25">
      <c r="A65" s="65" t="s">
        <v>87</v>
      </c>
      <c r="B65" s="71">
        <v>1.66E-2</v>
      </c>
      <c r="C65" s="58">
        <f t="shared" si="4"/>
        <v>96.94</v>
      </c>
      <c r="D65" s="55"/>
    </row>
    <row r="66" spans="1:5" x14ac:dyDescent="0.25">
      <c r="A66" s="65" t="s">
        <v>88</v>
      </c>
      <c r="B66" s="71">
        <v>2.0000000000000001E-4</v>
      </c>
      <c r="C66" s="58">
        <f t="shared" si="4"/>
        <v>1.17</v>
      </c>
      <c r="D66" s="55"/>
    </row>
    <row r="67" spans="1:5" x14ac:dyDescent="0.25">
      <c r="A67" s="65" t="s">
        <v>89</v>
      </c>
      <c r="B67" s="71">
        <v>0.01</v>
      </c>
      <c r="C67" s="58">
        <f t="shared" si="4"/>
        <v>58.4</v>
      </c>
      <c r="D67" s="55"/>
    </row>
    <row r="68" spans="1:5" x14ac:dyDescent="0.25">
      <c r="A68" s="65" t="s">
        <v>90</v>
      </c>
      <c r="B68" s="71">
        <v>3.0000000000000001E-3</v>
      </c>
      <c r="C68" s="58">
        <f t="shared" si="4"/>
        <v>17.52</v>
      </c>
      <c r="D68" s="55"/>
    </row>
    <row r="69" spans="1:5" x14ac:dyDescent="0.25">
      <c r="A69" s="65" t="s">
        <v>91</v>
      </c>
      <c r="B69" s="71">
        <v>0</v>
      </c>
      <c r="C69" s="58">
        <f t="shared" si="4"/>
        <v>0</v>
      </c>
      <c r="D69" s="55"/>
    </row>
    <row r="70" spans="1:5" x14ac:dyDescent="0.25">
      <c r="A70" s="181" t="s">
        <v>70</v>
      </c>
      <c r="B70" s="182"/>
      <c r="C70" s="68">
        <f>SUM(C64:C69)</f>
        <v>704.87999999999988</v>
      </c>
      <c r="D70" s="55"/>
      <c r="E70" s="33"/>
    </row>
    <row r="71" spans="1:5" x14ac:dyDescent="0.25">
      <c r="A71" s="69" t="s">
        <v>92</v>
      </c>
      <c r="B71" s="57">
        <f>SUM(B64:B69)*B40</f>
        <v>1.78636E-2</v>
      </c>
      <c r="C71" s="58">
        <f>ROUND($C$8*B71,2)</f>
        <v>104.32</v>
      </c>
      <c r="D71" s="55"/>
    </row>
    <row r="72" spans="1:5" x14ac:dyDescent="0.25">
      <c r="A72" s="14" t="s">
        <v>93</v>
      </c>
      <c r="B72" s="15">
        <f>SUM(B64:B69,B71)</f>
        <v>0.13856360000000001</v>
      </c>
      <c r="C72" s="60">
        <f>SUM(C64:C69)+C71</f>
        <v>809.19999999999982</v>
      </c>
      <c r="D72" s="55"/>
      <c r="E72" s="33"/>
    </row>
    <row r="73" spans="1:5" x14ac:dyDescent="0.25">
      <c r="A73" s="61"/>
      <c r="B73" s="62"/>
      <c r="C73" s="63"/>
      <c r="D73" s="55"/>
    </row>
    <row r="74" spans="1:5" s="52" customFormat="1" x14ac:dyDescent="0.25">
      <c r="A74" s="14" t="s">
        <v>94</v>
      </c>
      <c r="B74" s="64">
        <f>SUM(B40,B47,B52,B61,B72)</f>
        <v>0.49639639999999996</v>
      </c>
      <c r="C74" s="16">
        <f>SUM(C40,C47,C52,C61,C72)</f>
        <v>2898.9199999999996</v>
      </c>
      <c r="D74" s="72"/>
    </row>
    <row r="75" spans="1:5" x14ac:dyDescent="0.25">
      <c r="A75" s="73"/>
      <c r="B75" s="74"/>
      <c r="C75" s="75"/>
    </row>
    <row r="76" spans="1:5" x14ac:dyDescent="0.25">
      <c r="A76" s="174" t="s">
        <v>95</v>
      </c>
      <c r="B76" s="174"/>
      <c r="C76" s="174"/>
    </row>
    <row r="77" spans="1:5" x14ac:dyDescent="0.25">
      <c r="A77" s="42" t="s">
        <v>96</v>
      </c>
      <c r="B77" s="15" t="s">
        <v>37</v>
      </c>
      <c r="C77" s="16" t="s">
        <v>38</v>
      </c>
    </row>
    <row r="78" spans="1:5" x14ac:dyDescent="0.25">
      <c r="A78" s="65" t="s">
        <v>97</v>
      </c>
      <c r="B78" s="18">
        <f>B40</f>
        <v>0.14799999999999999</v>
      </c>
      <c r="C78" s="68">
        <f>ROUND($C$8*B78,2)</f>
        <v>864.31</v>
      </c>
    </row>
    <row r="79" spans="1:5" x14ac:dyDescent="0.25">
      <c r="A79" s="65" t="s">
        <v>98</v>
      </c>
      <c r="B79" s="18">
        <f>B47</f>
        <v>0.13465319999999997</v>
      </c>
      <c r="C79" s="68">
        <f t="shared" ref="C79:C83" si="5">ROUND($C$8*B79,2)</f>
        <v>786.37</v>
      </c>
    </row>
    <row r="80" spans="1:5" x14ac:dyDescent="0.25">
      <c r="A80" s="65" t="s">
        <v>99</v>
      </c>
      <c r="B80" s="18">
        <f>B52</f>
        <v>3.4439999999999997E-4</v>
      </c>
      <c r="C80" s="68">
        <f t="shared" si="5"/>
        <v>2.0099999999999998</v>
      </c>
    </row>
    <row r="81" spans="1:7" x14ac:dyDescent="0.25">
      <c r="A81" s="65" t="s">
        <v>100</v>
      </c>
      <c r="B81" s="18">
        <f>B61</f>
        <v>7.4835200000000004E-2</v>
      </c>
      <c r="C81" s="68">
        <f t="shared" si="5"/>
        <v>437.03</v>
      </c>
    </row>
    <row r="82" spans="1:7" x14ac:dyDescent="0.25">
      <c r="A82" s="65" t="s">
        <v>101</v>
      </c>
      <c r="B82" s="18">
        <f>B72</f>
        <v>0.13856360000000001</v>
      </c>
      <c r="C82" s="68">
        <f t="shared" si="5"/>
        <v>809.2</v>
      </c>
    </row>
    <row r="83" spans="1:7" x14ac:dyDescent="0.25">
      <c r="A83" s="65" t="s">
        <v>102</v>
      </c>
      <c r="B83" s="18">
        <v>0</v>
      </c>
      <c r="C83" s="68">
        <f t="shared" si="5"/>
        <v>0</v>
      </c>
    </row>
    <row r="84" spans="1:7" x14ac:dyDescent="0.25">
      <c r="A84" s="14" t="s">
        <v>103</v>
      </c>
      <c r="B84" s="15">
        <f>SUM(B78:B83)</f>
        <v>0.49639639999999996</v>
      </c>
      <c r="C84" s="16">
        <f>SUM(C78:C83)</f>
        <v>2898.92</v>
      </c>
    </row>
    <row r="85" spans="1:7" x14ac:dyDescent="0.25">
      <c r="A85" s="76"/>
      <c r="B85" s="62"/>
      <c r="C85" s="63"/>
    </row>
    <row r="86" spans="1:7" x14ac:dyDescent="0.25">
      <c r="A86" s="165" t="s">
        <v>104</v>
      </c>
      <c r="B86" s="165"/>
      <c r="C86" s="16">
        <f>C8+C20+C28+C84</f>
        <v>10005.954000000002</v>
      </c>
    </row>
    <row r="87" spans="1:7" x14ac:dyDescent="0.25">
      <c r="A87" s="77"/>
      <c r="B87" s="77"/>
      <c r="C87" s="25"/>
      <c r="E87" s="33"/>
    </row>
    <row r="88" spans="1:7" x14ac:dyDescent="0.25">
      <c r="A88" s="168" t="s">
        <v>105</v>
      </c>
      <c r="B88" s="169"/>
      <c r="C88" s="170"/>
      <c r="E88" s="33"/>
    </row>
    <row r="89" spans="1:7" x14ac:dyDescent="0.25">
      <c r="A89" s="78" t="s">
        <v>106</v>
      </c>
      <c r="B89" s="64" t="s">
        <v>37</v>
      </c>
      <c r="C89" s="79" t="s">
        <v>38</v>
      </c>
      <c r="E89" s="55"/>
    </row>
    <row r="90" spans="1:7" x14ac:dyDescent="0.25">
      <c r="A90" s="56" t="s">
        <v>107</v>
      </c>
      <c r="B90" s="57">
        <v>6.7679333466776903E-2</v>
      </c>
      <c r="C90" s="58">
        <f>ROUND($C$86*B90,2)</f>
        <v>677.2</v>
      </c>
    </row>
    <row r="91" spans="1:7" x14ac:dyDescent="0.25">
      <c r="A91" s="56" t="s">
        <v>108</v>
      </c>
      <c r="B91" s="57">
        <v>0.04</v>
      </c>
      <c r="C91" s="58">
        <f>ROUND($C$86*B91,2)</f>
        <v>400.24</v>
      </c>
      <c r="E91" s="175"/>
      <c r="F91" s="176"/>
    </row>
    <row r="92" spans="1:7" x14ac:dyDescent="0.25">
      <c r="A92" s="177" t="s">
        <v>109</v>
      </c>
      <c r="B92" s="178"/>
      <c r="C92" s="36">
        <f>ROUND(SUM(C90:C91),2)</f>
        <v>1077.44</v>
      </c>
      <c r="E92" s="175"/>
      <c r="F92" s="176"/>
    </row>
    <row r="93" spans="1:7" x14ac:dyDescent="0.25">
      <c r="A93" s="179"/>
      <c r="B93" s="180"/>
      <c r="C93" s="25"/>
      <c r="E93" s="175"/>
      <c r="F93" s="176"/>
    </row>
    <row r="94" spans="1:7" x14ac:dyDescent="0.25">
      <c r="A94" s="177" t="s">
        <v>110</v>
      </c>
      <c r="B94" s="178"/>
      <c r="C94" s="36">
        <f>'Custos do Time'!I9</f>
        <v>269.09871154699829</v>
      </c>
      <c r="E94" s="175"/>
      <c r="F94" s="176"/>
    </row>
    <row r="95" spans="1:7" x14ac:dyDescent="0.25">
      <c r="A95" s="81"/>
      <c r="B95" s="80"/>
      <c r="C95" s="25"/>
      <c r="E95" s="82"/>
      <c r="F95" s="83"/>
    </row>
    <row r="96" spans="1:7" x14ac:dyDescent="0.25">
      <c r="A96" s="168" t="s">
        <v>111</v>
      </c>
      <c r="B96" s="169"/>
      <c r="C96" s="170"/>
      <c r="E96" s="33"/>
      <c r="F96" s="33"/>
      <c r="G96" s="33"/>
    </row>
    <row r="97" spans="1:11" x14ac:dyDescent="0.25">
      <c r="A97" s="78" t="s">
        <v>112</v>
      </c>
      <c r="B97" s="64" t="s">
        <v>37</v>
      </c>
      <c r="C97" s="79" t="s">
        <v>38</v>
      </c>
      <c r="E97" s="33"/>
      <c r="F97" s="33"/>
      <c r="G97" s="33"/>
    </row>
    <row r="98" spans="1:11" x14ac:dyDescent="0.25">
      <c r="A98" s="20" t="s">
        <v>113</v>
      </c>
      <c r="B98" s="18">
        <v>0.02</v>
      </c>
      <c r="C98" s="84">
        <f>ROUND($C$105*B98/$B$102,2)</f>
        <v>252.7</v>
      </c>
      <c r="E98" s="85"/>
      <c r="F98" s="33"/>
      <c r="G98" s="33"/>
      <c r="H98" s="33"/>
      <c r="I98" s="33"/>
      <c r="J98" s="33"/>
    </row>
    <row r="99" spans="1:11" x14ac:dyDescent="0.25">
      <c r="A99" s="20" t="s">
        <v>114</v>
      </c>
      <c r="B99" s="18">
        <v>6.4999999999999997E-3</v>
      </c>
      <c r="C99" s="84">
        <f>ROUND($C$105*B99/$B$102,2)</f>
        <v>82.13</v>
      </c>
      <c r="F99" s="33"/>
      <c r="G99" s="33"/>
      <c r="H99" s="33"/>
      <c r="I99" s="33"/>
      <c r="J99" s="33"/>
    </row>
    <row r="100" spans="1:11" x14ac:dyDescent="0.25">
      <c r="A100" s="20" t="s">
        <v>115</v>
      </c>
      <c r="B100" s="18">
        <v>0.03</v>
      </c>
      <c r="C100" s="84">
        <f>ROUND($C$105*B100/$B$102,2)</f>
        <v>379.05</v>
      </c>
      <c r="F100" s="33"/>
      <c r="G100" s="33"/>
      <c r="H100" s="33"/>
      <c r="I100" s="33"/>
      <c r="J100" s="33"/>
    </row>
    <row r="101" spans="1:11" ht="30" x14ac:dyDescent="0.25">
      <c r="A101" s="86" t="s">
        <v>116</v>
      </c>
      <c r="B101" s="18">
        <v>4.4999999999999998E-2</v>
      </c>
      <c r="C101" s="87">
        <f>ROUND($C$105*B101/$B$102,2)</f>
        <v>568.57000000000005</v>
      </c>
      <c r="F101" s="33"/>
      <c r="G101" s="33"/>
      <c r="H101" s="33"/>
      <c r="I101" s="33"/>
      <c r="J101" s="33"/>
    </row>
    <row r="102" spans="1:11" x14ac:dyDescent="0.25">
      <c r="A102" s="88" t="s">
        <v>117</v>
      </c>
      <c r="B102" s="89">
        <f>ROUND(SUM(B98:B101),4)</f>
        <v>0.10150000000000001</v>
      </c>
      <c r="C102" s="90">
        <f>ROUND($C$105*B102/$B$102,2)</f>
        <v>1282.45</v>
      </c>
      <c r="E102" s="91"/>
      <c r="F102" s="33"/>
      <c r="G102" s="33"/>
      <c r="H102" s="33"/>
      <c r="I102" s="33"/>
      <c r="J102" s="33"/>
    </row>
    <row r="103" spans="1:11" s="33" customFormat="1" x14ac:dyDescent="0.25">
      <c r="A103" s="92"/>
      <c r="B103" s="93"/>
      <c r="C103" s="94"/>
      <c r="D103" s="45"/>
      <c r="E103" s="11"/>
      <c r="H103" s="11"/>
      <c r="I103" s="11"/>
      <c r="J103" s="11"/>
    </row>
    <row r="104" spans="1:11" s="33" customFormat="1" x14ac:dyDescent="0.25">
      <c r="A104" s="172" t="s">
        <v>118</v>
      </c>
      <c r="B104" s="173"/>
      <c r="C104" s="95">
        <f>ROUND(C86+C92+C94,2)</f>
        <v>11352.49</v>
      </c>
      <c r="E104" s="11"/>
      <c r="F104" s="11"/>
      <c r="G104" s="11"/>
      <c r="H104" s="11"/>
      <c r="I104" s="11"/>
      <c r="J104" s="11"/>
      <c r="K104" s="11"/>
    </row>
    <row r="105" spans="1:11" x14ac:dyDescent="0.25">
      <c r="A105" s="166" t="s">
        <v>119</v>
      </c>
      <c r="B105" s="167"/>
      <c r="C105" s="16">
        <f>ROUND(C106-C104,2)</f>
        <v>1282.45</v>
      </c>
      <c r="E105" s="91"/>
      <c r="G105" s="33"/>
      <c r="H105" s="33"/>
      <c r="I105" s="33"/>
      <c r="J105" s="33"/>
    </row>
    <row r="106" spans="1:11" s="33" customFormat="1" x14ac:dyDescent="0.25">
      <c r="A106" s="165" t="s">
        <v>120</v>
      </c>
      <c r="B106" s="165"/>
      <c r="C106" s="16">
        <f>ROUND(C104/(1-$B$102),2)</f>
        <v>12634.94</v>
      </c>
      <c r="D106" s="45"/>
    </row>
    <row r="107" spans="1:11" s="33" customFormat="1" x14ac:dyDescent="0.25">
      <c r="A107" s="96"/>
      <c r="B107" s="81"/>
      <c r="C107" s="97"/>
    </row>
    <row r="108" spans="1:11" s="33" customFormat="1" x14ac:dyDescent="0.25">
      <c r="A108" s="168" t="s">
        <v>121</v>
      </c>
      <c r="B108" s="169"/>
      <c r="C108" s="170"/>
    </row>
    <row r="109" spans="1:11" s="33" customFormat="1" x14ac:dyDescent="0.25">
      <c r="A109" s="171" t="s">
        <v>122</v>
      </c>
      <c r="B109" s="171"/>
      <c r="C109" s="22">
        <f>ROUND(C106,2)</f>
        <v>12634.94</v>
      </c>
    </row>
    <row r="110" spans="1:11" x14ac:dyDescent="0.25">
      <c r="A110" s="23"/>
      <c r="B110" s="81"/>
      <c r="C110" s="97"/>
    </row>
    <row r="111" spans="1:11" hidden="1" x14ac:dyDescent="0.25">
      <c r="A111" s="165" t="s">
        <v>123</v>
      </c>
      <c r="B111" s="165"/>
      <c r="C111" s="68" t="e">
        <f>ROUND(#REF!/C8,2)</f>
        <v>#REF!</v>
      </c>
    </row>
    <row r="112" spans="1:11" x14ac:dyDescent="0.25">
      <c r="A112" s="165" t="s">
        <v>124</v>
      </c>
      <c r="B112" s="165"/>
      <c r="C112" s="68">
        <f>ROUND(C109/C10,2)</f>
        <v>78.97</v>
      </c>
    </row>
    <row r="113" spans="1:3" hidden="1" x14ac:dyDescent="0.25">
      <c r="A113" s="165" t="s">
        <v>125</v>
      </c>
      <c r="B113" s="165"/>
      <c r="C113" s="68" t="e">
        <f>#REF!</f>
        <v>#REF!</v>
      </c>
    </row>
    <row r="114" spans="1:3" x14ac:dyDescent="0.25">
      <c r="C114" s="97"/>
    </row>
  </sheetData>
  <mergeCells count="30">
    <mergeCell ref="A108:C108"/>
    <mergeCell ref="A109:B109"/>
    <mergeCell ref="A111:B111"/>
    <mergeCell ref="A112:B112"/>
    <mergeCell ref="A113:B113"/>
    <mergeCell ref="A106:B106"/>
    <mergeCell ref="A86:B86"/>
    <mergeCell ref="A88:C88"/>
    <mergeCell ref="E91:F91"/>
    <mergeCell ref="A92:B92"/>
    <mergeCell ref="E92:F92"/>
    <mergeCell ref="A93:B93"/>
    <mergeCell ref="E93:F93"/>
    <mergeCell ref="A94:B94"/>
    <mergeCell ref="E94:F94"/>
    <mergeCell ref="A96:C96"/>
    <mergeCell ref="A104:B104"/>
    <mergeCell ref="A105:B105"/>
    <mergeCell ref="A76:C76"/>
    <mergeCell ref="A1:C1"/>
    <mergeCell ref="A2:C2"/>
    <mergeCell ref="A4:C4"/>
    <mergeCell ref="A8:B8"/>
    <mergeCell ref="A13:C13"/>
    <mergeCell ref="A20:B20"/>
    <mergeCell ref="A22:C22"/>
    <mergeCell ref="A28:B28"/>
    <mergeCell ref="A30:C30"/>
    <mergeCell ref="A45:B45"/>
    <mergeCell ref="A70:B70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3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M114"/>
  <sheetViews>
    <sheetView showGridLines="0" view="pageBreakPreview" zoomScaleNormal="80" zoomScaleSheetLayoutView="100" workbookViewId="0">
      <selection activeCell="E94" sqref="E94:F94"/>
    </sheetView>
  </sheetViews>
  <sheetFormatPr defaultColWidth="9.140625" defaultRowHeight="15" x14ac:dyDescent="0.25"/>
  <cols>
    <col min="1" max="1" width="75.85546875" style="98" customWidth="1"/>
    <col min="2" max="2" width="15.7109375" style="99" customWidth="1"/>
    <col min="3" max="3" width="18.7109375" style="100" customWidth="1"/>
    <col min="4" max="4" width="5.7109375" style="11" customWidth="1"/>
    <col min="5" max="5" width="10" style="11" customWidth="1"/>
    <col min="6" max="6" width="11.7109375" style="11" customWidth="1"/>
    <col min="7" max="7" width="15" style="11" customWidth="1"/>
    <col min="8" max="8" width="12.7109375" style="11" customWidth="1"/>
    <col min="9" max="9" width="13.140625" style="11" bestFit="1" customWidth="1"/>
    <col min="10" max="10" width="12.7109375" style="11" customWidth="1"/>
    <col min="11" max="11" width="13.140625" style="11" bestFit="1" customWidth="1"/>
    <col min="12" max="16384" width="9.140625" style="11"/>
  </cols>
  <sheetData>
    <row r="1" spans="1:13" s="10" customFormat="1" ht="18.75" x14ac:dyDescent="0.25">
      <c r="A1" s="186" t="s">
        <v>141</v>
      </c>
      <c r="B1" s="186"/>
      <c r="C1" s="186"/>
    </row>
    <row r="2" spans="1:13" ht="18.600000000000001" customHeight="1" x14ac:dyDescent="0.25">
      <c r="A2" s="187" t="s">
        <v>128</v>
      </c>
      <c r="B2" s="187"/>
      <c r="C2" s="187"/>
    </row>
    <row r="3" spans="1:13" x14ac:dyDescent="0.25">
      <c r="A3" s="12"/>
      <c r="B3" s="13"/>
      <c r="C3" s="13"/>
    </row>
    <row r="4" spans="1:13" x14ac:dyDescent="0.25">
      <c r="A4" s="174" t="s">
        <v>35</v>
      </c>
      <c r="B4" s="174"/>
      <c r="C4" s="174"/>
    </row>
    <row r="5" spans="1:13" x14ac:dyDescent="0.25">
      <c r="A5" s="14" t="s">
        <v>36</v>
      </c>
      <c r="B5" s="15" t="s">
        <v>37</v>
      </c>
      <c r="C5" s="16" t="s">
        <v>38</v>
      </c>
    </row>
    <row r="6" spans="1:13" x14ac:dyDescent="0.25">
      <c r="A6" s="17" t="s">
        <v>39</v>
      </c>
      <c r="B6" s="18">
        <v>1</v>
      </c>
      <c r="C6" s="114">
        <v>4146.88</v>
      </c>
      <c r="G6" s="19"/>
    </row>
    <row r="7" spans="1:13" x14ac:dyDescent="0.25">
      <c r="A7" s="20" t="s">
        <v>153</v>
      </c>
      <c r="B7" s="18">
        <v>0</v>
      </c>
      <c r="C7" s="21">
        <f>ROUND(B7*C6,2)</f>
        <v>0</v>
      </c>
      <c r="E7" s="19"/>
    </row>
    <row r="8" spans="1:13" x14ac:dyDescent="0.25">
      <c r="A8" s="177" t="s">
        <v>41</v>
      </c>
      <c r="B8" s="183"/>
      <c r="C8" s="22">
        <f>C6+C7</f>
        <v>4146.88</v>
      </c>
    </row>
    <row r="9" spans="1:13" x14ac:dyDescent="0.25">
      <c r="A9" s="23"/>
      <c r="B9" s="80"/>
      <c r="C9" s="25"/>
    </row>
    <row r="10" spans="1:13" x14ac:dyDescent="0.25">
      <c r="A10" s="26" t="s">
        <v>42</v>
      </c>
      <c r="B10" s="27"/>
      <c r="C10" s="28">
        <v>160</v>
      </c>
    </row>
    <row r="11" spans="1:13" x14ac:dyDescent="0.25">
      <c r="A11" s="26" t="s">
        <v>43</v>
      </c>
      <c r="B11" s="27"/>
      <c r="C11" s="28">
        <f>ROUND(C8/C10,2)</f>
        <v>25.92</v>
      </c>
    </row>
    <row r="12" spans="1:13" x14ac:dyDescent="0.25">
      <c r="A12" s="23"/>
      <c r="B12" s="80"/>
      <c r="C12" s="25"/>
    </row>
    <row r="13" spans="1:13" x14ac:dyDescent="0.25">
      <c r="A13" s="184" t="s">
        <v>44</v>
      </c>
      <c r="B13" s="185"/>
      <c r="C13" s="185"/>
      <c r="D13" s="33"/>
      <c r="E13" s="107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A14" s="14" t="s">
        <v>45</v>
      </c>
      <c r="B14" s="15" t="s">
        <v>37</v>
      </c>
      <c r="C14" s="101" t="s">
        <v>38</v>
      </c>
      <c r="D14" s="33"/>
      <c r="E14" s="108"/>
      <c r="F14" s="109"/>
      <c r="G14" s="33"/>
      <c r="H14" s="33"/>
      <c r="I14" s="33"/>
      <c r="J14" s="33"/>
      <c r="K14" s="33"/>
      <c r="L14" s="33"/>
      <c r="M14" s="33"/>
    </row>
    <row r="15" spans="1:13" x14ac:dyDescent="0.25">
      <c r="A15" s="29" t="s">
        <v>46</v>
      </c>
      <c r="B15" s="30">
        <f>C15/$C$8</f>
        <v>0</v>
      </c>
      <c r="C15" s="102"/>
      <c r="D15" s="45"/>
      <c r="E15" s="25"/>
      <c r="F15" s="110"/>
      <c r="G15" s="33"/>
      <c r="H15" s="32"/>
      <c r="I15" s="33"/>
      <c r="J15" s="33"/>
      <c r="K15" s="33"/>
      <c r="L15" s="33"/>
      <c r="M15" s="33"/>
    </row>
    <row r="16" spans="1:13" x14ac:dyDescent="0.25">
      <c r="A16" s="29" t="s">
        <v>47</v>
      </c>
      <c r="B16" s="30">
        <f>C16/$C$8</f>
        <v>0.12394511054093679</v>
      </c>
      <c r="C16" s="102">
        <f>(26.46*21)*(1-IF(C6&gt;=6851.4,20%,IF(C6&gt;=5592.97,15%,IF(C6&gt;=4474.37,10%,IF(C6&gt;=3076.13,7.5%,IF(C6&gt;=1817.71,5%,IF(C6&lt;=1817.7,0%)))))))</f>
        <v>513.9855</v>
      </c>
      <c r="D16" s="33"/>
      <c r="E16" s="138"/>
      <c r="F16" s="111"/>
      <c r="G16" s="33"/>
      <c r="H16" s="33"/>
      <c r="I16" s="33"/>
      <c r="J16" s="33"/>
      <c r="K16" s="44"/>
      <c r="L16" s="33"/>
      <c r="M16" s="33"/>
    </row>
    <row r="17" spans="1:13" x14ac:dyDescent="0.25">
      <c r="A17" s="29" t="s">
        <v>48</v>
      </c>
      <c r="B17" s="30">
        <f t="shared" ref="B17:B19" si="0">C17/$C$8</f>
        <v>4.9531213828227484E-2</v>
      </c>
      <c r="C17" s="102">
        <v>205.4</v>
      </c>
      <c r="D17" s="33"/>
      <c r="E17" s="138"/>
      <c r="F17" s="33"/>
      <c r="G17" s="45"/>
      <c r="H17" s="32"/>
      <c r="I17" s="32"/>
      <c r="J17" s="32"/>
      <c r="K17" s="32"/>
      <c r="L17" s="33"/>
      <c r="M17" s="33"/>
    </row>
    <row r="18" spans="1:13" x14ac:dyDescent="0.25">
      <c r="A18" s="29" t="s">
        <v>149</v>
      </c>
      <c r="B18" s="30">
        <v>0.1</v>
      </c>
      <c r="C18" s="102">
        <f>B18*C6</f>
        <v>414.68800000000005</v>
      </c>
      <c r="D18" s="33"/>
      <c r="E18" s="138"/>
      <c r="F18" s="33"/>
      <c r="G18" s="35"/>
      <c r="H18" s="34"/>
      <c r="I18" s="34"/>
      <c r="J18" s="35"/>
      <c r="K18" s="34"/>
      <c r="L18" s="33"/>
      <c r="M18" s="33"/>
    </row>
    <row r="19" spans="1:13" x14ac:dyDescent="0.25">
      <c r="A19" s="29" t="s">
        <v>49</v>
      </c>
      <c r="B19" s="30">
        <f t="shared" si="0"/>
        <v>1.3021838104792037E-3</v>
      </c>
      <c r="C19" s="102">
        <v>5.4</v>
      </c>
      <c r="D19" s="33"/>
      <c r="E19" s="138"/>
      <c r="F19" s="35"/>
      <c r="G19" s="38"/>
      <c r="H19" s="38"/>
      <c r="I19" s="38"/>
      <c r="J19" s="38"/>
      <c r="K19" s="38"/>
      <c r="L19" s="33"/>
      <c r="M19" s="33"/>
    </row>
    <row r="20" spans="1:13" x14ac:dyDescent="0.25">
      <c r="A20" s="177" t="s">
        <v>50</v>
      </c>
      <c r="B20" s="178"/>
      <c r="C20" s="104">
        <f>SUM(C15:C19)</f>
        <v>1139.4735000000001</v>
      </c>
      <c r="D20" s="33"/>
      <c r="E20" s="33"/>
      <c r="F20" s="37"/>
      <c r="G20" s="112"/>
      <c r="H20" s="38"/>
      <c r="I20" s="38"/>
      <c r="J20" s="38"/>
      <c r="K20" s="38"/>
      <c r="L20" s="33"/>
      <c r="M20" s="33"/>
    </row>
    <row r="21" spans="1:13" x14ac:dyDescent="0.25">
      <c r="A21" s="39"/>
      <c r="B21" s="40"/>
      <c r="C21" s="41"/>
      <c r="D21" s="33"/>
      <c r="E21" s="33"/>
      <c r="F21" s="35"/>
      <c r="G21" s="38"/>
      <c r="H21" s="38"/>
      <c r="I21" s="38"/>
      <c r="J21" s="38"/>
      <c r="K21" s="38"/>
      <c r="L21" s="33"/>
      <c r="M21" s="33"/>
    </row>
    <row r="22" spans="1:13" x14ac:dyDescent="0.25">
      <c r="A22" s="174" t="s">
        <v>51</v>
      </c>
      <c r="B22" s="174"/>
      <c r="C22" s="168"/>
      <c r="D22" s="33"/>
      <c r="E22" s="33"/>
      <c r="F22" s="35"/>
      <c r="G22" s="38"/>
      <c r="H22" s="38"/>
      <c r="I22" s="38"/>
      <c r="J22" s="38"/>
      <c r="K22" s="38"/>
      <c r="L22" s="33"/>
      <c r="M22" s="33"/>
    </row>
    <row r="23" spans="1:13" x14ac:dyDescent="0.25">
      <c r="A23" s="42" t="s">
        <v>45</v>
      </c>
      <c r="B23" s="43" t="s">
        <v>37</v>
      </c>
      <c r="C23" s="105" t="s">
        <v>38</v>
      </c>
      <c r="D23" s="33"/>
      <c r="E23" s="33"/>
      <c r="F23" s="33"/>
      <c r="G23" s="33"/>
      <c r="H23" s="32"/>
      <c r="I23" s="38"/>
      <c r="J23" s="38"/>
      <c r="K23" s="38"/>
      <c r="L23" s="33"/>
      <c r="M23" s="33"/>
    </row>
    <row r="24" spans="1:13" x14ac:dyDescent="0.25">
      <c r="A24" s="29" t="s">
        <v>52</v>
      </c>
      <c r="B24" s="30">
        <f>C24/$C$8</f>
        <v>0</v>
      </c>
      <c r="C24" s="103"/>
      <c r="D24" s="33"/>
      <c r="E24" s="33"/>
      <c r="F24" s="33"/>
      <c r="G24" s="33"/>
      <c r="H24" s="33"/>
      <c r="I24" s="44"/>
      <c r="J24" s="33"/>
      <c r="K24" s="33"/>
      <c r="L24" s="33"/>
      <c r="M24" s="33"/>
    </row>
    <row r="25" spans="1:13" x14ac:dyDescent="0.25">
      <c r="A25" s="29" t="s">
        <v>53</v>
      </c>
      <c r="B25" s="30">
        <f t="shared" ref="B25:B27" si="1">C25/$C$8</f>
        <v>0</v>
      </c>
      <c r="C25" s="103">
        <v>0</v>
      </c>
      <c r="D25" s="33"/>
      <c r="E25" s="138"/>
      <c r="F25" s="34"/>
      <c r="G25" s="45"/>
      <c r="H25" s="45"/>
      <c r="I25" s="45"/>
      <c r="J25" s="45"/>
      <c r="K25" s="32"/>
      <c r="L25" s="33"/>
      <c r="M25" s="33"/>
    </row>
    <row r="26" spans="1:13" x14ac:dyDescent="0.25">
      <c r="A26" s="46" t="str">
        <f>"C - Treinamento e/ou reciclagem / - (" &amp; TEXT(B26,"0,00%") &amp; ") sobre o salário"</f>
        <v>C - Treinamento e/ou reciclagem / - (0,00%) sobre o salário</v>
      </c>
      <c r="B26" s="30">
        <f t="shared" si="1"/>
        <v>0</v>
      </c>
      <c r="C26" s="103"/>
      <c r="D26" s="33"/>
      <c r="E26" s="33"/>
      <c r="F26" s="34"/>
      <c r="G26" s="35"/>
      <c r="H26" s="34"/>
      <c r="I26" s="35"/>
      <c r="J26" s="45"/>
      <c r="K26" s="32"/>
      <c r="L26" s="33"/>
      <c r="M26" s="33"/>
    </row>
    <row r="27" spans="1:13" x14ac:dyDescent="0.25">
      <c r="A27" s="47" t="s">
        <v>54</v>
      </c>
      <c r="B27" s="30">
        <f t="shared" si="1"/>
        <v>0</v>
      </c>
      <c r="C27" s="103"/>
      <c r="D27" s="45"/>
      <c r="E27" s="33"/>
      <c r="F27" s="34"/>
      <c r="G27" s="38"/>
      <c r="H27" s="38"/>
      <c r="I27" s="38"/>
      <c r="J27" s="33"/>
      <c r="K27" s="33"/>
      <c r="L27" s="33"/>
      <c r="M27" s="33"/>
    </row>
    <row r="28" spans="1:13" x14ac:dyDescent="0.25">
      <c r="A28" s="177" t="s">
        <v>55</v>
      </c>
      <c r="B28" s="178"/>
      <c r="C28" s="104">
        <f>SUM(C24:C27)</f>
        <v>0</v>
      </c>
      <c r="D28" s="33"/>
      <c r="E28" s="33"/>
      <c r="F28" s="34"/>
      <c r="G28" s="48"/>
      <c r="H28" s="48"/>
      <c r="I28" s="48"/>
      <c r="J28" s="48"/>
      <c r="K28" s="48"/>
      <c r="L28" s="33"/>
      <c r="M28" s="33"/>
    </row>
    <row r="29" spans="1:13" x14ac:dyDescent="0.25">
      <c r="A29" s="49"/>
      <c r="B29" s="50"/>
      <c r="C29" s="51"/>
      <c r="D29" s="33"/>
      <c r="E29" s="33"/>
      <c r="F29" s="33"/>
      <c r="G29" s="32"/>
      <c r="H29" s="32"/>
      <c r="I29" s="113"/>
      <c r="J29" s="32"/>
      <c r="K29" s="32"/>
      <c r="L29" s="33"/>
      <c r="M29" s="33"/>
    </row>
    <row r="30" spans="1:13" x14ac:dyDescent="0.25">
      <c r="A30" s="174" t="s">
        <v>56</v>
      </c>
      <c r="B30" s="174"/>
      <c r="C30" s="168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s="52" customFormat="1" x14ac:dyDescent="0.25">
      <c r="A31" s="42" t="s">
        <v>57</v>
      </c>
      <c r="B31" s="43" t="s">
        <v>37</v>
      </c>
      <c r="C31" s="105" t="s">
        <v>38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1:13" ht="30" x14ac:dyDescent="0.25">
      <c r="A32" s="53" t="s">
        <v>58</v>
      </c>
      <c r="B32" s="54">
        <v>0</v>
      </c>
      <c r="C32" s="106">
        <f t="shared" ref="C32:C39" si="2">ROUND($C$8*B32,2)</f>
        <v>0</v>
      </c>
      <c r="D32" s="55"/>
      <c r="E32" s="33"/>
      <c r="F32" s="33"/>
      <c r="G32" s="33"/>
      <c r="H32" s="33"/>
      <c r="I32" s="33"/>
      <c r="J32" s="33"/>
      <c r="K32" s="33"/>
      <c r="L32" s="33"/>
      <c r="M32" s="33"/>
    </row>
    <row r="33" spans="1:13" x14ac:dyDescent="0.25">
      <c r="A33" s="56" t="s">
        <v>59</v>
      </c>
      <c r="B33" s="57">
        <v>1.4999999999999999E-2</v>
      </c>
      <c r="C33" s="31">
        <f t="shared" si="2"/>
        <v>62.2</v>
      </c>
      <c r="D33" s="55"/>
      <c r="E33" s="33"/>
      <c r="F33" s="33"/>
      <c r="G33" s="33"/>
      <c r="H33" s="33"/>
      <c r="I33" s="33"/>
      <c r="J33" s="33"/>
      <c r="K33" s="33"/>
      <c r="L33" s="33"/>
      <c r="M33" s="33"/>
    </row>
    <row r="34" spans="1:13" x14ac:dyDescent="0.25">
      <c r="A34" s="56" t="s">
        <v>60</v>
      </c>
      <c r="B34" s="57">
        <v>0.01</v>
      </c>
      <c r="C34" s="58">
        <f t="shared" si="2"/>
        <v>41.47</v>
      </c>
      <c r="D34" s="55"/>
      <c r="E34" s="33"/>
    </row>
    <row r="35" spans="1:13" x14ac:dyDescent="0.25">
      <c r="A35" s="56" t="s">
        <v>61</v>
      </c>
      <c r="B35" s="57">
        <v>2E-3</v>
      </c>
      <c r="C35" s="58">
        <f t="shared" si="2"/>
        <v>8.2899999999999991</v>
      </c>
      <c r="D35" s="55"/>
      <c r="E35" s="33"/>
    </row>
    <row r="36" spans="1:13" x14ac:dyDescent="0.25">
      <c r="A36" s="56" t="s">
        <v>62</v>
      </c>
      <c r="B36" s="57">
        <v>2.5000000000000001E-2</v>
      </c>
      <c r="C36" s="58">
        <f t="shared" si="2"/>
        <v>103.67</v>
      </c>
      <c r="D36" s="55"/>
      <c r="E36" s="33"/>
    </row>
    <row r="37" spans="1:13" x14ac:dyDescent="0.25">
      <c r="A37" s="56" t="s">
        <v>63</v>
      </c>
      <c r="B37" s="57">
        <v>0.08</v>
      </c>
      <c r="C37" s="58">
        <f t="shared" si="2"/>
        <v>331.75</v>
      </c>
      <c r="D37" s="55"/>
    </row>
    <row r="38" spans="1:13" x14ac:dyDescent="0.25">
      <c r="A38" s="56" t="s">
        <v>64</v>
      </c>
      <c r="B38" s="57">
        <v>0.01</v>
      </c>
      <c r="C38" s="58">
        <f t="shared" si="2"/>
        <v>41.47</v>
      </c>
      <c r="D38" s="55"/>
    </row>
    <row r="39" spans="1:13" x14ac:dyDescent="0.25">
      <c r="A39" s="56" t="s">
        <v>65</v>
      </c>
      <c r="B39" s="57">
        <v>6.0000000000000001E-3</v>
      </c>
      <c r="C39" s="59">
        <f t="shared" si="2"/>
        <v>24.88</v>
      </c>
      <c r="D39" s="55"/>
    </row>
    <row r="40" spans="1:13" x14ac:dyDescent="0.25">
      <c r="A40" s="14" t="s">
        <v>66</v>
      </c>
      <c r="B40" s="15">
        <f>ROUND(SUM(B32:B39),4)</f>
        <v>0.14799999999999999</v>
      </c>
      <c r="C40" s="60">
        <f>ROUND(SUM(C32:C39),2)</f>
        <v>613.73</v>
      </c>
      <c r="D40" s="55"/>
      <c r="E40" s="33"/>
    </row>
    <row r="41" spans="1:13" x14ac:dyDescent="0.25">
      <c r="A41" s="61"/>
      <c r="B41" s="62"/>
      <c r="C41" s="63"/>
      <c r="D41" s="55"/>
    </row>
    <row r="42" spans="1:13" x14ac:dyDescent="0.25">
      <c r="A42" s="14" t="s">
        <v>67</v>
      </c>
      <c r="B42" s="64" t="s">
        <v>37</v>
      </c>
      <c r="C42" s="16" t="s">
        <v>38</v>
      </c>
      <c r="D42" s="55"/>
    </row>
    <row r="43" spans="1:13" x14ac:dyDescent="0.25">
      <c r="A43" s="65" t="s">
        <v>68</v>
      </c>
      <c r="B43" s="57">
        <v>9.0899999999999995E-2</v>
      </c>
      <c r="C43" s="66">
        <f>ROUND($C$8*B43,2)</f>
        <v>376.95</v>
      </c>
      <c r="D43" s="55"/>
    </row>
    <row r="44" spans="1:13" x14ac:dyDescent="0.25">
      <c r="A44" s="65" t="s">
        <v>69</v>
      </c>
      <c r="B44" s="57">
        <f>B43/3</f>
        <v>3.0299999999999997E-2</v>
      </c>
      <c r="C44" s="58">
        <f>ROUND($C$8*B44,2)</f>
        <v>125.65</v>
      </c>
      <c r="D44" s="55"/>
      <c r="I44" s="67"/>
    </row>
    <row r="45" spans="1:13" x14ac:dyDescent="0.25">
      <c r="A45" s="188" t="s">
        <v>70</v>
      </c>
      <c r="B45" s="182"/>
      <c r="C45" s="68">
        <f>SUM(C43:C44)</f>
        <v>502.6</v>
      </c>
      <c r="D45" s="55"/>
    </row>
    <row r="46" spans="1:13" x14ac:dyDescent="0.25">
      <c r="A46" s="69" t="s">
        <v>71</v>
      </c>
      <c r="B46" s="57">
        <f>B40*B43</f>
        <v>1.3453199999999998E-2</v>
      </c>
      <c r="C46" s="58">
        <f>ROUND($C$8*B46,2)</f>
        <v>55.79</v>
      </c>
      <c r="D46" s="55"/>
    </row>
    <row r="47" spans="1:13" x14ac:dyDescent="0.25">
      <c r="A47" s="14" t="s">
        <v>72</v>
      </c>
      <c r="B47" s="15">
        <f>SUM(B43:B44,B46)</f>
        <v>0.13465319999999997</v>
      </c>
      <c r="C47" s="60">
        <f>C45+C46</f>
        <v>558.39</v>
      </c>
      <c r="D47" s="55"/>
      <c r="E47" s="33"/>
    </row>
    <row r="48" spans="1:13" x14ac:dyDescent="0.25">
      <c r="A48" s="61"/>
      <c r="B48" s="62"/>
      <c r="C48" s="63"/>
      <c r="D48" s="55"/>
    </row>
    <row r="49" spans="1:7" x14ac:dyDescent="0.25">
      <c r="A49" s="14" t="s">
        <v>73</v>
      </c>
      <c r="B49" s="64" t="s">
        <v>37</v>
      </c>
      <c r="C49" s="16" t="s">
        <v>38</v>
      </c>
      <c r="D49" s="55"/>
    </row>
    <row r="50" spans="1:7" x14ac:dyDescent="0.25">
      <c r="A50" s="65" t="s">
        <v>74</v>
      </c>
      <c r="B50" s="57">
        <v>2.9999999999999997E-4</v>
      </c>
      <c r="C50" s="58">
        <f>ROUND($C$8*B50,2)</f>
        <v>1.24</v>
      </c>
      <c r="D50" s="55"/>
      <c r="G50" s="70"/>
    </row>
    <row r="51" spans="1:7" x14ac:dyDescent="0.25">
      <c r="A51" s="65" t="s">
        <v>75</v>
      </c>
      <c r="B51" s="57">
        <f>B40*B50</f>
        <v>4.4399999999999995E-5</v>
      </c>
      <c r="C51" s="58">
        <f>ROUND($C$8*B51,2)</f>
        <v>0.18</v>
      </c>
      <c r="D51" s="55"/>
    </row>
    <row r="52" spans="1:7" x14ac:dyDescent="0.25">
      <c r="A52" s="14" t="s">
        <v>76</v>
      </c>
      <c r="B52" s="15">
        <f>SUM(B50:B51)</f>
        <v>3.4439999999999997E-4</v>
      </c>
      <c r="C52" s="60">
        <f>SUM(C50:C51)</f>
        <v>1.42</v>
      </c>
      <c r="D52" s="55"/>
      <c r="E52" s="33"/>
    </row>
    <row r="53" spans="1:7" x14ac:dyDescent="0.25">
      <c r="A53" s="61"/>
      <c r="B53" s="62"/>
      <c r="C53" s="63"/>
      <c r="D53" s="55"/>
    </row>
    <row r="54" spans="1:7" x14ac:dyDescent="0.25">
      <c r="A54" s="14" t="s">
        <v>77</v>
      </c>
      <c r="B54" s="64" t="s">
        <v>37</v>
      </c>
      <c r="C54" s="16" t="s">
        <v>38</v>
      </c>
      <c r="D54" s="55"/>
    </row>
    <row r="55" spans="1:7" x14ac:dyDescent="0.25">
      <c r="A55" s="65" t="s">
        <v>78</v>
      </c>
      <c r="B55" s="71">
        <v>8.3000000000000001E-3</v>
      </c>
      <c r="C55" s="58">
        <f t="shared" ref="C55:C60" si="3">ROUND($C$8*B55,2)</f>
        <v>34.42</v>
      </c>
      <c r="D55" s="55"/>
    </row>
    <row r="56" spans="1:7" x14ac:dyDescent="0.25">
      <c r="A56" s="65" t="s">
        <v>79</v>
      </c>
      <c r="B56" s="139">
        <f>B55*B37</f>
        <v>6.6399999999999999E-4</v>
      </c>
      <c r="C56" s="58">
        <f t="shared" si="3"/>
        <v>2.75</v>
      </c>
      <c r="D56" s="55"/>
    </row>
    <row r="57" spans="1:7" x14ac:dyDescent="0.25">
      <c r="A57" s="65" t="s">
        <v>80</v>
      </c>
      <c r="B57" s="140">
        <v>0</v>
      </c>
      <c r="C57" s="58">
        <f t="shared" si="3"/>
        <v>0</v>
      </c>
      <c r="D57" s="55"/>
    </row>
    <row r="58" spans="1:7" x14ac:dyDescent="0.25">
      <c r="A58" s="65" t="s">
        <v>81</v>
      </c>
      <c r="B58" s="71">
        <v>1.9400000000000001E-2</v>
      </c>
      <c r="C58" s="58">
        <f t="shared" si="3"/>
        <v>80.45</v>
      </c>
      <c r="D58" s="55"/>
    </row>
    <row r="59" spans="1:7" x14ac:dyDescent="0.25">
      <c r="A59" s="65" t="s">
        <v>82</v>
      </c>
      <c r="B59" s="71">
        <f>B58*B40</f>
        <v>2.8712E-3</v>
      </c>
      <c r="C59" s="58">
        <f t="shared" si="3"/>
        <v>11.91</v>
      </c>
      <c r="D59" s="55"/>
    </row>
    <row r="60" spans="1:7" x14ac:dyDescent="0.25">
      <c r="A60" s="65" t="s">
        <v>83</v>
      </c>
      <c r="B60" s="71">
        <v>4.36E-2</v>
      </c>
      <c r="C60" s="58">
        <f t="shared" si="3"/>
        <v>180.8</v>
      </c>
      <c r="D60" s="55"/>
    </row>
    <row r="61" spans="1:7" x14ac:dyDescent="0.25">
      <c r="A61" s="14" t="s">
        <v>84</v>
      </c>
      <c r="B61" s="15">
        <f>SUM(B55:B60)</f>
        <v>7.4835200000000004E-2</v>
      </c>
      <c r="C61" s="60">
        <f>SUM(C55:C60)</f>
        <v>310.33000000000004</v>
      </c>
      <c r="D61" s="55"/>
      <c r="E61" s="33"/>
    </row>
    <row r="62" spans="1:7" x14ac:dyDescent="0.25">
      <c r="A62" s="61"/>
      <c r="B62" s="62"/>
      <c r="C62" s="63"/>
      <c r="D62" s="55"/>
    </row>
    <row r="63" spans="1:7" x14ac:dyDescent="0.25">
      <c r="A63" s="14" t="s">
        <v>85</v>
      </c>
      <c r="B63" s="64" t="s">
        <v>37</v>
      </c>
      <c r="C63" s="16" t="s">
        <v>38</v>
      </c>
      <c r="D63" s="55"/>
    </row>
    <row r="64" spans="1:7" x14ac:dyDescent="0.25">
      <c r="A64" s="65" t="s">
        <v>86</v>
      </c>
      <c r="B64" s="71">
        <v>9.0899999999999995E-2</v>
      </c>
      <c r="C64" s="58">
        <f t="shared" ref="C64:C69" si="4">ROUND($C$8*B64,2)</f>
        <v>376.95</v>
      </c>
      <c r="D64" s="55"/>
    </row>
    <row r="65" spans="1:5" x14ac:dyDescent="0.25">
      <c r="A65" s="65" t="s">
        <v>87</v>
      </c>
      <c r="B65" s="71">
        <v>1.66E-2</v>
      </c>
      <c r="C65" s="58">
        <f t="shared" si="4"/>
        <v>68.84</v>
      </c>
      <c r="D65" s="55"/>
    </row>
    <row r="66" spans="1:5" x14ac:dyDescent="0.25">
      <c r="A66" s="65" t="s">
        <v>88</v>
      </c>
      <c r="B66" s="71">
        <v>2.0000000000000001E-4</v>
      </c>
      <c r="C66" s="58">
        <f t="shared" si="4"/>
        <v>0.83</v>
      </c>
      <c r="D66" s="55"/>
    </row>
    <row r="67" spans="1:5" x14ac:dyDescent="0.25">
      <c r="A67" s="65" t="s">
        <v>89</v>
      </c>
      <c r="B67" s="71">
        <v>0.01</v>
      </c>
      <c r="C67" s="58">
        <f t="shared" si="4"/>
        <v>41.47</v>
      </c>
      <c r="D67" s="55"/>
    </row>
    <row r="68" spans="1:5" x14ac:dyDescent="0.25">
      <c r="A68" s="65" t="s">
        <v>90</v>
      </c>
      <c r="B68" s="71">
        <v>3.0000000000000001E-3</v>
      </c>
      <c r="C68" s="58">
        <f t="shared" si="4"/>
        <v>12.44</v>
      </c>
      <c r="D68" s="55"/>
    </row>
    <row r="69" spans="1:5" x14ac:dyDescent="0.25">
      <c r="A69" s="65" t="s">
        <v>91</v>
      </c>
      <c r="B69" s="71">
        <v>0</v>
      </c>
      <c r="C69" s="58">
        <f t="shared" si="4"/>
        <v>0</v>
      </c>
      <c r="D69" s="55"/>
    </row>
    <row r="70" spans="1:5" x14ac:dyDescent="0.25">
      <c r="A70" s="181" t="s">
        <v>70</v>
      </c>
      <c r="B70" s="182"/>
      <c r="C70" s="68">
        <f>SUM(C64:C69)</f>
        <v>500.52999999999992</v>
      </c>
      <c r="D70" s="55"/>
      <c r="E70" s="33"/>
    </row>
    <row r="71" spans="1:5" x14ac:dyDescent="0.25">
      <c r="A71" s="69" t="s">
        <v>92</v>
      </c>
      <c r="B71" s="57">
        <f>SUM(B64:B69)*B40</f>
        <v>1.78636E-2</v>
      </c>
      <c r="C71" s="58">
        <f>ROUND($C$8*B71,2)</f>
        <v>74.08</v>
      </c>
      <c r="D71" s="55"/>
    </row>
    <row r="72" spans="1:5" x14ac:dyDescent="0.25">
      <c r="A72" s="14" t="s">
        <v>93</v>
      </c>
      <c r="B72" s="15">
        <f>SUM(B64:B69,B71)</f>
        <v>0.13856360000000001</v>
      </c>
      <c r="C72" s="60">
        <f>SUM(C64:C69)+C71</f>
        <v>574.6099999999999</v>
      </c>
      <c r="D72" s="55"/>
      <c r="E72" s="33"/>
    </row>
    <row r="73" spans="1:5" x14ac:dyDescent="0.25">
      <c r="A73" s="61"/>
      <c r="B73" s="62"/>
      <c r="C73" s="63"/>
      <c r="D73" s="55"/>
    </row>
    <row r="74" spans="1:5" s="52" customFormat="1" x14ac:dyDescent="0.25">
      <c r="A74" s="14" t="s">
        <v>94</v>
      </c>
      <c r="B74" s="64">
        <f>SUM(B40,B47,B52,B61,B72)</f>
        <v>0.49639639999999996</v>
      </c>
      <c r="C74" s="16">
        <f>SUM(C40,C47,C52,C61,C72)</f>
        <v>2058.4799999999996</v>
      </c>
      <c r="D74" s="72"/>
    </row>
    <row r="75" spans="1:5" x14ac:dyDescent="0.25">
      <c r="A75" s="73"/>
      <c r="B75" s="74"/>
      <c r="C75" s="75"/>
    </row>
    <row r="76" spans="1:5" x14ac:dyDescent="0.25">
      <c r="A76" s="174" t="s">
        <v>95</v>
      </c>
      <c r="B76" s="174"/>
      <c r="C76" s="174"/>
    </row>
    <row r="77" spans="1:5" x14ac:dyDescent="0.25">
      <c r="A77" s="42" t="s">
        <v>96</v>
      </c>
      <c r="B77" s="15" t="s">
        <v>37</v>
      </c>
      <c r="C77" s="16" t="s">
        <v>38</v>
      </c>
    </row>
    <row r="78" spans="1:5" x14ac:dyDescent="0.25">
      <c r="A78" s="65" t="s">
        <v>97</v>
      </c>
      <c r="B78" s="18">
        <f>B40</f>
        <v>0.14799999999999999</v>
      </c>
      <c r="C78" s="68">
        <f>ROUND($C$8*B78,2)</f>
        <v>613.74</v>
      </c>
    </row>
    <row r="79" spans="1:5" x14ac:dyDescent="0.25">
      <c r="A79" s="65" t="s">
        <v>98</v>
      </c>
      <c r="B79" s="18">
        <f>B47</f>
        <v>0.13465319999999997</v>
      </c>
      <c r="C79" s="68">
        <f t="shared" ref="C79:C83" si="5">ROUND($C$8*B79,2)</f>
        <v>558.39</v>
      </c>
    </row>
    <row r="80" spans="1:5" x14ac:dyDescent="0.25">
      <c r="A80" s="65" t="s">
        <v>99</v>
      </c>
      <c r="B80" s="18">
        <f>B52</f>
        <v>3.4439999999999997E-4</v>
      </c>
      <c r="C80" s="68">
        <f t="shared" si="5"/>
        <v>1.43</v>
      </c>
    </row>
    <row r="81" spans="1:7" x14ac:dyDescent="0.25">
      <c r="A81" s="65" t="s">
        <v>100</v>
      </c>
      <c r="B81" s="18">
        <f>B61</f>
        <v>7.4835200000000004E-2</v>
      </c>
      <c r="C81" s="68">
        <f t="shared" si="5"/>
        <v>310.33</v>
      </c>
    </row>
    <row r="82" spans="1:7" x14ac:dyDescent="0.25">
      <c r="A82" s="65" t="s">
        <v>101</v>
      </c>
      <c r="B82" s="18">
        <f>B72</f>
        <v>0.13856360000000001</v>
      </c>
      <c r="C82" s="68">
        <f t="shared" si="5"/>
        <v>574.61</v>
      </c>
    </row>
    <row r="83" spans="1:7" x14ac:dyDescent="0.25">
      <c r="A83" s="65" t="s">
        <v>102</v>
      </c>
      <c r="B83" s="18">
        <v>0</v>
      </c>
      <c r="C83" s="68">
        <f t="shared" si="5"/>
        <v>0</v>
      </c>
    </row>
    <row r="84" spans="1:7" x14ac:dyDescent="0.25">
      <c r="A84" s="14" t="s">
        <v>103</v>
      </c>
      <c r="B84" s="15">
        <f>SUM(B78:B83)</f>
        <v>0.49639639999999996</v>
      </c>
      <c r="C84" s="16">
        <f>SUM(C78:C83)</f>
        <v>2058.5</v>
      </c>
    </row>
    <row r="85" spans="1:7" x14ac:dyDescent="0.25">
      <c r="A85" s="76"/>
      <c r="B85" s="62"/>
      <c r="C85" s="63"/>
    </row>
    <row r="86" spans="1:7" x14ac:dyDescent="0.25">
      <c r="A86" s="165" t="s">
        <v>104</v>
      </c>
      <c r="B86" s="165"/>
      <c r="C86" s="16">
        <f>C8+C20+C28+C84</f>
        <v>7344.8535000000002</v>
      </c>
    </row>
    <row r="87" spans="1:7" x14ac:dyDescent="0.25">
      <c r="A87" s="77"/>
      <c r="B87" s="77"/>
      <c r="C87" s="25"/>
      <c r="E87" s="33"/>
    </row>
    <row r="88" spans="1:7" x14ac:dyDescent="0.25">
      <c r="A88" s="168" t="s">
        <v>105</v>
      </c>
      <c r="B88" s="169"/>
      <c r="C88" s="170"/>
      <c r="E88" s="33"/>
    </row>
    <row r="89" spans="1:7" x14ac:dyDescent="0.25">
      <c r="A89" s="78" t="s">
        <v>106</v>
      </c>
      <c r="B89" s="64" t="s">
        <v>37</v>
      </c>
      <c r="C89" s="79" t="s">
        <v>38</v>
      </c>
      <c r="E89" s="55"/>
    </row>
    <row r="90" spans="1:7" x14ac:dyDescent="0.25">
      <c r="A90" s="56" t="s">
        <v>107</v>
      </c>
      <c r="B90" s="57">
        <v>6.7679333466776903E-2</v>
      </c>
      <c r="C90" s="58">
        <f>ROUND($C$86*B90,2)</f>
        <v>497.09</v>
      </c>
    </row>
    <row r="91" spans="1:7" x14ac:dyDescent="0.25">
      <c r="A91" s="56" t="s">
        <v>108</v>
      </c>
      <c r="B91" s="57">
        <v>0.04</v>
      </c>
      <c r="C91" s="58">
        <f>ROUND($C$86*B91,2)</f>
        <v>293.79000000000002</v>
      </c>
      <c r="E91" s="175"/>
      <c r="F91" s="176"/>
    </row>
    <row r="92" spans="1:7" x14ac:dyDescent="0.25">
      <c r="A92" s="177" t="s">
        <v>109</v>
      </c>
      <c r="B92" s="178"/>
      <c r="C92" s="36">
        <f>ROUND(SUM(C90:C91),2)</f>
        <v>790.88</v>
      </c>
      <c r="E92" s="175"/>
      <c r="F92" s="176"/>
    </row>
    <row r="93" spans="1:7" x14ac:dyDescent="0.25">
      <c r="A93" s="179"/>
      <c r="B93" s="180"/>
      <c r="C93" s="25"/>
      <c r="E93" s="175"/>
      <c r="F93" s="176"/>
    </row>
    <row r="94" spans="1:7" x14ac:dyDescent="0.25">
      <c r="A94" s="177" t="s">
        <v>110</v>
      </c>
      <c r="B94" s="178"/>
      <c r="C94" s="36">
        <f>'Custos do Time'!I9</f>
        <v>269.09871154699829</v>
      </c>
      <c r="E94" s="175"/>
      <c r="F94" s="176"/>
    </row>
    <row r="95" spans="1:7" x14ac:dyDescent="0.25">
      <c r="A95" s="81"/>
      <c r="B95" s="80"/>
      <c r="C95" s="25"/>
      <c r="E95" s="82"/>
      <c r="F95" s="83"/>
    </row>
    <row r="96" spans="1:7" x14ac:dyDescent="0.25">
      <c r="A96" s="168" t="s">
        <v>111</v>
      </c>
      <c r="B96" s="169"/>
      <c r="C96" s="170"/>
      <c r="E96" s="33"/>
      <c r="F96" s="33"/>
      <c r="G96" s="33"/>
    </row>
    <row r="97" spans="1:11" x14ac:dyDescent="0.25">
      <c r="A97" s="78" t="s">
        <v>112</v>
      </c>
      <c r="B97" s="64" t="s">
        <v>37</v>
      </c>
      <c r="C97" s="79" t="s">
        <v>38</v>
      </c>
      <c r="E97" s="33"/>
      <c r="F97" s="33"/>
      <c r="G97" s="33"/>
    </row>
    <row r="98" spans="1:11" x14ac:dyDescent="0.25">
      <c r="A98" s="20" t="s">
        <v>113</v>
      </c>
      <c r="B98" s="18">
        <v>0.02</v>
      </c>
      <c r="C98" s="84">
        <f>ROUND($C$105*B98/$B$102,2)</f>
        <v>187.09</v>
      </c>
      <c r="E98" s="85"/>
      <c r="F98" s="33"/>
      <c r="G98" s="33"/>
      <c r="H98" s="33"/>
      <c r="I98" s="33"/>
      <c r="J98" s="33"/>
    </row>
    <row r="99" spans="1:11" x14ac:dyDescent="0.25">
      <c r="A99" s="20" t="s">
        <v>114</v>
      </c>
      <c r="B99" s="18">
        <v>6.4999999999999997E-3</v>
      </c>
      <c r="C99" s="84">
        <f>ROUND($C$105*B99/$B$102,2)</f>
        <v>60.8</v>
      </c>
      <c r="F99" s="33"/>
      <c r="G99" s="33"/>
      <c r="H99" s="33"/>
      <c r="I99" s="33"/>
      <c r="J99" s="33"/>
    </row>
    <row r="100" spans="1:11" x14ac:dyDescent="0.25">
      <c r="A100" s="20" t="s">
        <v>115</v>
      </c>
      <c r="B100" s="18">
        <v>0.03</v>
      </c>
      <c r="C100" s="84">
        <f>ROUND($C$105*B100/$B$102,2)</f>
        <v>280.63</v>
      </c>
      <c r="F100" s="33"/>
      <c r="G100" s="33"/>
      <c r="H100" s="33"/>
      <c r="I100" s="33"/>
      <c r="J100" s="33"/>
    </row>
    <row r="101" spans="1:11" ht="30" x14ac:dyDescent="0.25">
      <c r="A101" s="86" t="s">
        <v>116</v>
      </c>
      <c r="B101" s="18">
        <v>4.4999999999999998E-2</v>
      </c>
      <c r="C101" s="87">
        <f>ROUND($C$105*B101/$B$102,2)</f>
        <v>420.94</v>
      </c>
      <c r="F101" s="33"/>
      <c r="G101" s="33"/>
      <c r="H101" s="33"/>
      <c r="I101" s="33"/>
      <c r="J101" s="33"/>
    </row>
    <row r="102" spans="1:11" x14ac:dyDescent="0.25">
      <c r="A102" s="88" t="s">
        <v>117</v>
      </c>
      <c r="B102" s="89">
        <f>ROUND(SUM(B98:B101),4)</f>
        <v>0.10150000000000001</v>
      </c>
      <c r="C102" s="90">
        <f>ROUND($C$105*B102/$B$102,2)</f>
        <v>949.46</v>
      </c>
      <c r="E102" s="91"/>
      <c r="F102" s="33"/>
      <c r="G102" s="33"/>
      <c r="H102" s="33"/>
      <c r="I102" s="33"/>
      <c r="J102" s="33"/>
    </row>
    <row r="103" spans="1:11" s="33" customFormat="1" x14ac:dyDescent="0.25">
      <c r="A103" s="92"/>
      <c r="B103" s="93"/>
      <c r="C103" s="94"/>
      <c r="D103" s="45"/>
      <c r="E103" s="11"/>
      <c r="H103" s="11"/>
      <c r="I103" s="11"/>
      <c r="J103" s="11"/>
    </row>
    <row r="104" spans="1:11" s="33" customFormat="1" x14ac:dyDescent="0.25">
      <c r="A104" s="172" t="s">
        <v>118</v>
      </c>
      <c r="B104" s="173"/>
      <c r="C104" s="95">
        <f>ROUND(C86+C92+C94,2)</f>
        <v>8404.83</v>
      </c>
      <c r="E104" s="11"/>
      <c r="F104" s="11"/>
      <c r="G104" s="11"/>
      <c r="H104" s="11"/>
      <c r="I104" s="11"/>
      <c r="J104" s="11"/>
      <c r="K104" s="11"/>
    </row>
    <row r="105" spans="1:11" x14ac:dyDescent="0.25">
      <c r="A105" s="166" t="s">
        <v>119</v>
      </c>
      <c r="B105" s="167"/>
      <c r="C105" s="16">
        <f>ROUND(C106-C104,2)</f>
        <v>949.46</v>
      </c>
      <c r="E105" s="91"/>
      <c r="G105" s="33"/>
      <c r="H105" s="33"/>
      <c r="I105" s="33"/>
      <c r="J105" s="33"/>
    </row>
    <row r="106" spans="1:11" s="33" customFormat="1" x14ac:dyDescent="0.25">
      <c r="A106" s="165" t="s">
        <v>120</v>
      </c>
      <c r="B106" s="165"/>
      <c r="C106" s="16">
        <f>ROUND(C104/(1-$B$102),2)</f>
        <v>9354.2900000000009</v>
      </c>
      <c r="D106" s="45"/>
    </row>
    <row r="107" spans="1:11" s="33" customFormat="1" x14ac:dyDescent="0.25">
      <c r="A107" s="96"/>
      <c r="B107" s="81"/>
      <c r="C107" s="97"/>
    </row>
    <row r="108" spans="1:11" s="33" customFormat="1" x14ac:dyDescent="0.25">
      <c r="A108" s="168" t="s">
        <v>121</v>
      </c>
      <c r="B108" s="169"/>
      <c r="C108" s="170"/>
    </row>
    <row r="109" spans="1:11" s="33" customFormat="1" x14ac:dyDescent="0.25">
      <c r="A109" s="171" t="s">
        <v>122</v>
      </c>
      <c r="B109" s="171"/>
      <c r="C109" s="22">
        <f>ROUND(C106,2)</f>
        <v>9354.2900000000009</v>
      </c>
    </row>
    <row r="110" spans="1:11" x14ac:dyDescent="0.25">
      <c r="A110" s="23"/>
      <c r="B110" s="81"/>
      <c r="C110" s="97"/>
    </row>
    <row r="111" spans="1:11" hidden="1" x14ac:dyDescent="0.25">
      <c r="A111" s="165" t="s">
        <v>123</v>
      </c>
      <c r="B111" s="165"/>
      <c r="C111" s="68" t="e">
        <f>ROUND(#REF!/C8,2)</f>
        <v>#REF!</v>
      </c>
    </row>
    <row r="112" spans="1:11" x14ac:dyDescent="0.25">
      <c r="A112" s="165" t="s">
        <v>124</v>
      </c>
      <c r="B112" s="165"/>
      <c r="C112" s="68">
        <f>ROUND(C109/C10,2)</f>
        <v>58.46</v>
      </c>
    </row>
    <row r="113" spans="1:3" hidden="1" x14ac:dyDescent="0.25">
      <c r="A113" s="165" t="s">
        <v>125</v>
      </c>
      <c r="B113" s="165"/>
      <c r="C113" s="68" t="e">
        <f>#REF!</f>
        <v>#REF!</v>
      </c>
    </row>
    <row r="114" spans="1:3" x14ac:dyDescent="0.25">
      <c r="C114" s="97"/>
    </row>
  </sheetData>
  <mergeCells count="30">
    <mergeCell ref="A108:C108"/>
    <mergeCell ref="A109:B109"/>
    <mergeCell ref="A111:B111"/>
    <mergeCell ref="A112:B112"/>
    <mergeCell ref="A113:B113"/>
    <mergeCell ref="A106:B106"/>
    <mergeCell ref="A86:B86"/>
    <mergeCell ref="A88:C88"/>
    <mergeCell ref="E91:F91"/>
    <mergeCell ref="A92:B92"/>
    <mergeCell ref="E92:F92"/>
    <mergeCell ref="A93:B93"/>
    <mergeCell ref="E93:F93"/>
    <mergeCell ref="A94:B94"/>
    <mergeCell ref="E94:F94"/>
    <mergeCell ref="A96:C96"/>
    <mergeCell ref="A104:B104"/>
    <mergeCell ref="A105:B105"/>
    <mergeCell ref="A76:C76"/>
    <mergeCell ref="A1:C1"/>
    <mergeCell ref="A2:C2"/>
    <mergeCell ref="A4:C4"/>
    <mergeCell ref="A8:B8"/>
    <mergeCell ref="A13:C13"/>
    <mergeCell ref="A20:B20"/>
    <mergeCell ref="A22:C22"/>
    <mergeCell ref="A28:B28"/>
    <mergeCell ref="A30:C30"/>
    <mergeCell ref="A45:B45"/>
    <mergeCell ref="A70:B70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3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M114"/>
  <sheetViews>
    <sheetView showGridLines="0" view="pageBreakPreview" zoomScaleNormal="80" zoomScaleSheetLayoutView="100" workbookViewId="0">
      <selection activeCell="E94" sqref="E94:F94"/>
    </sheetView>
  </sheetViews>
  <sheetFormatPr defaultColWidth="9.140625" defaultRowHeight="15" x14ac:dyDescent="0.25"/>
  <cols>
    <col min="1" max="1" width="75.85546875" style="98" customWidth="1"/>
    <col min="2" max="2" width="15.7109375" style="99" customWidth="1"/>
    <col min="3" max="3" width="18.7109375" style="100" customWidth="1"/>
    <col min="4" max="4" width="5.7109375" style="11" customWidth="1"/>
    <col min="5" max="5" width="10" style="11" customWidth="1"/>
    <col min="6" max="6" width="11.7109375" style="11" customWidth="1"/>
    <col min="7" max="7" width="15" style="11" customWidth="1"/>
    <col min="8" max="8" width="12.7109375" style="11" customWidth="1"/>
    <col min="9" max="9" width="13.140625" style="11" bestFit="1" customWidth="1"/>
    <col min="10" max="10" width="12.7109375" style="11" customWidth="1"/>
    <col min="11" max="11" width="13.140625" style="11" bestFit="1" customWidth="1"/>
    <col min="12" max="16384" width="9.140625" style="11"/>
  </cols>
  <sheetData>
    <row r="1" spans="1:13" s="10" customFormat="1" ht="18.75" x14ac:dyDescent="0.25">
      <c r="A1" s="186" t="s">
        <v>141</v>
      </c>
      <c r="B1" s="186"/>
      <c r="C1" s="186"/>
    </row>
    <row r="2" spans="1:13" ht="18.600000000000001" customHeight="1" x14ac:dyDescent="0.25">
      <c r="A2" s="187" t="s">
        <v>142</v>
      </c>
      <c r="B2" s="187"/>
      <c r="C2" s="187"/>
    </row>
    <row r="3" spans="1:13" x14ac:dyDescent="0.25">
      <c r="A3" s="12"/>
      <c r="B3" s="13"/>
      <c r="C3" s="13"/>
    </row>
    <row r="4" spans="1:13" x14ac:dyDescent="0.25">
      <c r="A4" s="174" t="s">
        <v>35</v>
      </c>
      <c r="B4" s="174"/>
      <c r="C4" s="174"/>
    </row>
    <row r="5" spans="1:13" x14ac:dyDescent="0.25">
      <c r="A5" s="14" t="s">
        <v>36</v>
      </c>
      <c r="B5" s="15" t="s">
        <v>37</v>
      </c>
      <c r="C5" s="16" t="s">
        <v>38</v>
      </c>
    </row>
    <row r="6" spans="1:13" x14ac:dyDescent="0.25">
      <c r="A6" s="17" t="s">
        <v>39</v>
      </c>
      <c r="B6" s="18">
        <v>1</v>
      </c>
      <c r="C6" s="114">
        <v>5705.28</v>
      </c>
      <c r="G6" s="19"/>
    </row>
    <row r="7" spans="1:13" x14ac:dyDescent="0.25">
      <c r="A7" s="20" t="s">
        <v>40</v>
      </c>
      <c r="B7" s="18"/>
      <c r="C7" s="21">
        <f>ROUND(B7*C6,2)</f>
        <v>0</v>
      </c>
      <c r="E7" s="19"/>
    </row>
    <row r="8" spans="1:13" x14ac:dyDescent="0.25">
      <c r="A8" s="177" t="s">
        <v>41</v>
      </c>
      <c r="B8" s="183"/>
      <c r="C8" s="22">
        <f>C6+C7</f>
        <v>5705.28</v>
      </c>
    </row>
    <row r="9" spans="1:13" x14ac:dyDescent="0.25">
      <c r="A9" s="23"/>
      <c r="B9" s="80"/>
      <c r="C9" s="25"/>
    </row>
    <row r="10" spans="1:13" x14ac:dyDescent="0.25">
      <c r="A10" s="26" t="s">
        <v>42</v>
      </c>
      <c r="B10" s="27"/>
      <c r="C10" s="28">
        <v>160</v>
      </c>
    </row>
    <row r="11" spans="1:13" x14ac:dyDescent="0.25">
      <c r="A11" s="26" t="s">
        <v>43</v>
      </c>
      <c r="B11" s="27"/>
      <c r="C11" s="28">
        <f>ROUND(C8/C10,2)</f>
        <v>35.659999999999997</v>
      </c>
    </row>
    <row r="12" spans="1:13" x14ac:dyDescent="0.25">
      <c r="A12" s="23"/>
      <c r="B12" s="80"/>
      <c r="C12" s="25"/>
    </row>
    <row r="13" spans="1:13" x14ac:dyDescent="0.25">
      <c r="A13" s="184" t="s">
        <v>44</v>
      </c>
      <c r="B13" s="185"/>
      <c r="C13" s="185"/>
      <c r="D13" s="33"/>
      <c r="E13" s="107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A14" s="14" t="s">
        <v>45</v>
      </c>
      <c r="B14" s="15" t="s">
        <v>37</v>
      </c>
      <c r="C14" s="101" t="s">
        <v>38</v>
      </c>
      <c r="D14" s="33"/>
      <c r="E14" s="108"/>
      <c r="F14" s="109"/>
      <c r="G14" s="33"/>
      <c r="H14" s="33"/>
      <c r="I14" s="33"/>
      <c r="J14" s="33"/>
      <c r="K14" s="33"/>
      <c r="L14" s="33"/>
      <c r="M14" s="33"/>
    </row>
    <row r="15" spans="1:13" x14ac:dyDescent="0.25">
      <c r="A15" s="29" t="s">
        <v>46</v>
      </c>
      <c r="B15" s="30">
        <f>C15/$C$8</f>
        <v>0</v>
      </c>
      <c r="C15" s="102"/>
      <c r="D15" s="45"/>
      <c r="E15" s="25"/>
      <c r="F15" s="110"/>
      <c r="G15" s="33"/>
      <c r="H15" s="32"/>
      <c r="I15" s="33"/>
      <c r="J15" s="33"/>
      <c r="K15" s="33"/>
      <c r="L15" s="33"/>
      <c r="M15" s="33"/>
    </row>
    <row r="16" spans="1:13" x14ac:dyDescent="0.25">
      <c r="A16" s="29" t="s">
        <v>47</v>
      </c>
      <c r="B16" s="30">
        <f>C16/$C$8</f>
        <v>8.2784893992932859E-2</v>
      </c>
      <c r="C16" s="102">
        <f>(26.46*21)*(1-IF(C6&gt;=6851.4,20%,IF(C6&gt;=5592.97,15%,IF(C6&gt;=4474.37,10%,IF(C6&gt;=3076.13,7.5%,IF(C6&gt;=1817.71,5%,IF(C6&lt;=1817.7,0%)))))))</f>
        <v>472.31099999999998</v>
      </c>
      <c r="D16" s="33"/>
      <c r="E16" s="138"/>
      <c r="F16" s="111"/>
      <c r="G16" s="33"/>
      <c r="H16" s="33"/>
      <c r="I16" s="33"/>
      <c r="J16" s="33"/>
      <c r="K16" s="44"/>
      <c r="L16" s="33"/>
      <c r="M16" s="33"/>
    </row>
    <row r="17" spans="1:13" x14ac:dyDescent="0.25">
      <c r="A17" s="29" t="s">
        <v>48</v>
      </c>
      <c r="B17" s="30">
        <f t="shared" ref="B17:B19" si="0">C17/$C$8</f>
        <v>3.6001738740254641E-2</v>
      </c>
      <c r="C17" s="102">
        <v>205.4</v>
      </c>
      <c r="D17" s="33"/>
      <c r="E17" s="138"/>
      <c r="F17" s="33"/>
      <c r="G17" s="45"/>
      <c r="H17" s="32"/>
      <c r="I17" s="32"/>
      <c r="J17" s="32"/>
      <c r="K17" s="32"/>
      <c r="L17" s="33"/>
      <c r="M17" s="33"/>
    </row>
    <row r="18" spans="1:13" x14ac:dyDescent="0.25">
      <c r="A18" s="29" t="s">
        <v>149</v>
      </c>
      <c r="B18" s="30">
        <v>0.1</v>
      </c>
      <c r="C18" s="102">
        <f>B18*C6</f>
        <v>570.52800000000002</v>
      </c>
      <c r="D18" s="33"/>
      <c r="E18" s="138"/>
      <c r="F18" s="33"/>
      <c r="G18" s="35"/>
      <c r="H18" s="34"/>
      <c r="I18" s="34"/>
      <c r="J18" s="35"/>
      <c r="K18" s="34"/>
      <c r="L18" s="33"/>
      <c r="M18" s="33"/>
    </row>
    <row r="19" spans="1:13" x14ac:dyDescent="0.25">
      <c r="A19" s="29" t="s">
        <v>49</v>
      </c>
      <c r="B19" s="30">
        <f t="shared" si="0"/>
        <v>9.4649167087329641E-4</v>
      </c>
      <c r="C19" s="102">
        <v>5.4</v>
      </c>
      <c r="D19" s="33"/>
      <c r="E19" s="138"/>
      <c r="F19" s="35"/>
      <c r="G19" s="38"/>
      <c r="H19" s="38"/>
      <c r="I19" s="38"/>
      <c r="J19" s="38"/>
      <c r="K19" s="38"/>
      <c r="L19" s="33"/>
      <c r="M19" s="33"/>
    </row>
    <row r="20" spans="1:13" x14ac:dyDescent="0.25">
      <c r="A20" s="177" t="s">
        <v>50</v>
      </c>
      <c r="B20" s="178"/>
      <c r="C20" s="104">
        <f>SUM(C15:C19)</f>
        <v>1253.6390000000001</v>
      </c>
      <c r="D20" s="33"/>
      <c r="E20" s="33"/>
      <c r="F20" s="37"/>
      <c r="G20" s="112"/>
      <c r="H20" s="38"/>
      <c r="I20" s="38"/>
      <c r="J20" s="38"/>
      <c r="K20" s="38"/>
      <c r="L20" s="33"/>
      <c r="M20" s="33"/>
    </row>
    <row r="21" spans="1:13" x14ac:dyDescent="0.25">
      <c r="A21" s="39"/>
      <c r="B21" s="40"/>
      <c r="C21" s="41"/>
      <c r="D21" s="33"/>
      <c r="E21" s="33"/>
      <c r="F21" s="35"/>
      <c r="G21" s="38"/>
      <c r="H21" s="38"/>
      <c r="I21" s="38"/>
      <c r="J21" s="38"/>
      <c r="K21" s="38"/>
      <c r="L21" s="33"/>
      <c r="M21" s="33"/>
    </row>
    <row r="22" spans="1:13" x14ac:dyDescent="0.25">
      <c r="A22" s="174" t="s">
        <v>51</v>
      </c>
      <c r="B22" s="174"/>
      <c r="C22" s="168"/>
      <c r="D22" s="33"/>
      <c r="E22" s="33"/>
      <c r="F22" s="35"/>
      <c r="G22" s="38"/>
      <c r="H22" s="38"/>
      <c r="I22" s="38"/>
      <c r="J22" s="38"/>
      <c r="K22" s="38"/>
      <c r="L22" s="33"/>
      <c r="M22" s="33"/>
    </row>
    <row r="23" spans="1:13" x14ac:dyDescent="0.25">
      <c r="A23" s="42" t="s">
        <v>45</v>
      </c>
      <c r="B23" s="43" t="s">
        <v>37</v>
      </c>
      <c r="C23" s="105" t="s">
        <v>38</v>
      </c>
      <c r="D23" s="33"/>
      <c r="E23" s="33"/>
      <c r="F23" s="33"/>
      <c r="G23" s="33"/>
      <c r="H23" s="32"/>
      <c r="I23" s="38"/>
      <c r="J23" s="38"/>
      <c r="K23" s="38"/>
      <c r="L23" s="33"/>
      <c r="M23" s="33"/>
    </row>
    <row r="24" spans="1:13" x14ac:dyDescent="0.25">
      <c r="A24" s="29" t="s">
        <v>52</v>
      </c>
      <c r="B24" s="30">
        <f>C24/$C$8</f>
        <v>0</v>
      </c>
      <c r="C24" s="103"/>
      <c r="D24" s="33"/>
      <c r="E24" s="33"/>
      <c r="F24" s="33"/>
      <c r="G24" s="33"/>
      <c r="H24" s="33"/>
      <c r="I24" s="44"/>
      <c r="J24" s="33"/>
      <c r="K24" s="33"/>
      <c r="L24" s="33"/>
      <c r="M24" s="33"/>
    </row>
    <row r="25" spans="1:13" x14ac:dyDescent="0.25">
      <c r="A25" s="29" t="s">
        <v>53</v>
      </c>
      <c r="B25" s="30">
        <f t="shared" ref="B25:B27" si="1">C25/$C$8</f>
        <v>0</v>
      </c>
      <c r="C25" s="103">
        <v>0</v>
      </c>
      <c r="D25" s="33"/>
      <c r="E25" s="138"/>
      <c r="F25" s="34"/>
      <c r="G25" s="45"/>
      <c r="H25" s="45"/>
      <c r="I25" s="45"/>
      <c r="J25" s="45"/>
      <c r="K25" s="32"/>
      <c r="L25" s="33"/>
      <c r="M25" s="33"/>
    </row>
    <row r="26" spans="1:13" x14ac:dyDescent="0.25">
      <c r="A26" s="46" t="str">
        <f>"C - Treinamento e/ou reciclagem / - (" &amp; TEXT(B26,"0,00%") &amp; ") sobre o salário"</f>
        <v>C - Treinamento e/ou reciclagem / - (0,00%) sobre o salário</v>
      </c>
      <c r="B26" s="30">
        <f t="shared" si="1"/>
        <v>0</v>
      </c>
      <c r="C26" s="103"/>
      <c r="D26" s="33"/>
      <c r="E26" s="33"/>
      <c r="F26" s="34"/>
      <c r="G26" s="35"/>
      <c r="H26" s="34"/>
      <c r="I26" s="35"/>
      <c r="J26" s="45"/>
      <c r="K26" s="32"/>
      <c r="L26" s="33"/>
      <c r="M26" s="33"/>
    </row>
    <row r="27" spans="1:13" x14ac:dyDescent="0.25">
      <c r="A27" s="47" t="s">
        <v>54</v>
      </c>
      <c r="B27" s="30">
        <f t="shared" si="1"/>
        <v>0</v>
      </c>
      <c r="C27" s="103"/>
      <c r="D27" s="45"/>
      <c r="E27" s="33"/>
      <c r="F27" s="34"/>
      <c r="G27" s="38"/>
      <c r="H27" s="38"/>
      <c r="I27" s="38"/>
      <c r="J27" s="33"/>
      <c r="K27" s="33"/>
      <c r="L27" s="33"/>
      <c r="M27" s="33"/>
    </row>
    <row r="28" spans="1:13" x14ac:dyDescent="0.25">
      <c r="A28" s="177" t="s">
        <v>55</v>
      </c>
      <c r="B28" s="178"/>
      <c r="C28" s="104">
        <f>SUM(C24:C27)</f>
        <v>0</v>
      </c>
      <c r="D28" s="33"/>
      <c r="E28" s="33"/>
      <c r="F28" s="34"/>
      <c r="G28" s="48"/>
      <c r="H28" s="48"/>
      <c r="I28" s="48"/>
      <c r="J28" s="48"/>
      <c r="K28" s="48"/>
      <c r="L28" s="33"/>
      <c r="M28" s="33"/>
    </row>
    <row r="29" spans="1:13" x14ac:dyDescent="0.25">
      <c r="A29" s="49"/>
      <c r="B29" s="50"/>
      <c r="C29" s="51"/>
      <c r="D29" s="33"/>
      <c r="E29" s="33"/>
      <c r="F29" s="33"/>
      <c r="G29" s="32"/>
      <c r="H29" s="32"/>
      <c r="I29" s="113"/>
      <c r="J29" s="32"/>
      <c r="K29" s="32"/>
      <c r="L29" s="33"/>
      <c r="M29" s="33"/>
    </row>
    <row r="30" spans="1:13" x14ac:dyDescent="0.25">
      <c r="A30" s="174" t="s">
        <v>56</v>
      </c>
      <c r="B30" s="174"/>
      <c r="C30" s="168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s="52" customFormat="1" x14ac:dyDescent="0.25">
      <c r="A31" s="42" t="s">
        <v>57</v>
      </c>
      <c r="B31" s="43" t="s">
        <v>37</v>
      </c>
      <c r="C31" s="105" t="s">
        <v>38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1:13" ht="30" x14ac:dyDescent="0.25">
      <c r="A32" s="53" t="s">
        <v>58</v>
      </c>
      <c r="B32" s="54">
        <v>0</v>
      </c>
      <c r="C32" s="106">
        <f t="shared" ref="C32:C39" si="2">ROUND($C$8*B32,2)</f>
        <v>0</v>
      </c>
      <c r="D32" s="55"/>
      <c r="E32" s="33"/>
      <c r="F32" s="33"/>
      <c r="G32" s="33"/>
      <c r="H32" s="33"/>
      <c r="I32" s="33"/>
      <c r="J32" s="33"/>
      <c r="K32" s="33"/>
      <c r="L32" s="33"/>
      <c r="M32" s="33"/>
    </row>
    <row r="33" spans="1:13" x14ac:dyDescent="0.25">
      <c r="A33" s="56" t="s">
        <v>59</v>
      </c>
      <c r="B33" s="57">
        <v>1.4999999999999999E-2</v>
      </c>
      <c r="C33" s="31">
        <f t="shared" si="2"/>
        <v>85.58</v>
      </c>
      <c r="D33" s="55"/>
      <c r="E33" s="33"/>
      <c r="F33" s="33"/>
      <c r="G33" s="33"/>
      <c r="H33" s="33"/>
      <c r="I33" s="33"/>
      <c r="J33" s="33"/>
      <c r="K33" s="33"/>
      <c r="L33" s="33"/>
      <c r="M33" s="33"/>
    </row>
    <row r="34" spans="1:13" x14ac:dyDescent="0.25">
      <c r="A34" s="56" t="s">
        <v>60</v>
      </c>
      <c r="B34" s="57">
        <v>0.01</v>
      </c>
      <c r="C34" s="58">
        <f t="shared" si="2"/>
        <v>57.05</v>
      </c>
      <c r="D34" s="55"/>
      <c r="E34" s="33"/>
    </row>
    <row r="35" spans="1:13" x14ac:dyDescent="0.25">
      <c r="A35" s="56" t="s">
        <v>61</v>
      </c>
      <c r="B35" s="57">
        <v>2E-3</v>
      </c>
      <c r="C35" s="58">
        <f t="shared" si="2"/>
        <v>11.41</v>
      </c>
      <c r="D35" s="55"/>
      <c r="E35" s="33"/>
    </row>
    <row r="36" spans="1:13" x14ac:dyDescent="0.25">
      <c r="A36" s="56" t="s">
        <v>62</v>
      </c>
      <c r="B36" s="57">
        <v>2.5000000000000001E-2</v>
      </c>
      <c r="C36" s="58">
        <f t="shared" si="2"/>
        <v>142.63</v>
      </c>
      <c r="D36" s="55"/>
      <c r="E36" s="33"/>
    </row>
    <row r="37" spans="1:13" x14ac:dyDescent="0.25">
      <c r="A37" s="56" t="s">
        <v>63</v>
      </c>
      <c r="B37" s="57">
        <v>0.08</v>
      </c>
      <c r="C37" s="58">
        <f t="shared" si="2"/>
        <v>456.42</v>
      </c>
      <c r="D37" s="55"/>
    </row>
    <row r="38" spans="1:13" x14ac:dyDescent="0.25">
      <c r="A38" s="56" t="s">
        <v>64</v>
      </c>
      <c r="B38" s="57">
        <v>0.01</v>
      </c>
      <c r="C38" s="58">
        <f t="shared" si="2"/>
        <v>57.05</v>
      </c>
      <c r="D38" s="55"/>
    </row>
    <row r="39" spans="1:13" x14ac:dyDescent="0.25">
      <c r="A39" s="56" t="s">
        <v>65</v>
      </c>
      <c r="B39" s="57">
        <v>6.0000000000000001E-3</v>
      </c>
      <c r="C39" s="59">
        <f t="shared" si="2"/>
        <v>34.229999999999997</v>
      </c>
      <c r="D39" s="55"/>
    </row>
    <row r="40" spans="1:13" x14ac:dyDescent="0.25">
      <c r="A40" s="14" t="s">
        <v>66</v>
      </c>
      <c r="B40" s="15">
        <f>ROUND(SUM(B32:B39),4)</f>
        <v>0.14799999999999999</v>
      </c>
      <c r="C40" s="60">
        <f>ROUND(SUM(C32:C39),2)</f>
        <v>844.37</v>
      </c>
      <c r="D40" s="55"/>
      <c r="E40" s="33"/>
    </row>
    <row r="41" spans="1:13" x14ac:dyDescent="0.25">
      <c r="A41" s="61"/>
      <c r="B41" s="62"/>
      <c r="C41" s="63"/>
      <c r="D41" s="55"/>
    </row>
    <row r="42" spans="1:13" x14ac:dyDescent="0.25">
      <c r="A42" s="14" t="s">
        <v>67</v>
      </c>
      <c r="B42" s="64" t="s">
        <v>37</v>
      </c>
      <c r="C42" s="16" t="s">
        <v>38</v>
      </c>
      <c r="D42" s="55"/>
    </row>
    <row r="43" spans="1:13" x14ac:dyDescent="0.25">
      <c r="A43" s="65" t="s">
        <v>68</v>
      </c>
      <c r="B43" s="57">
        <v>9.0899999999999995E-2</v>
      </c>
      <c r="C43" s="66">
        <f>ROUND($C$8*B43,2)</f>
        <v>518.61</v>
      </c>
      <c r="D43" s="55"/>
    </row>
    <row r="44" spans="1:13" x14ac:dyDescent="0.25">
      <c r="A44" s="65" t="s">
        <v>69</v>
      </c>
      <c r="B44" s="57">
        <f>B43/3</f>
        <v>3.0299999999999997E-2</v>
      </c>
      <c r="C44" s="58">
        <f>ROUND($C$8*B44,2)</f>
        <v>172.87</v>
      </c>
      <c r="D44" s="55"/>
      <c r="I44" s="67"/>
    </row>
    <row r="45" spans="1:13" x14ac:dyDescent="0.25">
      <c r="A45" s="188" t="s">
        <v>70</v>
      </c>
      <c r="B45" s="182"/>
      <c r="C45" s="68">
        <f>SUM(C43:C44)</f>
        <v>691.48</v>
      </c>
      <c r="D45" s="55"/>
    </row>
    <row r="46" spans="1:13" x14ac:dyDescent="0.25">
      <c r="A46" s="69" t="s">
        <v>71</v>
      </c>
      <c r="B46" s="57">
        <f>B40*B43</f>
        <v>1.3453199999999998E-2</v>
      </c>
      <c r="C46" s="58">
        <f>ROUND($C$8*B46,2)</f>
        <v>76.75</v>
      </c>
      <c r="D46" s="55"/>
    </row>
    <row r="47" spans="1:13" x14ac:dyDescent="0.25">
      <c r="A47" s="14" t="s">
        <v>72</v>
      </c>
      <c r="B47" s="15">
        <f>SUM(B43:B44,B46)</f>
        <v>0.13465319999999997</v>
      </c>
      <c r="C47" s="60">
        <f>C45+C46</f>
        <v>768.23</v>
      </c>
      <c r="D47" s="55"/>
      <c r="E47" s="33"/>
    </row>
    <row r="48" spans="1:13" x14ac:dyDescent="0.25">
      <c r="A48" s="61"/>
      <c r="B48" s="62"/>
      <c r="C48" s="63"/>
      <c r="D48" s="55"/>
    </row>
    <row r="49" spans="1:7" x14ac:dyDescent="0.25">
      <c r="A49" s="14" t="s">
        <v>73</v>
      </c>
      <c r="B49" s="64" t="s">
        <v>37</v>
      </c>
      <c r="C49" s="16" t="s">
        <v>38</v>
      </c>
      <c r="D49" s="55"/>
    </row>
    <row r="50" spans="1:7" x14ac:dyDescent="0.25">
      <c r="A50" s="65" t="s">
        <v>74</v>
      </c>
      <c r="B50" s="57">
        <v>2.9999999999999997E-4</v>
      </c>
      <c r="C50" s="58">
        <f>ROUND($C$8*B50,2)</f>
        <v>1.71</v>
      </c>
      <c r="D50" s="55"/>
      <c r="G50" s="70"/>
    </row>
    <row r="51" spans="1:7" x14ac:dyDescent="0.25">
      <c r="A51" s="65" t="s">
        <v>75</v>
      </c>
      <c r="B51" s="57">
        <f>B40*B50</f>
        <v>4.4399999999999995E-5</v>
      </c>
      <c r="C51" s="58">
        <f>ROUND($C$8*B51,2)</f>
        <v>0.25</v>
      </c>
      <c r="D51" s="55"/>
    </row>
    <row r="52" spans="1:7" x14ac:dyDescent="0.25">
      <c r="A52" s="14" t="s">
        <v>76</v>
      </c>
      <c r="B52" s="15">
        <f>SUM(B50:B51)</f>
        <v>3.4439999999999997E-4</v>
      </c>
      <c r="C52" s="60">
        <f>SUM(C50:C51)</f>
        <v>1.96</v>
      </c>
      <c r="D52" s="55"/>
      <c r="E52" s="33"/>
    </row>
    <row r="53" spans="1:7" x14ac:dyDescent="0.25">
      <c r="A53" s="61"/>
      <c r="B53" s="62"/>
      <c r="C53" s="63"/>
      <c r="D53" s="55"/>
    </row>
    <row r="54" spans="1:7" x14ac:dyDescent="0.25">
      <c r="A54" s="14" t="s">
        <v>77</v>
      </c>
      <c r="B54" s="64" t="s">
        <v>37</v>
      </c>
      <c r="C54" s="16" t="s">
        <v>38</v>
      </c>
      <c r="D54" s="55"/>
    </row>
    <row r="55" spans="1:7" x14ac:dyDescent="0.25">
      <c r="A55" s="65" t="s">
        <v>78</v>
      </c>
      <c r="B55" s="71">
        <v>8.3000000000000001E-3</v>
      </c>
      <c r="C55" s="58">
        <f t="shared" ref="C55:C60" si="3">ROUND($C$8*B55,2)</f>
        <v>47.35</v>
      </c>
      <c r="D55" s="55"/>
    </row>
    <row r="56" spans="1:7" x14ac:dyDescent="0.25">
      <c r="A56" s="65" t="s">
        <v>79</v>
      </c>
      <c r="B56" s="139">
        <f>B55*B37</f>
        <v>6.6399999999999999E-4</v>
      </c>
      <c r="C56" s="58">
        <f t="shared" si="3"/>
        <v>3.79</v>
      </c>
      <c r="D56" s="55"/>
    </row>
    <row r="57" spans="1:7" x14ac:dyDescent="0.25">
      <c r="A57" s="65" t="s">
        <v>80</v>
      </c>
      <c r="B57" s="140">
        <v>0</v>
      </c>
      <c r="C57" s="58">
        <f t="shared" si="3"/>
        <v>0</v>
      </c>
      <c r="D57" s="55"/>
    </row>
    <row r="58" spans="1:7" x14ac:dyDescent="0.25">
      <c r="A58" s="65" t="s">
        <v>81</v>
      </c>
      <c r="B58" s="71">
        <v>1.9400000000000001E-2</v>
      </c>
      <c r="C58" s="58">
        <f t="shared" si="3"/>
        <v>110.68</v>
      </c>
      <c r="D58" s="55"/>
    </row>
    <row r="59" spans="1:7" x14ac:dyDescent="0.25">
      <c r="A59" s="65" t="s">
        <v>82</v>
      </c>
      <c r="B59" s="71">
        <f>B58*B40</f>
        <v>2.8712E-3</v>
      </c>
      <c r="C59" s="58">
        <f t="shared" si="3"/>
        <v>16.38</v>
      </c>
      <c r="D59" s="55"/>
    </row>
    <row r="60" spans="1:7" x14ac:dyDescent="0.25">
      <c r="A60" s="65" t="s">
        <v>83</v>
      </c>
      <c r="B60" s="71">
        <v>4.36E-2</v>
      </c>
      <c r="C60" s="58">
        <f t="shared" si="3"/>
        <v>248.75</v>
      </c>
      <c r="D60" s="55"/>
    </row>
    <row r="61" spans="1:7" x14ac:dyDescent="0.25">
      <c r="A61" s="14" t="s">
        <v>84</v>
      </c>
      <c r="B61" s="15">
        <f>SUM(B55:B60)</f>
        <v>7.4835200000000004E-2</v>
      </c>
      <c r="C61" s="60">
        <f>SUM(C55:C60)</f>
        <v>426.95</v>
      </c>
      <c r="D61" s="55"/>
      <c r="E61" s="33"/>
    </row>
    <row r="62" spans="1:7" x14ac:dyDescent="0.25">
      <c r="A62" s="61"/>
      <c r="B62" s="62"/>
      <c r="C62" s="63"/>
      <c r="D62" s="55"/>
    </row>
    <row r="63" spans="1:7" x14ac:dyDescent="0.25">
      <c r="A63" s="14" t="s">
        <v>85</v>
      </c>
      <c r="B63" s="64" t="s">
        <v>37</v>
      </c>
      <c r="C63" s="16" t="s">
        <v>38</v>
      </c>
      <c r="D63" s="55"/>
    </row>
    <row r="64" spans="1:7" x14ac:dyDescent="0.25">
      <c r="A64" s="65" t="s">
        <v>86</v>
      </c>
      <c r="B64" s="71">
        <v>9.0899999999999995E-2</v>
      </c>
      <c r="C64" s="58">
        <f t="shared" ref="C64:C69" si="4">ROUND($C$8*B64,2)</f>
        <v>518.61</v>
      </c>
      <c r="D64" s="55"/>
    </row>
    <row r="65" spans="1:5" x14ac:dyDescent="0.25">
      <c r="A65" s="65" t="s">
        <v>87</v>
      </c>
      <c r="B65" s="71">
        <v>1.66E-2</v>
      </c>
      <c r="C65" s="58">
        <f t="shared" si="4"/>
        <v>94.71</v>
      </c>
      <c r="D65" s="55"/>
    </row>
    <row r="66" spans="1:5" x14ac:dyDescent="0.25">
      <c r="A66" s="65" t="s">
        <v>88</v>
      </c>
      <c r="B66" s="71">
        <v>2.0000000000000001E-4</v>
      </c>
      <c r="C66" s="58">
        <f t="shared" si="4"/>
        <v>1.1399999999999999</v>
      </c>
      <c r="D66" s="55"/>
    </row>
    <row r="67" spans="1:5" x14ac:dyDescent="0.25">
      <c r="A67" s="65" t="s">
        <v>89</v>
      </c>
      <c r="B67" s="71">
        <v>0.01</v>
      </c>
      <c r="C67" s="58">
        <f t="shared" si="4"/>
        <v>57.05</v>
      </c>
      <c r="D67" s="55"/>
    </row>
    <row r="68" spans="1:5" x14ac:dyDescent="0.25">
      <c r="A68" s="65" t="s">
        <v>90</v>
      </c>
      <c r="B68" s="71">
        <v>3.0000000000000001E-3</v>
      </c>
      <c r="C68" s="58">
        <f t="shared" si="4"/>
        <v>17.12</v>
      </c>
      <c r="D68" s="55"/>
    </row>
    <row r="69" spans="1:5" x14ac:dyDescent="0.25">
      <c r="A69" s="65" t="s">
        <v>91</v>
      </c>
      <c r="B69" s="71">
        <v>0</v>
      </c>
      <c r="C69" s="58">
        <f t="shared" si="4"/>
        <v>0</v>
      </c>
      <c r="D69" s="55"/>
    </row>
    <row r="70" spans="1:5" x14ac:dyDescent="0.25">
      <c r="A70" s="181" t="s">
        <v>70</v>
      </c>
      <c r="B70" s="182"/>
      <c r="C70" s="68">
        <f>SUM(C64:C69)</f>
        <v>688.63</v>
      </c>
      <c r="D70" s="55"/>
      <c r="E70" s="33"/>
    </row>
    <row r="71" spans="1:5" x14ac:dyDescent="0.25">
      <c r="A71" s="69" t="s">
        <v>92</v>
      </c>
      <c r="B71" s="57">
        <f>SUM(B64:B69)*B40</f>
        <v>1.78636E-2</v>
      </c>
      <c r="C71" s="58">
        <f>ROUND($C$8*B71,2)</f>
        <v>101.92</v>
      </c>
      <c r="D71" s="55"/>
    </row>
    <row r="72" spans="1:5" x14ac:dyDescent="0.25">
      <c r="A72" s="14" t="s">
        <v>93</v>
      </c>
      <c r="B72" s="15">
        <f>SUM(B64:B69,B71)</f>
        <v>0.13856360000000001</v>
      </c>
      <c r="C72" s="60">
        <f>SUM(C64:C69)+C71</f>
        <v>790.55</v>
      </c>
      <c r="D72" s="55"/>
      <c r="E72" s="33"/>
    </row>
    <row r="73" spans="1:5" x14ac:dyDescent="0.25">
      <c r="A73" s="61"/>
      <c r="B73" s="62"/>
      <c r="C73" s="63"/>
      <c r="D73" s="55"/>
    </row>
    <row r="74" spans="1:5" s="52" customFormat="1" x14ac:dyDescent="0.25">
      <c r="A74" s="14" t="s">
        <v>94</v>
      </c>
      <c r="B74" s="64">
        <f>SUM(B40,B47,B52,B61,B72)</f>
        <v>0.49639639999999996</v>
      </c>
      <c r="C74" s="16">
        <f>SUM(C40,C47,C52,C61,C72)</f>
        <v>2832.06</v>
      </c>
      <c r="D74" s="72"/>
    </row>
    <row r="75" spans="1:5" x14ac:dyDescent="0.25">
      <c r="A75" s="73"/>
      <c r="B75" s="74"/>
      <c r="C75" s="75"/>
    </row>
    <row r="76" spans="1:5" x14ac:dyDescent="0.25">
      <c r="A76" s="174" t="s">
        <v>95</v>
      </c>
      <c r="B76" s="174"/>
      <c r="C76" s="174"/>
    </row>
    <row r="77" spans="1:5" x14ac:dyDescent="0.25">
      <c r="A77" s="42" t="s">
        <v>96</v>
      </c>
      <c r="B77" s="15" t="s">
        <v>37</v>
      </c>
      <c r="C77" s="16" t="s">
        <v>38</v>
      </c>
    </row>
    <row r="78" spans="1:5" x14ac:dyDescent="0.25">
      <c r="A78" s="65" t="s">
        <v>97</v>
      </c>
      <c r="B78" s="18">
        <f>B40</f>
        <v>0.14799999999999999</v>
      </c>
      <c r="C78" s="68">
        <f>ROUND($C$8*B78,2)</f>
        <v>844.38</v>
      </c>
    </row>
    <row r="79" spans="1:5" x14ac:dyDescent="0.25">
      <c r="A79" s="65" t="s">
        <v>98</v>
      </c>
      <c r="B79" s="18">
        <f>B47</f>
        <v>0.13465319999999997</v>
      </c>
      <c r="C79" s="68">
        <f t="shared" ref="C79:C83" si="5">ROUND($C$8*B79,2)</f>
        <v>768.23</v>
      </c>
    </row>
    <row r="80" spans="1:5" x14ac:dyDescent="0.25">
      <c r="A80" s="65" t="s">
        <v>99</v>
      </c>
      <c r="B80" s="18">
        <f>B52</f>
        <v>3.4439999999999997E-4</v>
      </c>
      <c r="C80" s="68">
        <f t="shared" si="5"/>
        <v>1.96</v>
      </c>
    </row>
    <row r="81" spans="1:7" x14ac:dyDescent="0.25">
      <c r="A81" s="65" t="s">
        <v>100</v>
      </c>
      <c r="B81" s="18">
        <f>B61</f>
        <v>7.4835200000000004E-2</v>
      </c>
      <c r="C81" s="68">
        <f t="shared" si="5"/>
        <v>426.96</v>
      </c>
    </row>
    <row r="82" spans="1:7" x14ac:dyDescent="0.25">
      <c r="A82" s="65" t="s">
        <v>101</v>
      </c>
      <c r="B82" s="18">
        <f>B72</f>
        <v>0.13856360000000001</v>
      </c>
      <c r="C82" s="68">
        <f t="shared" si="5"/>
        <v>790.54</v>
      </c>
    </row>
    <row r="83" spans="1:7" x14ac:dyDescent="0.25">
      <c r="A83" s="65" t="s">
        <v>102</v>
      </c>
      <c r="B83" s="18">
        <v>0</v>
      </c>
      <c r="C83" s="68">
        <f t="shared" si="5"/>
        <v>0</v>
      </c>
    </row>
    <row r="84" spans="1:7" x14ac:dyDescent="0.25">
      <c r="A84" s="14" t="s">
        <v>103</v>
      </c>
      <c r="B84" s="15">
        <f>SUM(B78:B83)</f>
        <v>0.49639639999999996</v>
      </c>
      <c r="C84" s="16">
        <f>SUM(C78:C83)</f>
        <v>2832.07</v>
      </c>
    </row>
    <row r="85" spans="1:7" x14ac:dyDescent="0.25">
      <c r="A85" s="76"/>
      <c r="B85" s="62"/>
      <c r="C85" s="63"/>
    </row>
    <row r="86" spans="1:7" x14ac:dyDescent="0.25">
      <c r="A86" s="165" t="s">
        <v>104</v>
      </c>
      <c r="B86" s="165"/>
      <c r="C86" s="16">
        <f>C8+C20+C28+C84</f>
        <v>9790.9889999999996</v>
      </c>
    </row>
    <row r="87" spans="1:7" x14ac:dyDescent="0.25">
      <c r="A87" s="77"/>
      <c r="B87" s="77"/>
      <c r="C87" s="25"/>
      <c r="E87" s="33"/>
    </row>
    <row r="88" spans="1:7" x14ac:dyDescent="0.25">
      <c r="A88" s="168" t="s">
        <v>105</v>
      </c>
      <c r="B88" s="169"/>
      <c r="C88" s="170"/>
      <c r="E88" s="33"/>
    </row>
    <row r="89" spans="1:7" x14ac:dyDescent="0.25">
      <c r="A89" s="78" t="s">
        <v>106</v>
      </c>
      <c r="B89" s="64" t="s">
        <v>37</v>
      </c>
      <c r="C89" s="79" t="s">
        <v>38</v>
      </c>
      <c r="E89" s="55"/>
    </row>
    <row r="90" spans="1:7" x14ac:dyDescent="0.25">
      <c r="A90" s="56" t="s">
        <v>107</v>
      </c>
      <c r="B90" s="57">
        <v>6.7679333466776903E-2</v>
      </c>
      <c r="C90" s="58">
        <f>ROUND($C$86*B90,2)</f>
        <v>662.65</v>
      </c>
    </row>
    <row r="91" spans="1:7" x14ac:dyDescent="0.25">
      <c r="A91" s="56" t="s">
        <v>108</v>
      </c>
      <c r="B91" s="57">
        <v>0.04</v>
      </c>
      <c r="C91" s="58">
        <f>ROUND($C$86*B91,2)</f>
        <v>391.64</v>
      </c>
      <c r="E91" s="175"/>
      <c r="F91" s="176"/>
    </row>
    <row r="92" spans="1:7" x14ac:dyDescent="0.25">
      <c r="A92" s="177" t="s">
        <v>109</v>
      </c>
      <c r="B92" s="178"/>
      <c r="C92" s="36">
        <f>ROUND(SUM(C90:C91),2)</f>
        <v>1054.29</v>
      </c>
      <c r="E92" s="175"/>
      <c r="F92" s="176"/>
    </row>
    <row r="93" spans="1:7" x14ac:dyDescent="0.25">
      <c r="A93" s="179"/>
      <c r="B93" s="180"/>
      <c r="C93" s="25"/>
      <c r="E93" s="175"/>
      <c r="F93" s="176"/>
    </row>
    <row r="94" spans="1:7" x14ac:dyDescent="0.25">
      <c r="A94" s="177" t="s">
        <v>110</v>
      </c>
      <c r="B94" s="178"/>
      <c r="C94" s="36">
        <f>'Custos do Time'!I9</f>
        <v>269.09871154699829</v>
      </c>
      <c r="E94" s="175"/>
      <c r="F94" s="176"/>
    </row>
    <row r="95" spans="1:7" x14ac:dyDescent="0.25">
      <c r="A95" s="81"/>
      <c r="B95" s="80"/>
      <c r="C95" s="25"/>
      <c r="E95" s="82"/>
      <c r="F95" s="83"/>
    </row>
    <row r="96" spans="1:7" x14ac:dyDescent="0.25">
      <c r="A96" s="168" t="s">
        <v>111</v>
      </c>
      <c r="B96" s="169"/>
      <c r="C96" s="170"/>
      <c r="E96" s="33"/>
      <c r="F96" s="33"/>
      <c r="G96" s="33"/>
    </row>
    <row r="97" spans="1:11" x14ac:dyDescent="0.25">
      <c r="A97" s="78" t="s">
        <v>112</v>
      </c>
      <c r="B97" s="64" t="s">
        <v>37</v>
      </c>
      <c r="C97" s="79" t="s">
        <v>38</v>
      </c>
      <c r="E97" s="33"/>
      <c r="F97" s="33"/>
      <c r="G97" s="33"/>
    </row>
    <row r="98" spans="1:11" x14ac:dyDescent="0.25">
      <c r="A98" s="20" t="s">
        <v>113</v>
      </c>
      <c r="B98" s="18">
        <v>0.02</v>
      </c>
      <c r="C98" s="84">
        <f>ROUND($C$105*B98/$B$102,2)</f>
        <v>247.4</v>
      </c>
      <c r="E98" s="85"/>
      <c r="F98" s="33"/>
      <c r="G98" s="33"/>
      <c r="H98" s="33"/>
      <c r="I98" s="33"/>
      <c r="J98" s="33"/>
    </row>
    <row r="99" spans="1:11" x14ac:dyDescent="0.25">
      <c r="A99" s="20" t="s">
        <v>114</v>
      </c>
      <c r="B99" s="18">
        <v>6.4999999999999997E-3</v>
      </c>
      <c r="C99" s="84">
        <f>ROUND($C$105*B99/$B$102,2)</f>
        <v>80.400000000000006</v>
      </c>
      <c r="F99" s="33"/>
      <c r="G99" s="33"/>
      <c r="H99" s="33"/>
      <c r="I99" s="33"/>
      <c r="J99" s="33"/>
    </row>
    <row r="100" spans="1:11" x14ac:dyDescent="0.25">
      <c r="A100" s="20" t="s">
        <v>115</v>
      </c>
      <c r="B100" s="18">
        <v>0.03</v>
      </c>
      <c r="C100" s="84">
        <f>ROUND($C$105*B100/$B$102,2)</f>
        <v>371.1</v>
      </c>
      <c r="F100" s="33"/>
      <c r="G100" s="33"/>
      <c r="H100" s="33"/>
      <c r="I100" s="33"/>
      <c r="J100" s="33"/>
    </row>
    <row r="101" spans="1:11" ht="30" x14ac:dyDescent="0.25">
      <c r="A101" s="86" t="s">
        <v>116</v>
      </c>
      <c r="B101" s="18">
        <v>4.4999999999999998E-2</v>
      </c>
      <c r="C101" s="87">
        <f>ROUND($C$105*B101/$B$102,2)</f>
        <v>556.65</v>
      </c>
      <c r="F101" s="33"/>
      <c r="G101" s="33"/>
      <c r="H101" s="33"/>
      <c r="I101" s="33"/>
      <c r="J101" s="33"/>
    </row>
    <row r="102" spans="1:11" x14ac:dyDescent="0.25">
      <c r="A102" s="88" t="s">
        <v>117</v>
      </c>
      <c r="B102" s="89">
        <f>ROUND(SUM(B98:B101),4)</f>
        <v>0.10150000000000001</v>
      </c>
      <c r="C102" s="90">
        <f>ROUND($C$105*B102/$B$102,2)</f>
        <v>1255.55</v>
      </c>
      <c r="E102" s="91"/>
      <c r="F102" s="33"/>
      <c r="G102" s="33"/>
      <c r="H102" s="33"/>
      <c r="I102" s="33"/>
      <c r="J102" s="33"/>
    </row>
    <row r="103" spans="1:11" s="33" customFormat="1" x14ac:dyDescent="0.25">
      <c r="A103" s="92"/>
      <c r="B103" s="93"/>
      <c r="C103" s="94"/>
      <c r="D103" s="45"/>
      <c r="E103" s="11"/>
      <c r="H103" s="11"/>
      <c r="I103" s="11"/>
      <c r="J103" s="11"/>
    </row>
    <row r="104" spans="1:11" s="33" customFormat="1" x14ac:dyDescent="0.25">
      <c r="A104" s="172" t="s">
        <v>118</v>
      </c>
      <c r="B104" s="173"/>
      <c r="C104" s="95">
        <f>ROUND(C86+C92+C94,2)</f>
        <v>11114.38</v>
      </c>
      <c r="E104" s="11"/>
      <c r="F104" s="11"/>
      <c r="G104" s="11"/>
      <c r="H104" s="11"/>
      <c r="I104" s="11"/>
      <c r="J104" s="11"/>
      <c r="K104" s="11"/>
    </row>
    <row r="105" spans="1:11" x14ac:dyDescent="0.25">
      <c r="A105" s="166" t="s">
        <v>119</v>
      </c>
      <c r="B105" s="167"/>
      <c r="C105" s="16">
        <f>ROUND(C106-C104,2)</f>
        <v>1255.55</v>
      </c>
      <c r="E105" s="91"/>
      <c r="G105" s="33"/>
      <c r="H105" s="33"/>
      <c r="I105" s="33"/>
      <c r="J105" s="33"/>
    </row>
    <row r="106" spans="1:11" s="33" customFormat="1" x14ac:dyDescent="0.25">
      <c r="A106" s="165" t="s">
        <v>120</v>
      </c>
      <c r="B106" s="165"/>
      <c r="C106" s="16">
        <f>ROUND(C104/(1-$B$102),2)</f>
        <v>12369.93</v>
      </c>
      <c r="D106" s="45"/>
    </row>
    <row r="107" spans="1:11" s="33" customFormat="1" x14ac:dyDescent="0.25">
      <c r="A107" s="96"/>
      <c r="B107" s="81"/>
      <c r="C107" s="97"/>
    </row>
    <row r="108" spans="1:11" s="33" customFormat="1" x14ac:dyDescent="0.25">
      <c r="A108" s="168" t="s">
        <v>121</v>
      </c>
      <c r="B108" s="169"/>
      <c r="C108" s="170"/>
    </row>
    <row r="109" spans="1:11" s="33" customFormat="1" x14ac:dyDescent="0.25">
      <c r="A109" s="171" t="s">
        <v>122</v>
      </c>
      <c r="B109" s="171"/>
      <c r="C109" s="22">
        <f>ROUND(C106,2)</f>
        <v>12369.93</v>
      </c>
    </row>
    <row r="110" spans="1:11" x14ac:dyDescent="0.25">
      <c r="A110" s="23"/>
      <c r="B110" s="81"/>
      <c r="C110" s="97"/>
    </row>
    <row r="111" spans="1:11" hidden="1" x14ac:dyDescent="0.25">
      <c r="A111" s="165" t="s">
        <v>123</v>
      </c>
      <c r="B111" s="165"/>
      <c r="C111" s="68" t="e">
        <f>ROUND(#REF!/C8,2)</f>
        <v>#REF!</v>
      </c>
    </row>
    <row r="112" spans="1:11" x14ac:dyDescent="0.25">
      <c r="A112" s="165" t="s">
        <v>124</v>
      </c>
      <c r="B112" s="165"/>
      <c r="C112" s="68">
        <f>ROUND(C109/C10,2)</f>
        <v>77.31</v>
      </c>
    </row>
    <row r="113" spans="1:3" hidden="1" x14ac:dyDescent="0.25">
      <c r="A113" s="165" t="s">
        <v>125</v>
      </c>
      <c r="B113" s="165"/>
      <c r="C113" s="68" t="e">
        <f>#REF!</f>
        <v>#REF!</v>
      </c>
    </row>
    <row r="114" spans="1:3" x14ac:dyDescent="0.25">
      <c r="C114" s="97"/>
    </row>
  </sheetData>
  <mergeCells count="30">
    <mergeCell ref="A108:C108"/>
    <mergeCell ref="A109:B109"/>
    <mergeCell ref="A111:B111"/>
    <mergeCell ref="A112:B112"/>
    <mergeCell ref="A113:B113"/>
    <mergeCell ref="A106:B106"/>
    <mergeCell ref="A86:B86"/>
    <mergeCell ref="A88:C88"/>
    <mergeCell ref="E91:F91"/>
    <mergeCell ref="A92:B92"/>
    <mergeCell ref="E92:F92"/>
    <mergeCell ref="A93:B93"/>
    <mergeCell ref="E93:F93"/>
    <mergeCell ref="A94:B94"/>
    <mergeCell ref="E94:F94"/>
    <mergeCell ref="A96:C96"/>
    <mergeCell ref="A104:B104"/>
    <mergeCell ref="A105:B105"/>
    <mergeCell ref="A76:C76"/>
    <mergeCell ref="A1:C1"/>
    <mergeCell ref="A2:C2"/>
    <mergeCell ref="A4:C4"/>
    <mergeCell ref="A8:B8"/>
    <mergeCell ref="A13:C13"/>
    <mergeCell ref="A20:B20"/>
    <mergeCell ref="A22:C22"/>
    <mergeCell ref="A28:B28"/>
    <mergeCell ref="A30:C30"/>
    <mergeCell ref="A45:B45"/>
    <mergeCell ref="A70:B70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3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M114"/>
  <sheetViews>
    <sheetView showGridLines="0" view="pageBreakPreview" zoomScaleNormal="80" zoomScaleSheetLayoutView="100" workbookViewId="0">
      <selection activeCell="E94" sqref="E94:F94"/>
    </sheetView>
  </sheetViews>
  <sheetFormatPr defaultColWidth="9.140625" defaultRowHeight="15" x14ac:dyDescent="0.25"/>
  <cols>
    <col min="1" max="1" width="75.85546875" style="98" customWidth="1"/>
    <col min="2" max="2" width="15.7109375" style="99" customWidth="1"/>
    <col min="3" max="3" width="18.7109375" style="100" customWidth="1"/>
    <col min="4" max="4" width="5.7109375" style="11" customWidth="1"/>
    <col min="5" max="5" width="10" style="11" customWidth="1"/>
    <col min="6" max="6" width="11.7109375" style="11" customWidth="1"/>
    <col min="7" max="7" width="15" style="11" customWidth="1"/>
    <col min="8" max="8" width="12.7109375" style="11" customWidth="1"/>
    <col min="9" max="9" width="13.140625" style="11" bestFit="1" customWidth="1"/>
    <col min="10" max="10" width="12.7109375" style="11" customWidth="1"/>
    <col min="11" max="11" width="13.140625" style="11" bestFit="1" customWidth="1"/>
    <col min="12" max="16384" width="9.140625" style="11"/>
  </cols>
  <sheetData>
    <row r="1" spans="1:13" s="10" customFormat="1" ht="18.75" x14ac:dyDescent="0.25">
      <c r="A1" s="186" t="s">
        <v>141</v>
      </c>
      <c r="B1" s="186"/>
      <c r="C1" s="186"/>
    </row>
    <row r="2" spans="1:13" ht="18.600000000000001" customHeight="1" x14ac:dyDescent="0.25">
      <c r="A2" s="187" t="s">
        <v>143</v>
      </c>
      <c r="B2" s="187"/>
      <c r="C2" s="187"/>
    </row>
    <row r="3" spans="1:13" x14ac:dyDescent="0.25">
      <c r="A3" s="12"/>
      <c r="B3" s="13"/>
      <c r="C3" s="13"/>
    </row>
    <row r="4" spans="1:13" x14ac:dyDescent="0.25">
      <c r="A4" s="174" t="s">
        <v>35</v>
      </c>
      <c r="B4" s="174"/>
      <c r="C4" s="174"/>
    </row>
    <row r="5" spans="1:13" x14ac:dyDescent="0.25">
      <c r="A5" s="14" t="s">
        <v>36</v>
      </c>
      <c r="B5" s="15" t="s">
        <v>37</v>
      </c>
      <c r="C5" s="16" t="s">
        <v>38</v>
      </c>
    </row>
    <row r="6" spans="1:13" x14ac:dyDescent="0.25">
      <c r="A6" s="17" t="s">
        <v>39</v>
      </c>
      <c r="B6" s="18">
        <v>1</v>
      </c>
      <c r="C6" s="114">
        <v>1888.92</v>
      </c>
      <c r="G6" s="19"/>
    </row>
    <row r="7" spans="1:13" x14ac:dyDescent="0.25">
      <c r="A7" s="20" t="s">
        <v>40</v>
      </c>
      <c r="B7" s="18"/>
      <c r="C7" s="21">
        <f>ROUND(B7*C6,2)</f>
        <v>0</v>
      </c>
      <c r="E7" s="19"/>
    </row>
    <row r="8" spans="1:13" x14ac:dyDescent="0.25">
      <c r="A8" s="177" t="s">
        <v>41</v>
      </c>
      <c r="B8" s="183"/>
      <c r="C8" s="22">
        <f>C6+C7</f>
        <v>1888.92</v>
      </c>
    </row>
    <row r="9" spans="1:13" x14ac:dyDescent="0.25">
      <c r="A9" s="23"/>
      <c r="B9" s="80"/>
      <c r="C9" s="25"/>
    </row>
    <row r="10" spans="1:13" x14ac:dyDescent="0.25">
      <c r="A10" s="26" t="s">
        <v>42</v>
      </c>
      <c r="B10" s="27"/>
      <c r="C10" s="28">
        <v>160</v>
      </c>
    </row>
    <row r="11" spans="1:13" x14ac:dyDescent="0.25">
      <c r="A11" s="26" t="s">
        <v>43</v>
      </c>
      <c r="B11" s="27"/>
      <c r="C11" s="28">
        <f>ROUND(C8/C10,2)</f>
        <v>11.81</v>
      </c>
    </row>
    <row r="12" spans="1:13" x14ac:dyDescent="0.25">
      <c r="A12" s="23"/>
      <c r="B12" s="80"/>
      <c r="C12" s="25"/>
    </row>
    <row r="13" spans="1:13" x14ac:dyDescent="0.25">
      <c r="A13" s="184" t="s">
        <v>44</v>
      </c>
      <c r="B13" s="185"/>
      <c r="C13" s="185"/>
      <c r="D13" s="33"/>
      <c r="E13" s="107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A14" s="14" t="s">
        <v>45</v>
      </c>
      <c r="B14" s="15" t="s">
        <v>37</v>
      </c>
      <c r="C14" s="101" t="s">
        <v>38</v>
      </c>
      <c r="D14" s="33"/>
      <c r="E14" s="108"/>
      <c r="F14" s="109"/>
      <c r="G14" s="33"/>
      <c r="H14" s="33"/>
      <c r="I14" s="33"/>
      <c r="J14" s="33"/>
      <c r="K14" s="33"/>
      <c r="L14" s="33"/>
      <c r="M14" s="33"/>
    </row>
    <row r="15" spans="1:13" x14ac:dyDescent="0.25">
      <c r="A15" s="29" t="s">
        <v>46</v>
      </c>
      <c r="B15" s="30">
        <f>C15/$C$8</f>
        <v>3.3352391842957879E-2</v>
      </c>
      <c r="C15" s="102">
        <v>63</v>
      </c>
      <c r="D15" s="45"/>
      <c r="E15" s="25"/>
      <c r="F15" s="110"/>
      <c r="G15" s="33"/>
      <c r="H15" s="32"/>
      <c r="I15" s="33"/>
      <c r="J15" s="33"/>
      <c r="K15" s="33"/>
      <c r="L15" s="33"/>
      <c r="M15" s="33"/>
    </row>
    <row r="16" spans="1:13" x14ac:dyDescent="0.25">
      <c r="A16" s="29" t="s">
        <v>47</v>
      </c>
      <c r="B16" s="30">
        <f>C16/$C$8</f>
        <v>0.27945969125214404</v>
      </c>
      <c r="C16" s="102">
        <f>(26.46*21)*(1-IF(C6&gt;=6851.4,20%,IF(C6&gt;=5592.97,15%,IF(C6&gt;=4474.37,10%,IF(C6&gt;=3076.13,7.5%,IF(C6&gt;=1817.71,5%,IF(C6&lt;=1817.7,0%)))))))</f>
        <v>527.87699999999995</v>
      </c>
      <c r="D16" s="33"/>
      <c r="E16" s="138"/>
      <c r="F16" s="111"/>
      <c r="G16" s="33"/>
      <c r="H16" s="33"/>
      <c r="I16" s="33"/>
      <c r="J16" s="33"/>
      <c r="K16" s="44"/>
      <c r="L16" s="33"/>
      <c r="M16" s="33"/>
    </row>
    <row r="17" spans="1:13" x14ac:dyDescent="0.25">
      <c r="A17" s="29" t="s">
        <v>48</v>
      </c>
      <c r="B17" s="30">
        <f t="shared" ref="B17:B19" si="0">C17/$C$8</f>
        <v>0.10873938546894521</v>
      </c>
      <c r="C17" s="102">
        <v>205.4</v>
      </c>
      <c r="D17" s="33"/>
      <c r="E17" s="138"/>
      <c r="F17" s="33"/>
      <c r="G17" s="45"/>
      <c r="H17" s="32"/>
      <c r="I17" s="32"/>
      <c r="J17" s="32"/>
      <c r="K17" s="32"/>
      <c r="L17" s="33"/>
      <c r="M17" s="33"/>
    </row>
    <row r="18" spans="1:13" x14ac:dyDescent="0.25">
      <c r="A18" s="29" t="s">
        <v>149</v>
      </c>
      <c r="B18" s="30">
        <v>0.1</v>
      </c>
      <c r="C18" s="102">
        <f>B18*C6</f>
        <v>188.89200000000002</v>
      </c>
      <c r="D18" s="33"/>
      <c r="E18" s="138"/>
      <c r="F18" s="33"/>
      <c r="G18" s="35"/>
      <c r="H18" s="34"/>
      <c r="I18" s="34"/>
      <c r="J18" s="35"/>
      <c r="K18" s="34"/>
      <c r="L18" s="33"/>
      <c r="M18" s="33"/>
    </row>
    <row r="19" spans="1:13" x14ac:dyDescent="0.25">
      <c r="A19" s="29" t="s">
        <v>49</v>
      </c>
      <c r="B19" s="30">
        <f t="shared" si="0"/>
        <v>2.858776443682104E-3</v>
      </c>
      <c r="C19" s="102">
        <v>5.4</v>
      </c>
      <c r="D19" s="33"/>
      <c r="E19" s="138"/>
      <c r="F19" s="35"/>
      <c r="G19" s="38"/>
      <c r="H19" s="38"/>
      <c r="I19" s="38"/>
      <c r="J19" s="38"/>
      <c r="K19" s="38"/>
      <c r="L19" s="33"/>
      <c r="M19" s="33"/>
    </row>
    <row r="20" spans="1:13" x14ac:dyDescent="0.25">
      <c r="A20" s="177" t="s">
        <v>50</v>
      </c>
      <c r="B20" s="178"/>
      <c r="C20" s="104">
        <f>SUM(C15:C19)</f>
        <v>990.56899999999996</v>
      </c>
      <c r="D20" s="33"/>
      <c r="E20" s="33"/>
      <c r="F20" s="37"/>
      <c r="G20" s="112"/>
      <c r="H20" s="38"/>
      <c r="I20" s="38"/>
      <c r="J20" s="38"/>
      <c r="K20" s="38"/>
      <c r="L20" s="33"/>
      <c r="M20" s="33"/>
    </row>
    <row r="21" spans="1:13" x14ac:dyDescent="0.25">
      <c r="A21" s="39"/>
      <c r="B21" s="40"/>
      <c r="C21" s="41"/>
      <c r="D21" s="33"/>
      <c r="E21" s="33"/>
      <c r="F21" s="35"/>
      <c r="G21" s="38"/>
      <c r="H21" s="38"/>
      <c r="I21" s="38"/>
      <c r="J21" s="38"/>
      <c r="K21" s="38"/>
      <c r="L21" s="33"/>
      <c r="M21" s="33"/>
    </row>
    <row r="22" spans="1:13" x14ac:dyDescent="0.25">
      <c r="A22" s="174" t="s">
        <v>51</v>
      </c>
      <c r="B22" s="174"/>
      <c r="C22" s="168"/>
      <c r="D22" s="33"/>
      <c r="E22" s="33"/>
      <c r="F22" s="35"/>
      <c r="G22" s="38"/>
      <c r="H22" s="38"/>
      <c r="I22" s="38"/>
      <c r="J22" s="38"/>
      <c r="K22" s="38"/>
      <c r="L22" s="33"/>
      <c r="M22" s="33"/>
    </row>
    <row r="23" spans="1:13" x14ac:dyDescent="0.25">
      <c r="A23" s="42" t="s">
        <v>45</v>
      </c>
      <c r="B23" s="43" t="s">
        <v>37</v>
      </c>
      <c r="C23" s="105" t="s">
        <v>38</v>
      </c>
      <c r="D23" s="33"/>
      <c r="E23" s="33"/>
      <c r="F23" s="33"/>
      <c r="G23" s="33"/>
      <c r="H23" s="32"/>
      <c r="I23" s="38"/>
      <c r="J23" s="38"/>
      <c r="K23" s="38"/>
      <c r="L23" s="33"/>
      <c r="M23" s="33"/>
    </row>
    <row r="24" spans="1:13" x14ac:dyDescent="0.25">
      <c r="A24" s="29" t="s">
        <v>52</v>
      </c>
      <c r="B24" s="30">
        <f>C24/$C$8</f>
        <v>0</v>
      </c>
      <c r="C24" s="103"/>
      <c r="D24" s="33"/>
      <c r="E24" s="33"/>
      <c r="F24" s="33"/>
      <c r="G24" s="33"/>
      <c r="H24" s="33"/>
      <c r="I24" s="44"/>
      <c r="J24" s="33"/>
      <c r="K24" s="33"/>
      <c r="L24" s="33"/>
      <c r="M24" s="33"/>
    </row>
    <row r="25" spans="1:13" x14ac:dyDescent="0.25">
      <c r="A25" s="29" t="s">
        <v>53</v>
      </c>
      <c r="B25" s="30">
        <f t="shared" ref="B25:B27" si="1">C25/$C$8</f>
        <v>0</v>
      </c>
      <c r="C25" s="103">
        <v>0</v>
      </c>
      <c r="D25" s="33"/>
      <c r="E25" s="138"/>
      <c r="F25" s="34"/>
      <c r="G25" s="45"/>
      <c r="H25" s="45"/>
      <c r="I25" s="45"/>
      <c r="J25" s="45"/>
      <c r="K25" s="32"/>
      <c r="L25" s="33"/>
      <c r="M25" s="33"/>
    </row>
    <row r="26" spans="1:13" x14ac:dyDescent="0.25">
      <c r="A26" s="46" t="str">
        <f>"C - Treinamento e/ou reciclagem / - (" &amp; TEXT(B26,"0,00%") &amp; ") sobre o salário"</f>
        <v>C - Treinamento e/ou reciclagem / - (0,00%) sobre o salário</v>
      </c>
      <c r="B26" s="30">
        <f t="shared" si="1"/>
        <v>0</v>
      </c>
      <c r="C26" s="103"/>
      <c r="D26" s="33"/>
      <c r="E26" s="33"/>
      <c r="F26" s="34"/>
      <c r="G26" s="35"/>
      <c r="H26" s="34"/>
      <c r="I26" s="35"/>
      <c r="J26" s="45"/>
      <c r="K26" s="32"/>
      <c r="L26" s="33"/>
      <c r="M26" s="33"/>
    </row>
    <row r="27" spans="1:13" x14ac:dyDescent="0.25">
      <c r="A27" s="47" t="s">
        <v>54</v>
      </c>
      <c r="B27" s="30">
        <f t="shared" si="1"/>
        <v>0</v>
      </c>
      <c r="C27" s="103"/>
      <c r="D27" s="45"/>
      <c r="E27" s="33"/>
      <c r="F27" s="34"/>
      <c r="G27" s="38"/>
      <c r="H27" s="38"/>
      <c r="I27" s="38"/>
      <c r="J27" s="33"/>
      <c r="K27" s="33"/>
      <c r="L27" s="33"/>
      <c r="M27" s="33"/>
    </row>
    <row r="28" spans="1:13" x14ac:dyDescent="0.25">
      <c r="A28" s="177" t="s">
        <v>55</v>
      </c>
      <c r="B28" s="178"/>
      <c r="C28" s="104">
        <f>SUM(C24:C27)</f>
        <v>0</v>
      </c>
      <c r="D28" s="33"/>
      <c r="E28" s="33"/>
      <c r="F28" s="34"/>
      <c r="G28" s="48"/>
      <c r="H28" s="48"/>
      <c r="I28" s="48"/>
      <c r="J28" s="48"/>
      <c r="K28" s="48"/>
      <c r="L28" s="33"/>
      <c r="M28" s="33"/>
    </row>
    <row r="29" spans="1:13" x14ac:dyDescent="0.25">
      <c r="A29" s="49"/>
      <c r="B29" s="50"/>
      <c r="C29" s="51"/>
      <c r="D29" s="33"/>
      <c r="E29" s="33"/>
      <c r="F29" s="33"/>
      <c r="G29" s="32"/>
      <c r="H29" s="32"/>
      <c r="I29" s="113"/>
      <c r="J29" s="32"/>
      <c r="K29" s="32"/>
      <c r="L29" s="33"/>
      <c r="M29" s="33"/>
    </row>
    <row r="30" spans="1:13" x14ac:dyDescent="0.25">
      <c r="A30" s="174" t="s">
        <v>56</v>
      </c>
      <c r="B30" s="174"/>
      <c r="C30" s="168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s="52" customFormat="1" x14ac:dyDescent="0.25">
      <c r="A31" s="42" t="s">
        <v>57</v>
      </c>
      <c r="B31" s="43" t="s">
        <v>37</v>
      </c>
      <c r="C31" s="105" t="s">
        <v>38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1:13" ht="30" x14ac:dyDescent="0.25">
      <c r="A32" s="53" t="s">
        <v>58</v>
      </c>
      <c r="B32" s="54">
        <v>0</v>
      </c>
      <c r="C32" s="106">
        <f t="shared" ref="C32:C39" si="2">ROUND($C$8*B32,2)</f>
        <v>0</v>
      </c>
      <c r="D32" s="55"/>
      <c r="E32" s="33"/>
      <c r="F32" s="33"/>
      <c r="G32" s="33"/>
      <c r="H32" s="33"/>
      <c r="I32" s="33"/>
      <c r="J32" s="33"/>
      <c r="K32" s="33"/>
      <c r="L32" s="33"/>
      <c r="M32" s="33"/>
    </row>
    <row r="33" spans="1:13" x14ac:dyDescent="0.25">
      <c r="A33" s="56" t="s">
        <v>59</v>
      </c>
      <c r="B33" s="57">
        <v>1.4999999999999999E-2</v>
      </c>
      <c r="C33" s="31">
        <f t="shared" si="2"/>
        <v>28.33</v>
      </c>
      <c r="D33" s="55"/>
      <c r="E33" s="33"/>
      <c r="F33" s="33"/>
      <c r="G33" s="33"/>
      <c r="H33" s="33"/>
      <c r="I33" s="33"/>
      <c r="J33" s="33"/>
      <c r="K33" s="33"/>
      <c r="L33" s="33"/>
      <c r="M33" s="33"/>
    </row>
    <row r="34" spans="1:13" x14ac:dyDescent="0.25">
      <c r="A34" s="56" t="s">
        <v>60</v>
      </c>
      <c r="B34" s="57">
        <v>0.01</v>
      </c>
      <c r="C34" s="58">
        <f t="shared" si="2"/>
        <v>18.89</v>
      </c>
      <c r="D34" s="55"/>
      <c r="E34" s="33"/>
    </row>
    <row r="35" spans="1:13" x14ac:dyDescent="0.25">
      <c r="A35" s="56" t="s">
        <v>61</v>
      </c>
      <c r="B35" s="57">
        <v>2E-3</v>
      </c>
      <c r="C35" s="58">
        <f t="shared" si="2"/>
        <v>3.78</v>
      </c>
      <c r="D35" s="55"/>
      <c r="E35" s="33"/>
    </row>
    <row r="36" spans="1:13" x14ac:dyDescent="0.25">
      <c r="A36" s="56" t="s">
        <v>62</v>
      </c>
      <c r="B36" s="57">
        <v>2.5000000000000001E-2</v>
      </c>
      <c r="C36" s="58">
        <f t="shared" si="2"/>
        <v>47.22</v>
      </c>
      <c r="D36" s="55"/>
      <c r="E36" s="33"/>
    </row>
    <row r="37" spans="1:13" x14ac:dyDescent="0.25">
      <c r="A37" s="56" t="s">
        <v>63</v>
      </c>
      <c r="B37" s="57">
        <v>0.08</v>
      </c>
      <c r="C37" s="58">
        <f t="shared" si="2"/>
        <v>151.11000000000001</v>
      </c>
      <c r="D37" s="55"/>
    </row>
    <row r="38" spans="1:13" x14ac:dyDescent="0.25">
      <c r="A38" s="56" t="s">
        <v>64</v>
      </c>
      <c r="B38" s="57">
        <v>0.01</v>
      </c>
      <c r="C38" s="58">
        <f t="shared" si="2"/>
        <v>18.89</v>
      </c>
      <c r="D38" s="55"/>
    </row>
    <row r="39" spans="1:13" x14ac:dyDescent="0.25">
      <c r="A39" s="56" t="s">
        <v>65</v>
      </c>
      <c r="B39" s="57">
        <v>6.0000000000000001E-3</v>
      </c>
      <c r="C39" s="59">
        <f t="shared" si="2"/>
        <v>11.33</v>
      </c>
      <c r="D39" s="55"/>
    </row>
    <row r="40" spans="1:13" x14ac:dyDescent="0.25">
      <c r="A40" s="14" t="s">
        <v>66</v>
      </c>
      <c r="B40" s="15">
        <f>ROUND(SUM(B32:B39),4)</f>
        <v>0.14799999999999999</v>
      </c>
      <c r="C40" s="60">
        <f>ROUND(SUM(C32:C39),2)</f>
        <v>279.55</v>
      </c>
      <c r="D40" s="55"/>
      <c r="E40" s="33"/>
    </row>
    <row r="41" spans="1:13" x14ac:dyDescent="0.25">
      <c r="A41" s="61"/>
      <c r="B41" s="62"/>
      <c r="C41" s="63"/>
      <c r="D41" s="55"/>
    </row>
    <row r="42" spans="1:13" x14ac:dyDescent="0.25">
      <c r="A42" s="14" t="s">
        <v>67</v>
      </c>
      <c r="B42" s="64" t="s">
        <v>37</v>
      </c>
      <c r="C42" s="16" t="s">
        <v>38</v>
      </c>
      <c r="D42" s="55"/>
    </row>
    <row r="43" spans="1:13" x14ac:dyDescent="0.25">
      <c r="A43" s="65" t="s">
        <v>68</v>
      </c>
      <c r="B43" s="57">
        <v>9.0899999999999995E-2</v>
      </c>
      <c r="C43" s="66">
        <f>ROUND($C$8*B43,2)</f>
        <v>171.7</v>
      </c>
      <c r="D43" s="55"/>
    </row>
    <row r="44" spans="1:13" x14ac:dyDescent="0.25">
      <c r="A44" s="65" t="s">
        <v>69</v>
      </c>
      <c r="B44" s="57">
        <f>B43/3</f>
        <v>3.0299999999999997E-2</v>
      </c>
      <c r="C44" s="58">
        <f>ROUND($C$8*B44,2)</f>
        <v>57.23</v>
      </c>
      <c r="D44" s="55"/>
      <c r="I44" s="67"/>
    </row>
    <row r="45" spans="1:13" x14ac:dyDescent="0.25">
      <c r="A45" s="188" t="s">
        <v>70</v>
      </c>
      <c r="B45" s="182"/>
      <c r="C45" s="68">
        <f>SUM(C43:C44)</f>
        <v>228.92999999999998</v>
      </c>
      <c r="D45" s="55"/>
    </row>
    <row r="46" spans="1:13" x14ac:dyDescent="0.25">
      <c r="A46" s="69" t="s">
        <v>71</v>
      </c>
      <c r="B46" s="57">
        <f>B40*B43</f>
        <v>1.3453199999999998E-2</v>
      </c>
      <c r="C46" s="58">
        <f>ROUND($C$8*B46,2)</f>
        <v>25.41</v>
      </c>
      <c r="D46" s="55"/>
    </row>
    <row r="47" spans="1:13" x14ac:dyDescent="0.25">
      <c r="A47" s="14" t="s">
        <v>72</v>
      </c>
      <c r="B47" s="15">
        <f>SUM(B43:B44,B46)</f>
        <v>0.13465319999999997</v>
      </c>
      <c r="C47" s="60">
        <f>C45+C46</f>
        <v>254.33999999999997</v>
      </c>
      <c r="D47" s="55"/>
      <c r="E47" s="33"/>
    </row>
    <row r="48" spans="1:13" x14ac:dyDescent="0.25">
      <c r="A48" s="61"/>
      <c r="B48" s="62"/>
      <c r="C48" s="63"/>
      <c r="D48" s="55"/>
    </row>
    <row r="49" spans="1:7" x14ac:dyDescent="0.25">
      <c r="A49" s="14" t="s">
        <v>73</v>
      </c>
      <c r="B49" s="64" t="s">
        <v>37</v>
      </c>
      <c r="C49" s="16" t="s">
        <v>38</v>
      </c>
      <c r="D49" s="55"/>
    </row>
    <row r="50" spans="1:7" x14ac:dyDescent="0.25">
      <c r="A50" s="65" t="s">
        <v>74</v>
      </c>
      <c r="B50" s="57">
        <v>2.9999999999999997E-4</v>
      </c>
      <c r="C50" s="58">
        <f>ROUND($C$8*B50,2)</f>
        <v>0.56999999999999995</v>
      </c>
      <c r="D50" s="55"/>
      <c r="G50" s="70"/>
    </row>
    <row r="51" spans="1:7" x14ac:dyDescent="0.25">
      <c r="A51" s="65" t="s">
        <v>75</v>
      </c>
      <c r="B51" s="57">
        <f>B40*B50</f>
        <v>4.4399999999999995E-5</v>
      </c>
      <c r="C51" s="58">
        <f>ROUND($C$8*B51,2)</f>
        <v>0.08</v>
      </c>
      <c r="D51" s="55"/>
    </row>
    <row r="52" spans="1:7" x14ac:dyDescent="0.25">
      <c r="A52" s="14" t="s">
        <v>76</v>
      </c>
      <c r="B52" s="15">
        <f>SUM(B50:B51)</f>
        <v>3.4439999999999997E-4</v>
      </c>
      <c r="C52" s="60">
        <f>SUM(C50:C51)</f>
        <v>0.64999999999999991</v>
      </c>
      <c r="D52" s="55"/>
      <c r="E52" s="33"/>
    </row>
    <row r="53" spans="1:7" x14ac:dyDescent="0.25">
      <c r="A53" s="61"/>
      <c r="B53" s="62"/>
      <c r="C53" s="63"/>
      <c r="D53" s="55"/>
    </row>
    <row r="54" spans="1:7" x14ac:dyDescent="0.25">
      <c r="A54" s="14" t="s">
        <v>77</v>
      </c>
      <c r="B54" s="64" t="s">
        <v>37</v>
      </c>
      <c r="C54" s="16" t="s">
        <v>38</v>
      </c>
      <c r="D54" s="55"/>
    </row>
    <row r="55" spans="1:7" x14ac:dyDescent="0.25">
      <c r="A55" s="65" t="s">
        <v>78</v>
      </c>
      <c r="B55" s="71">
        <v>8.3000000000000001E-3</v>
      </c>
      <c r="C55" s="58">
        <f t="shared" ref="C55:C60" si="3">ROUND($C$8*B55,2)</f>
        <v>15.68</v>
      </c>
      <c r="D55" s="55"/>
    </row>
    <row r="56" spans="1:7" x14ac:dyDescent="0.25">
      <c r="A56" s="65" t="s">
        <v>79</v>
      </c>
      <c r="B56" s="139">
        <f>B55*B37</f>
        <v>6.6399999999999999E-4</v>
      </c>
      <c r="C56" s="58">
        <f t="shared" si="3"/>
        <v>1.25</v>
      </c>
      <c r="D56" s="55"/>
    </row>
    <row r="57" spans="1:7" x14ac:dyDescent="0.25">
      <c r="A57" s="65" t="s">
        <v>80</v>
      </c>
      <c r="B57" s="140">
        <v>0</v>
      </c>
      <c r="C57" s="58">
        <f t="shared" si="3"/>
        <v>0</v>
      </c>
      <c r="D57" s="55"/>
    </row>
    <row r="58" spans="1:7" x14ac:dyDescent="0.25">
      <c r="A58" s="65" t="s">
        <v>81</v>
      </c>
      <c r="B58" s="71">
        <v>1.9400000000000001E-2</v>
      </c>
      <c r="C58" s="58">
        <f t="shared" si="3"/>
        <v>36.65</v>
      </c>
      <c r="D58" s="55"/>
    </row>
    <row r="59" spans="1:7" x14ac:dyDescent="0.25">
      <c r="A59" s="65" t="s">
        <v>82</v>
      </c>
      <c r="B59" s="71">
        <f>B58*B40</f>
        <v>2.8712E-3</v>
      </c>
      <c r="C59" s="58">
        <f t="shared" si="3"/>
        <v>5.42</v>
      </c>
      <c r="D59" s="55"/>
    </row>
    <row r="60" spans="1:7" x14ac:dyDescent="0.25">
      <c r="A60" s="65" t="s">
        <v>83</v>
      </c>
      <c r="B60" s="71">
        <v>4.36E-2</v>
      </c>
      <c r="C60" s="58">
        <f t="shared" si="3"/>
        <v>82.36</v>
      </c>
      <c r="D60" s="55"/>
    </row>
    <row r="61" spans="1:7" x14ac:dyDescent="0.25">
      <c r="A61" s="14" t="s">
        <v>84</v>
      </c>
      <c r="B61" s="15">
        <f>SUM(B55:B60)</f>
        <v>7.4835200000000004E-2</v>
      </c>
      <c r="C61" s="60">
        <f>SUM(C55:C60)</f>
        <v>141.36000000000001</v>
      </c>
      <c r="D61" s="55"/>
      <c r="E61" s="33"/>
    </row>
    <row r="62" spans="1:7" x14ac:dyDescent="0.25">
      <c r="A62" s="61"/>
      <c r="B62" s="62"/>
      <c r="C62" s="63"/>
      <c r="D62" s="55"/>
    </row>
    <row r="63" spans="1:7" x14ac:dyDescent="0.25">
      <c r="A63" s="14" t="s">
        <v>85</v>
      </c>
      <c r="B63" s="64" t="s">
        <v>37</v>
      </c>
      <c r="C63" s="16" t="s">
        <v>38</v>
      </c>
      <c r="D63" s="55"/>
    </row>
    <row r="64" spans="1:7" x14ac:dyDescent="0.25">
      <c r="A64" s="65" t="s">
        <v>86</v>
      </c>
      <c r="B64" s="71">
        <v>9.0899999999999995E-2</v>
      </c>
      <c r="C64" s="58">
        <f t="shared" ref="C64:C69" si="4">ROUND($C$8*B64,2)</f>
        <v>171.7</v>
      </c>
      <c r="D64" s="55"/>
    </row>
    <row r="65" spans="1:5" x14ac:dyDescent="0.25">
      <c r="A65" s="65" t="s">
        <v>87</v>
      </c>
      <c r="B65" s="71">
        <v>1.66E-2</v>
      </c>
      <c r="C65" s="58">
        <f t="shared" si="4"/>
        <v>31.36</v>
      </c>
      <c r="D65" s="55"/>
    </row>
    <row r="66" spans="1:5" x14ac:dyDescent="0.25">
      <c r="A66" s="65" t="s">
        <v>88</v>
      </c>
      <c r="B66" s="71">
        <v>2.0000000000000001E-4</v>
      </c>
      <c r="C66" s="58">
        <f t="shared" si="4"/>
        <v>0.38</v>
      </c>
      <c r="D66" s="55"/>
    </row>
    <row r="67" spans="1:5" x14ac:dyDescent="0.25">
      <c r="A67" s="65" t="s">
        <v>89</v>
      </c>
      <c r="B67" s="71">
        <v>0.01</v>
      </c>
      <c r="C67" s="58">
        <f t="shared" si="4"/>
        <v>18.89</v>
      </c>
      <c r="D67" s="55"/>
    </row>
    <row r="68" spans="1:5" x14ac:dyDescent="0.25">
      <c r="A68" s="65" t="s">
        <v>90</v>
      </c>
      <c r="B68" s="71">
        <v>3.0000000000000001E-3</v>
      </c>
      <c r="C68" s="58">
        <f t="shared" si="4"/>
        <v>5.67</v>
      </c>
      <c r="D68" s="55"/>
    </row>
    <row r="69" spans="1:5" x14ac:dyDescent="0.25">
      <c r="A69" s="65" t="s">
        <v>91</v>
      </c>
      <c r="B69" s="71">
        <v>0</v>
      </c>
      <c r="C69" s="58">
        <f t="shared" si="4"/>
        <v>0</v>
      </c>
      <c r="D69" s="55"/>
    </row>
    <row r="70" spans="1:5" x14ac:dyDescent="0.25">
      <c r="A70" s="181" t="s">
        <v>70</v>
      </c>
      <c r="B70" s="182"/>
      <c r="C70" s="68">
        <f>SUM(C64:C69)</f>
        <v>227.99999999999997</v>
      </c>
      <c r="D70" s="55"/>
      <c r="E70" s="33"/>
    </row>
    <row r="71" spans="1:5" x14ac:dyDescent="0.25">
      <c r="A71" s="69" t="s">
        <v>92</v>
      </c>
      <c r="B71" s="57">
        <f>SUM(B64:B69)*B40</f>
        <v>1.78636E-2</v>
      </c>
      <c r="C71" s="58">
        <f>ROUND($C$8*B71,2)</f>
        <v>33.74</v>
      </c>
      <c r="D71" s="55"/>
    </row>
    <row r="72" spans="1:5" x14ac:dyDescent="0.25">
      <c r="A72" s="14" t="s">
        <v>93</v>
      </c>
      <c r="B72" s="15">
        <f>SUM(B64:B69,B71)</f>
        <v>0.13856360000000001</v>
      </c>
      <c r="C72" s="60">
        <f>SUM(C64:C69)+C71</f>
        <v>261.73999999999995</v>
      </c>
      <c r="D72" s="55"/>
      <c r="E72" s="33"/>
    </row>
    <row r="73" spans="1:5" x14ac:dyDescent="0.25">
      <c r="A73" s="61"/>
      <c r="B73" s="62"/>
      <c r="C73" s="63"/>
      <c r="D73" s="55"/>
    </row>
    <row r="74" spans="1:5" s="52" customFormat="1" x14ac:dyDescent="0.25">
      <c r="A74" s="14" t="s">
        <v>94</v>
      </c>
      <c r="B74" s="64">
        <f>SUM(B40,B47,B52,B61,B72)</f>
        <v>0.49639639999999996</v>
      </c>
      <c r="C74" s="16">
        <f>SUM(C40,C47,C52,C61,C72)</f>
        <v>937.63999999999987</v>
      </c>
      <c r="D74" s="72"/>
    </row>
    <row r="75" spans="1:5" x14ac:dyDescent="0.25">
      <c r="A75" s="73"/>
      <c r="B75" s="74"/>
      <c r="C75" s="75"/>
    </row>
    <row r="76" spans="1:5" x14ac:dyDescent="0.25">
      <c r="A76" s="174" t="s">
        <v>95</v>
      </c>
      <c r="B76" s="174"/>
      <c r="C76" s="174"/>
    </row>
    <row r="77" spans="1:5" x14ac:dyDescent="0.25">
      <c r="A77" s="42" t="s">
        <v>96</v>
      </c>
      <c r="B77" s="15" t="s">
        <v>37</v>
      </c>
      <c r="C77" s="16" t="s">
        <v>38</v>
      </c>
    </row>
    <row r="78" spans="1:5" x14ac:dyDescent="0.25">
      <c r="A78" s="65" t="s">
        <v>97</v>
      </c>
      <c r="B78" s="18">
        <f>B40</f>
        <v>0.14799999999999999</v>
      </c>
      <c r="C78" s="68">
        <f>ROUND($C$8*B78,2)</f>
        <v>279.56</v>
      </c>
    </row>
    <row r="79" spans="1:5" x14ac:dyDescent="0.25">
      <c r="A79" s="65" t="s">
        <v>98</v>
      </c>
      <c r="B79" s="18">
        <f>B47</f>
        <v>0.13465319999999997</v>
      </c>
      <c r="C79" s="68">
        <f t="shared" ref="C79:C83" si="5">ROUND($C$8*B79,2)</f>
        <v>254.35</v>
      </c>
    </row>
    <row r="80" spans="1:5" x14ac:dyDescent="0.25">
      <c r="A80" s="65" t="s">
        <v>99</v>
      </c>
      <c r="B80" s="18">
        <f>B52</f>
        <v>3.4439999999999997E-4</v>
      </c>
      <c r="C80" s="68">
        <f t="shared" si="5"/>
        <v>0.65</v>
      </c>
    </row>
    <row r="81" spans="1:7" x14ac:dyDescent="0.25">
      <c r="A81" s="65" t="s">
        <v>100</v>
      </c>
      <c r="B81" s="18">
        <f>B61</f>
        <v>7.4835200000000004E-2</v>
      </c>
      <c r="C81" s="68">
        <f t="shared" si="5"/>
        <v>141.36000000000001</v>
      </c>
    </row>
    <row r="82" spans="1:7" x14ac:dyDescent="0.25">
      <c r="A82" s="65" t="s">
        <v>101</v>
      </c>
      <c r="B82" s="18">
        <f>B72</f>
        <v>0.13856360000000001</v>
      </c>
      <c r="C82" s="68">
        <f t="shared" si="5"/>
        <v>261.74</v>
      </c>
    </row>
    <row r="83" spans="1:7" x14ac:dyDescent="0.25">
      <c r="A83" s="65" t="s">
        <v>102</v>
      </c>
      <c r="B83" s="18">
        <v>0</v>
      </c>
      <c r="C83" s="68">
        <f t="shared" si="5"/>
        <v>0</v>
      </c>
    </row>
    <row r="84" spans="1:7" x14ac:dyDescent="0.25">
      <c r="A84" s="14" t="s">
        <v>103</v>
      </c>
      <c r="B84" s="15">
        <f>SUM(B78:B83)</f>
        <v>0.49639639999999996</v>
      </c>
      <c r="C84" s="16">
        <f>SUM(C78:C83)</f>
        <v>937.66</v>
      </c>
    </row>
    <row r="85" spans="1:7" x14ac:dyDescent="0.25">
      <c r="A85" s="76"/>
      <c r="B85" s="62"/>
      <c r="C85" s="63"/>
    </row>
    <row r="86" spans="1:7" x14ac:dyDescent="0.25">
      <c r="A86" s="165" t="s">
        <v>104</v>
      </c>
      <c r="B86" s="165"/>
      <c r="C86" s="16">
        <f>C8+C20+C28+C84</f>
        <v>3817.1489999999999</v>
      </c>
    </row>
    <row r="87" spans="1:7" x14ac:dyDescent="0.25">
      <c r="A87" s="77"/>
      <c r="B87" s="77"/>
      <c r="C87" s="25"/>
      <c r="E87" s="33"/>
    </row>
    <row r="88" spans="1:7" x14ac:dyDescent="0.25">
      <c r="A88" s="168" t="s">
        <v>105</v>
      </c>
      <c r="B88" s="169"/>
      <c r="C88" s="170"/>
      <c r="E88" s="33"/>
    </row>
    <row r="89" spans="1:7" x14ac:dyDescent="0.25">
      <c r="A89" s="78" t="s">
        <v>106</v>
      </c>
      <c r="B89" s="64" t="s">
        <v>37</v>
      </c>
      <c r="C89" s="79" t="s">
        <v>38</v>
      </c>
      <c r="E89" s="55"/>
    </row>
    <row r="90" spans="1:7" x14ac:dyDescent="0.25">
      <c r="A90" s="56" t="s">
        <v>107</v>
      </c>
      <c r="B90" s="57">
        <v>6.7679333466776903E-2</v>
      </c>
      <c r="C90" s="58">
        <f>ROUND($C$86*B90,2)</f>
        <v>258.33999999999997</v>
      </c>
    </row>
    <row r="91" spans="1:7" x14ac:dyDescent="0.25">
      <c r="A91" s="56" t="s">
        <v>108</v>
      </c>
      <c r="B91" s="57">
        <v>0.04</v>
      </c>
      <c r="C91" s="58">
        <f>ROUND($C$86*B91,2)</f>
        <v>152.69</v>
      </c>
      <c r="E91" s="175"/>
      <c r="F91" s="176"/>
    </row>
    <row r="92" spans="1:7" x14ac:dyDescent="0.25">
      <c r="A92" s="177" t="s">
        <v>109</v>
      </c>
      <c r="B92" s="178"/>
      <c r="C92" s="36">
        <f>ROUND(SUM(C90:C91),2)</f>
        <v>411.03</v>
      </c>
      <c r="E92" s="175"/>
      <c r="F92" s="176"/>
    </row>
    <row r="93" spans="1:7" x14ac:dyDescent="0.25">
      <c r="A93" s="179"/>
      <c r="B93" s="180"/>
      <c r="C93" s="25"/>
      <c r="E93" s="175"/>
      <c r="F93" s="176"/>
    </row>
    <row r="94" spans="1:7" x14ac:dyDescent="0.25">
      <c r="A94" s="177" t="s">
        <v>110</v>
      </c>
      <c r="B94" s="178"/>
      <c r="C94" s="36">
        <f>'Custos do Time'!I9</f>
        <v>269.09871154699829</v>
      </c>
      <c r="E94" s="175"/>
      <c r="F94" s="176"/>
    </row>
    <row r="95" spans="1:7" x14ac:dyDescent="0.25">
      <c r="A95" s="81"/>
      <c r="B95" s="80"/>
      <c r="C95" s="25"/>
      <c r="E95" s="82"/>
      <c r="F95" s="83"/>
    </row>
    <row r="96" spans="1:7" x14ac:dyDescent="0.25">
      <c r="A96" s="168" t="s">
        <v>111</v>
      </c>
      <c r="B96" s="169"/>
      <c r="C96" s="170"/>
      <c r="E96" s="33"/>
      <c r="F96" s="33"/>
      <c r="G96" s="33"/>
    </row>
    <row r="97" spans="1:11" x14ac:dyDescent="0.25">
      <c r="A97" s="78" t="s">
        <v>112</v>
      </c>
      <c r="B97" s="64" t="s">
        <v>37</v>
      </c>
      <c r="C97" s="79" t="s">
        <v>38</v>
      </c>
      <c r="E97" s="33"/>
      <c r="F97" s="33"/>
      <c r="G97" s="33"/>
    </row>
    <row r="98" spans="1:11" x14ac:dyDescent="0.25">
      <c r="A98" s="20" t="s">
        <v>113</v>
      </c>
      <c r="B98" s="18">
        <v>0.02</v>
      </c>
      <c r="C98" s="84">
        <f>ROUND($C$105*B98/$B$102,2)</f>
        <v>100.11</v>
      </c>
      <c r="E98" s="85"/>
      <c r="F98" s="33"/>
      <c r="G98" s="33"/>
      <c r="H98" s="33"/>
      <c r="I98" s="33"/>
      <c r="J98" s="33"/>
    </row>
    <row r="99" spans="1:11" x14ac:dyDescent="0.25">
      <c r="A99" s="20" t="s">
        <v>114</v>
      </c>
      <c r="B99" s="18">
        <v>6.4999999999999997E-3</v>
      </c>
      <c r="C99" s="84">
        <f>ROUND($C$105*B99/$B$102,2)</f>
        <v>32.53</v>
      </c>
      <c r="F99" s="33"/>
      <c r="G99" s="33"/>
      <c r="H99" s="33"/>
      <c r="I99" s="33"/>
      <c r="J99" s="33"/>
    </row>
    <row r="100" spans="1:11" x14ac:dyDescent="0.25">
      <c r="A100" s="20" t="s">
        <v>115</v>
      </c>
      <c r="B100" s="18">
        <v>0.03</v>
      </c>
      <c r="C100" s="84">
        <f>ROUND($C$105*B100/$B$102,2)</f>
        <v>150.16</v>
      </c>
      <c r="F100" s="33"/>
      <c r="G100" s="33"/>
      <c r="H100" s="33"/>
      <c r="I100" s="33"/>
      <c r="J100" s="33"/>
    </row>
    <row r="101" spans="1:11" ht="30" x14ac:dyDescent="0.25">
      <c r="A101" s="86" t="s">
        <v>116</v>
      </c>
      <c r="B101" s="18">
        <v>4.4999999999999998E-2</v>
      </c>
      <c r="C101" s="87">
        <f>ROUND($C$105*B101/$B$102,2)</f>
        <v>225.24</v>
      </c>
      <c r="F101" s="33"/>
      <c r="G101" s="33"/>
      <c r="H101" s="33"/>
      <c r="I101" s="33"/>
      <c r="J101" s="33"/>
    </row>
    <row r="102" spans="1:11" x14ac:dyDescent="0.25">
      <c r="A102" s="88" t="s">
        <v>117</v>
      </c>
      <c r="B102" s="89">
        <f>ROUND(SUM(B98:B101),4)</f>
        <v>0.10150000000000001</v>
      </c>
      <c r="C102" s="90">
        <f>ROUND($C$105*B102/$B$102,2)</f>
        <v>508.04</v>
      </c>
      <c r="E102" s="91"/>
      <c r="F102" s="33"/>
      <c r="G102" s="33"/>
      <c r="H102" s="33"/>
      <c r="I102" s="33"/>
      <c r="J102" s="33"/>
    </row>
    <row r="103" spans="1:11" s="33" customFormat="1" x14ac:dyDescent="0.25">
      <c r="A103" s="92"/>
      <c r="B103" s="93"/>
      <c r="C103" s="94"/>
      <c r="D103" s="45"/>
      <c r="E103" s="11"/>
      <c r="H103" s="11"/>
      <c r="I103" s="11"/>
      <c r="J103" s="11"/>
    </row>
    <row r="104" spans="1:11" s="33" customFormat="1" x14ac:dyDescent="0.25">
      <c r="A104" s="172" t="s">
        <v>118</v>
      </c>
      <c r="B104" s="173"/>
      <c r="C104" s="95">
        <f>ROUND(C86+C92+C94,2)</f>
        <v>4497.28</v>
      </c>
      <c r="E104" s="11"/>
      <c r="F104" s="11"/>
      <c r="G104" s="11"/>
      <c r="H104" s="11"/>
      <c r="I104" s="11"/>
      <c r="J104" s="11"/>
      <c r="K104" s="11"/>
    </row>
    <row r="105" spans="1:11" x14ac:dyDescent="0.25">
      <c r="A105" s="166" t="s">
        <v>119</v>
      </c>
      <c r="B105" s="167"/>
      <c r="C105" s="16">
        <f>ROUND(C106-C104,2)</f>
        <v>508.04</v>
      </c>
      <c r="E105" s="91"/>
      <c r="G105" s="33"/>
      <c r="H105" s="33"/>
      <c r="I105" s="33"/>
      <c r="J105" s="33"/>
    </row>
    <row r="106" spans="1:11" s="33" customFormat="1" x14ac:dyDescent="0.25">
      <c r="A106" s="165" t="s">
        <v>120</v>
      </c>
      <c r="B106" s="165"/>
      <c r="C106" s="16">
        <f>ROUND(C104/(1-$B$102),2)</f>
        <v>5005.32</v>
      </c>
      <c r="D106" s="45"/>
    </row>
    <row r="107" spans="1:11" s="33" customFormat="1" x14ac:dyDescent="0.25">
      <c r="A107" s="96"/>
      <c r="B107" s="81"/>
      <c r="C107" s="97"/>
    </row>
    <row r="108" spans="1:11" s="33" customFormat="1" x14ac:dyDescent="0.25">
      <c r="A108" s="168" t="s">
        <v>121</v>
      </c>
      <c r="B108" s="169"/>
      <c r="C108" s="170"/>
    </row>
    <row r="109" spans="1:11" s="33" customFormat="1" x14ac:dyDescent="0.25">
      <c r="A109" s="171" t="s">
        <v>122</v>
      </c>
      <c r="B109" s="171"/>
      <c r="C109" s="22">
        <f>ROUND(C106,2)</f>
        <v>5005.32</v>
      </c>
    </row>
    <row r="110" spans="1:11" x14ac:dyDescent="0.25">
      <c r="A110" s="23"/>
      <c r="B110" s="81"/>
      <c r="C110" s="97"/>
    </row>
    <row r="111" spans="1:11" hidden="1" x14ac:dyDescent="0.25">
      <c r="A111" s="165" t="s">
        <v>123</v>
      </c>
      <c r="B111" s="165"/>
      <c r="C111" s="68" t="e">
        <f>ROUND(#REF!/C8,2)</f>
        <v>#REF!</v>
      </c>
    </row>
    <row r="112" spans="1:11" x14ac:dyDescent="0.25">
      <c r="A112" s="165" t="s">
        <v>124</v>
      </c>
      <c r="B112" s="165"/>
      <c r="C112" s="68">
        <f>ROUND(C109/C10,2)</f>
        <v>31.28</v>
      </c>
    </row>
    <row r="113" spans="1:3" hidden="1" x14ac:dyDescent="0.25">
      <c r="A113" s="165" t="s">
        <v>125</v>
      </c>
      <c r="B113" s="165"/>
      <c r="C113" s="68" t="e">
        <f>#REF!</f>
        <v>#REF!</v>
      </c>
    </row>
    <row r="114" spans="1:3" x14ac:dyDescent="0.25">
      <c r="C114" s="97"/>
    </row>
  </sheetData>
  <mergeCells count="30">
    <mergeCell ref="A108:C108"/>
    <mergeCell ref="A109:B109"/>
    <mergeCell ref="A111:B111"/>
    <mergeCell ref="A112:B112"/>
    <mergeCell ref="A113:B113"/>
    <mergeCell ref="A106:B106"/>
    <mergeCell ref="A86:B86"/>
    <mergeCell ref="A88:C88"/>
    <mergeCell ref="E91:F91"/>
    <mergeCell ref="A92:B92"/>
    <mergeCell ref="E92:F92"/>
    <mergeCell ref="A93:B93"/>
    <mergeCell ref="E93:F93"/>
    <mergeCell ref="A94:B94"/>
    <mergeCell ref="E94:F94"/>
    <mergeCell ref="A96:C96"/>
    <mergeCell ref="A104:B104"/>
    <mergeCell ref="A105:B105"/>
    <mergeCell ref="A76:C76"/>
    <mergeCell ref="A1:C1"/>
    <mergeCell ref="A2:C2"/>
    <mergeCell ref="A4:C4"/>
    <mergeCell ref="A8:B8"/>
    <mergeCell ref="A13:C13"/>
    <mergeCell ref="A20:B20"/>
    <mergeCell ref="A22:C22"/>
    <mergeCell ref="A28:B28"/>
    <mergeCell ref="A30:C30"/>
    <mergeCell ref="A45:B45"/>
    <mergeCell ref="A70:B70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3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14</vt:i4>
      </vt:variant>
    </vt:vector>
  </HeadingPairs>
  <TitlesOfParts>
    <vt:vector size="24" baseType="lpstr">
      <vt:lpstr>Orientações Gerais</vt:lpstr>
      <vt:lpstr>Dados da Empresa</vt:lpstr>
      <vt:lpstr>Custos do Time</vt:lpstr>
      <vt:lpstr>1</vt:lpstr>
      <vt:lpstr>2</vt:lpstr>
      <vt:lpstr>3</vt:lpstr>
      <vt:lpstr>4</vt:lpstr>
      <vt:lpstr>5</vt:lpstr>
      <vt:lpstr>6</vt:lpstr>
      <vt:lpstr>7</vt:lpstr>
      <vt:lpstr>'1'!Area_de_impressao</vt:lpstr>
      <vt:lpstr>'2'!Area_de_impressao</vt:lpstr>
      <vt:lpstr>'3'!Area_de_impressao</vt:lpstr>
      <vt:lpstr>'4'!Area_de_impressao</vt:lpstr>
      <vt:lpstr>'5'!Area_de_impressao</vt:lpstr>
      <vt:lpstr>'6'!Area_de_impressao</vt:lpstr>
      <vt:lpstr>'7'!Area_de_impressao</vt:lpstr>
      <vt:lpstr>'1'!Titulos_de_impressao</vt:lpstr>
      <vt:lpstr>'2'!Titulos_de_impressao</vt:lpstr>
      <vt:lpstr>'3'!Titulos_de_impressao</vt:lpstr>
      <vt:lpstr>'4'!Titulos_de_impressao</vt:lpstr>
      <vt:lpstr>'5'!Titulos_de_impressao</vt:lpstr>
      <vt:lpstr>'6'!Titulos_de_impressao</vt:lpstr>
      <vt:lpstr>'7'!Titulos_de_impressao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Borelli</dc:creator>
  <cp:lastModifiedBy>Diego Henrique Figueiredo</cp:lastModifiedBy>
  <dcterms:created xsi:type="dcterms:W3CDTF">2019-05-24T14:19:40Z</dcterms:created>
  <dcterms:modified xsi:type="dcterms:W3CDTF">2020-02-19T13:21:12Z</dcterms:modified>
</cp:coreProperties>
</file>