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9903d79add630/Desktop/Finance/"/>
    </mc:Choice>
  </mc:AlternateContent>
  <xr:revisionPtr revIDLastSave="11" documentId="8_{EDAC2548-E148-4949-BD03-69D160F3E3E1}" xr6:coauthVersionLast="47" xr6:coauthVersionMax="47" xr10:uidLastSave="{F411CC62-4592-4782-B576-1362909B18EE}"/>
  <bookViews>
    <workbookView minimized="1" xWindow="2160" yWindow="2160" windowWidth="17280" windowHeight="8880" xr2:uid="{8B55CDD1-9323-4FDC-BC9F-094411CA2818}"/>
  </bookViews>
  <sheets>
    <sheet name="Comp Val" sheetId="1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7" i="1"/>
  <c r="N28" i="1" s="1"/>
  <c r="O28" i="1" s="1"/>
  <c r="P28" i="1" s="1"/>
  <c r="K8" i="1"/>
  <c r="K9" i="1"/>
  <c r="K10" i="1"/>
  <c r="K11" i="1"/>
  <c r="K12" i="1"/>
  <c r="K13" i="1"/>
  <c r="K14" i="1"/>
  <c r="K15" i="1"/>
  <c r="K16" i="1"/>
  <c r="K7" i="1"/>
  <c r="L8" i="1"/>
  <c r="L9" i="1"/>
  <c r="L10" i="1"/>
  <c r="L11" i="1"/>
  <c r="L12" i="1"/>
  <c r="L13" i="1"/>
  <c r="L14" i="1"/>
  <c r="L15" i="1"/>
  <c r="L16" i="1"/>
  <c r="L7" i="1"/>
  <c r="J8" i="1"/>
  <c r="J9" i="1"/>
  <c r="J10" i="1"/>
  <c r="J11" i="1"/>
  <c r="J12" i="1"/>
  <c r="J13" i="1"/>
  <c r="J14" i="1"/>
  <c r="J15" i="1"/>
  <c r="J16" i="1"/>
  <c r="J7" i="1"/>
  <c r="J5" i="2"/>
  <c r="J6" i="2"/>
  <c r="J7" i="2"/>
  <c r="J8" i="2"/>
  <c r="J9" i="2"/>
  <c r="J10" i="2"/>
  <c r="J11" i="2"/>
  <c r="J12" i="2"/>
  <c r="J13" i="2"/>
  <c r="J4" i="2"/>
  <c r="D7" i="1"/>
  <c r="N30" i="1" s="1"/>
  <c r="O30" i="1" s="1"/>
  <c r="P30" i="1" s="1"/>
  <c r="D8" i="1"/>
  <c r="D9" i="1"/>
  <c r="D10" i="1"/>
  <c r="D11" i="1"/>
  <c r="D12" i="1"/>
  <c r="D13" i="1"/>
  <c r="D14" i="1"/>
  <c r="D15" i="1"/>
  <c r="D16" i="1"/>
  <c r="C8" i="1"/>
  <c r="C9" i="1"/>
  <c r="C10" i="1"/>
  <c r="C11" i="1"/>
  <c r="C12" i="1"/>
  <c r="C13" i="1"/>
  <c r="C14" i="1"/>
  <c r="C15" i="1"/>
  <c r="C16" i="1"/>
  <c r="C7" i="1"/>
  <c r="B8" i="1"/>
  <c r="B9" i="1"/>
  <c r="B10" i="1"/>
  <c r="B11" i="1"/>
  <c r="B12" i="1"/>
  <c r="B13" i="1"/>
  <c r="B14" i="1"/>
  <c r="B15" i="1"/>
  <c r="B16" i="1"/>
  <c r="B7" i="1"/>
  <c r="B25" i="1" s="1"/>
  <c r="E14" i="1" l="1"/>
  <c r="E13" i="1"/>
  <c r="E10" i="1"/>
  <c r="E16" i="1"/>
  <c r="E8" i="1"/>
  <c r="E9" i="1"/>
  <c r="E15" i="1"/>
  <c r="E7" i="1"/>
  <c r="E12" i="1"/>
  <c r="E11" i="1"/>
  <c r="G15" i="1" l="1"/>
  <c r="P15" i="1"/>
  <c r="P9" i="1"/>
  <c r="G9" i="1"/>
  <c r="N9" i="1" s="1"/>
  <c r="P8" i="1"/>
  <c r="G8" i="1"/>
  <c r="O8" i="1" s="1"/>
  <c r="P16" i="1"/>
  <c r="G16" i="1"/>
  <c r="N16" i="1" s="1"/>
  <c r="G10" i="1"/>
  <c r="P10" i="1"/>
  <c r="G11" i="1"/>
  <c r="O11" i="1" s="1"/>
  <c r="P11" i="1"/>
  <c r="G13" i="1"/>
  <c r="P13" i="1"/>
  <c r="P7" i="1"/>
  <c r="G7" i="1"/>
  <c r="O7" i="1" s="1"/>
  <c r="P12" i="1"/>
  <c r="G12" i="1"/>
  <c r="G14" i="1"/>
  <c r="P14" i="1"/>
  <c r="N14" i="1"/>
  <c r="O14" i="1"/>
  <c r="O15" i="1"/>
  <c r="N15" i="1"/>
  <c r="N10" i="1"/>
  <c r="O10" i="1"/>
  <c r="N12" i="1"/>
  <c r="O12" i="1"/>
  <c r="O13" i="1"/>
  <c r="N13" i="1"/>
  <c r="N11" i="1" l="1"/>
  <c r="N7" i="1"/>
  <c r="O16" i="1"/>
  <c r="N8" i="1"/>
  <c r="O9" i="1"/>
  <c r="O23" i="1" s="1"/>
  <c r="P23" i="1"/>
  <c r="P21" i="1"/>
  <c r="P29" i="1" s="1"/>
  <c r="P18" i="1"/>
  <c r="P22" i="1"/>
  <c r="P19" i="1"/>
  <c r="P20" i="1"/>
  <c r="N22" i="1"/>
  <c r="N23" i="1"/>
  <c r="N21" i="1"/>
  <c r="N27" i="1" s="1"/>
  <c r="N29" i="1" s="1"/>
  <c r="N32" i="1" s="1"/>
  <c r="N35" i="1" s="1"/>
  <c r="N20" i="1"/>
  <c r="N19" i="1"/>
  <c r="N18" i="1"/>
  <c r="O22" i="1"/>
  <c r="O21" i="1"/>
  <c r="O27" i="1" s="1"/>
  <c r="O29" i="1" s="1"/>
  <c r="O32" i="1" s="1"/>
  <c r="O35" i="1" s="1"/>
  <c r="O18" i="1"/>
  <c r="O20" i="1"/>
  <c r="O19" i="1" l="1"/>
  <c r="P32" i="1"/>
  <c r="P35" i="1" s="1"/>
  <c r="P27" i="1"/>
</calcChain>
</file>

<file path=xl/sharedStrings.xml><?xml version="1.0" encoding="utf-8"?>
<sst xmlns="http://schemas.openxmlformats.org/spreadsheetml/2006/main" count="56" uniqueCount="49">
  <si>
    <t>Amount in crores</t>
  </si>
  <si>
    <t>Comparable Company Valuation</t>
  </si>
  <si>
    <t>Market Data</t>
  </si>
  <si>
    <t>Financials</t>
  </si>
  <si>
    <t>Valuation</t>
  </si>
  <si>
    <t>Company</t>
  </si>
  <si>
    <t>Share Price</t>
  </si>
  <si>
    <t>Shares Outstanding</t>
  </si>
  <si>
    <t>Equity Value</t>
  </si>
  <si>
    <t>Net Debt</t>
  </si>
  <si>
    <t>Enterprise Value</t>
  </si>
  <si>
    <t>Revenue</t>
  </si>
  <si>
    <t>EBITDA</t>
  </si>
  <si>
    <t>Net Income</t>
  </si>
  <si>
    <t>EV/Revenue</t>
  </si>
  <si>
    <t>EV/EBITDA</t>
  </si>
  <si>
    <t>P/E</t>
  </si>
  <si>
    <t>Cipla</t>
  </si>
  <si>
    <t>Sun Pharma.Inds.</t>
  </si>
  <si>
    <t>Dr Reddy's Labs</t>
  </si>
  <si>
    <t>Torrent Pharma.</t>
  </si>
  <si>
    <t>Zydus Lifesci.</t>
  </si>
  <si>
    <t>Aurobindo Pharma</t>
  </si>
  <si>
    <t>High</t>
  </si>
  <si>
    <t>75th Percentile</t>
  </si>
  <si>
    <t>Average</t>
  </si>
  <si>
    <t>Median</t>
  </si>
  <si>
    <t>25th Percentile</t>
  </si>
  <si>
    <t>Low</t>
  </si>
  <si>
    <t>Implied Enterprise Value</t>
  </si>
  <si>
    <t>Implied Market Value</t>
  </si>
  <si>
    <t>Implied Value per Share</t>
  </si>
  <si>
    <t>Divi's Lab.</t>
  </si>
  <si>
    <t>Mankind Pharma</t>
  </si>
  <si>
    <t>Lupin</t>
  </si>
  <si>
    <t>Abbott India</t>
  </si>
  <si>
    <t>S.No.</t>
  </si>
  <si>
    <t>Name</t>
  </si>
  <si>
    <t>CMP Rs.</t>
  </si>
  <si>
    <t>No. Eq. Shares Cr.</t>
  </si>
  <si>
    <t>Eq Cap Rs.Cr.</t>
  </si>
  <si>
    <t>Debt Rs.Cr.</t>
  </si>
  <si>
    <t>EV Rs.Cr.</t>
  </si>
  <si>
    <t>Cash End Rs.Cr.</t>
  </si>
  <si>
    <t>Sales Rs.Cr.</t>
  </si>
  <si>
    <t>NP 12M Rs.Cr.</t>
  </si>
  <si>
    <t>OPM %</t>
  </si>
  <si>
    <t xml:space="preserve">Mar Cap Rs.Cr. </t>
  </si>
  <si>
    <t>Source:  Screener.in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</si>
</sst>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x&quot;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2"/>
      <color rgb="FF00206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dotted">
        <color rgb="FF00206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B0F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3" fontId="0" fillId="3" borderId="2" xfId="0" applyNumberFormat="1" applyFill="1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4" fontId="0" fillId="0" borderId="0" xfId="0" applyNumberFormat="1"/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3" borderId="6" xfId="0" applyFont="1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4" borderId="2" xfId="0" applyFill="1" applyBorder="1" applyAlignment="1">
      <alignment wrapText="1"/>
    </xf>
    <xf numFmtId="3" fontId="0" fillId="4" borderId="2" xfId="0" applyNumberFormat="1" applyFill="1" applyBorder="1" applyAlignment="1">
      <alignment horizontal="right" wrapText="1"/>
    </xf>
    <xf numFmtId="3" fontId="0" fillId="3" borderId="2" xfId="0" applyNumberFormat="1" applyFill="1" applyBorder="1" applyAlignment="1">
      <alignment wrapText="1"/>
    </xf>
    <xf numFmtId="3" fontId="0" fillId="0" borderId="2" xfId="0" applyNumberFormat="1" applyBorder="1" applyAlignment="1">
      <alignment wrapText="1"/>
    </xf>
    <xf numFmtId="4" fontId="0" fillId="3" borderId="2" xfId="0" applyNumberFormat="1" applyFill="1" applyBorder="1" applyAlignment="1">
      <alignment horizontal="right" wrapText="1"/>
    </xf>
    <xf numFmtId="4" fontId="0" fillId="4" borderId="2" xfId="0" applyNumberFormat="1" applyFill="1" applyBorder="1" applyAlignment="1">
      <alignment horizontal="right" wrapText="1"/>
    </xf>
    <xf numFmtId="164" fontId="0" fillId="3" borderId="2" xfId="0" applyNumberFormat="1" applyFill="1" applyBorder="1" applyAlignment="1">
      <alignment horizontal="right" wrapText="1"/>
    </xf>
    <xf numFmtId="164" fontId="0" fillId="4" borderId="2" xfId="0" applyNumberFormat="1" applyFill="1" applyBorder="1" applyAlignment="1">
      <alignment horizontal="right" wrapText="1"/>
    </xf>
    <xf numFmtId="164" fontId="1" fillId="3" borderId="2" xfId="0" applyNumberFormat="1" applyFont="1" applyFill="1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2" fontId="1" fillId="3" borderId="6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8A0-94A4-41C3-BC98-F8B05239A32B}">
  <dimension ref="B1:P35"/>
  <sheetViews>
    <sheetView showGridLines="0" tabSelected="1" zoomScale="83" workbookViewId="0">
      <selection activeCell="B34" sqref="B34"/>
    </sheetView>
  </sheetViews>
  <sheetFormatPr defaultRowHeight="14.4" x14ac:dyDescent="0.3"/>
  <cols>
    <col min="1" max="1" width="1.88671875" customWidth="1"/>
    <col min="2" max="2" width="18.33203125" customWidth="1"/>
    <col min="3" max="3" width="11.44140625" customWidth="1"/>
    <col min="4" max="4" width="11.21875" customWidth="1"/>
    <col min="5" max="5" width="10.88671875" customWidth="1"/>
    <col min="6" max="6" width="8.88671875" customWidth="1"/>
    <col min="7" max="7" width="9.77734375" customWidth="1"/>
    <col min="8" max="8" width="4.44140625" customWidth="1"/>
    <col min="9" max="9" width="2" customWidth="1"/>
    <col min="10" max="10" width="9.109375" customWidth="1"/>
    <col min="11" max="11" width="7.77734375" customWidth="1"/>
    <col min="12" max="12" width="11.5546875" customWidth="1"/>
    <col min="13" max="13" width="2" customWidth="1"/>
    <col min="14" max="14" width="12.88671875" customWidth="1"/>
    <col min="15" max="15" width="13.88671875" customWidth="1"/>
    <col min="16" max="16" width="13.21875" customWidth="1"/>
  </cols>
  <sheetData>
    <row r="1" spans="2:16" ht="14.4" customHeight="1" x14ac:dyDescent="0.3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6" x14ac:dyDescent="0.3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3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">
      <c r="B4" s="3"/>
      <c r="C4" s="32" t="s">
        <v>2</v>
      </c>
      <c r="D4" s="32"/>
      <c r="E4" s="32"/>
      <c r="F4" s="32"/>
      <c r="G4" s="32"/>
      <c r="H4" s="32"/>
      <c r="I4" s="18"/>
      <c r="J4" s="32" t="s">
        <v>3</v>
      </c>
      <c r="K4" s="32"/>
      <c r="L4" s="32"/>
      <c r="M4" s="18"/>
      <c r="N4" s="32" t="s">
        <v>4</v>
      </c>
      <c r="O4" s="32"/>
      <c r="P4" s="32"/>
    </row>
    <row r="5" spans="2:16" ht="28.8" x14ac:dyDescent="0.3"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3"/>
      <c r="I5" s="3"/>
      <c r="J5" s="6" t="s">
        <v>11</v>
      </c>
      <c r="K5" s="6" t="s">
        <v>12</v>
      </c>
      <c r="L5" s="6" t="s">
        <v>13</v>
      </c>
      <c r="M5" s="3"/>
      <c r="N5" s="6" t="s">
        <v>14</v>
      </c>
      <c r="O5" s="6" t="s">
        <v>15</v>
      </c>
      <c r="P5" s="6" t="s">
        <v>16</v>
      </c>
    </row>
    <row r="6" spans="2:16" ht="3.6" customHeight="1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x14ac:dyDescent="0.3">
      <c r="B7" s="8" t="str">
        <f>'Raw Data'!C4</f>
        <v>Cipla</v>
      </c>
      <c r="C7" s="9">
        <f>'Raw Data'!D4</f>
        <v>1502.4</v>
      </c>
      <c r="D7" s="25">
        <f>'Raw Data'!E4</f>
        <v>80.77</v>
      </c>
      <c r="E7" s="9">
        <f>D7*C7</f>
        <v>121348.848</v>
      </c>
      <c r="F7" s="9">
        <f>-'Raw Data'!J4</f>
        <v>-361.65000000000003</v>
      </c>
      <c r="G7" s="9">
        <f>E7+F7</f>
        <v>120987.198</v>
      </c>
      <c r="H7" s="23"/>
      <c r="I7" s="23"/>
      <c r="J7" s="9">
        <f>'Raw Data'!K4</f>
        <v>27547.62</v>
      </c>
      <c r="K7" s="9">
        <f>'Raw Data'!N4</f>
        <v>7989.77</v>
      </c>
      <c r="L7" s="9">
        <f>'Raw Data'!L4</f>
        <v>5269.2</v>
      </c>
      <c r="M7" s="8"/>
      <c r="N7" s="27">
        <f>G7/J7</f>
        <v>4.3919292483343391</v>
      </c>
      <c r="O7" s="27">
        <f>G7/K7</f>
        <v>15.142763558900944</v>
      </c>
      <c r="P7" s="27">
        <f>E7/L7</f>
        <v>23.029842860396265</v>
      </c>
    </row>
    <row r="8" spans="2:16" ht="15" customHeight="1" x14ac:dyDescent="0.3">
      <c r="B8" s="21" t="str">
        <f>'Raw Data'!C5</f>
        <v>Sun Pharma.Inds.</v>
      </c>
      <c r="C8" s="22">
        <f>'Raw Data'!D5</f>
        <v>1687.6</v>
      </c>
      <c r="D8" s="26">
        <f>'Raw Data'!E5</f>
        <v>239.93</v>
      </c>
      <c r="E8" s="22">
        <f t="shared" ref="E8:E16" si="0">D8*C8</f>
        <v>404905.86800000002</v>
      </c>
      <c r="F8" s="22">
        <f>-'Raw Data'!J5</f>
        <v>-8969.43</v>
      </c>
      <c r="G8" s="22">
        <f t="shared" ref="G8:G16" si="1">E8+F8</f>
        <v>395936.43800000002</v>
      </c>
      <c r="H8" s="24"/>
      <c r="I8" s="24"/>
      <c r="J8" s="22">
        <f>'Raw Data'!K5</f>
        <v>52578.44</v>
      </c>
      <c r="K8" s="22">
        <f>'Raw Data'!N5</f>
        <v>16558.88</v>
      </c>
      <c r="L8" s="22">
        <f>'Raw Data'!L5</f>
        <v>10964.75</v>
      </c>
      <c r="M8" s="7"/>
      <c r="N8" s="28">
        <f t="shared" ref="N8:N16" si="2">G8/J8</f>
        <v>7.5303953103211123</v>
      </c>
      <c r="O8" s="28">
        <f>G8/K8</f>
        <v>23.910822350303885</v>
      </c>
      <c r="P8" s="28">
        <f t="shared" ref="P8:P16" si="3">E8/L8</f>
        <v>36.92796169543309</v>
      </c>
    </row>
    <row r="9" spans="2:16" ht="14.4" customHeight="1" x14ac:dyDescent="0.3">
      <c r="B9" s="21" t="str">
        <f>'Raw Data'!C6</f>
        <v>Divi's Lab.</v>
      </c>
      <c r="C9" s="22">
        <f>'Raw Data'!D6</f>
        <v>6658</v>
      </c>
      <c r="D9" s="26">
        <f>'Raw Data'!E6</f>
        <v>26.55</v>
      </c>
      <c r="E9" s="22">
        <f t="shared" si="0"/>
        <v>176769.9</v>
      </c>
      <c r="F9" s="22">
        <f>-'Raw Data'!J6</f>
        <v>-3711</v>
      </c>
      <c r="G9" s="22">
        <f t="shared" si="1"/>
        <v>173058.9</v>
      </c>
      <c r="H9" s="24"/>
      <c r="I9" s="24"/>
      <c r="J9" s="22">
        <f>'Raw Data'!K6</f>
        <v>9360</v>
      </c>
      <c r="K9" s="22">
        <f>'Raw Data'!N6</f>
        <v>3320</v>
      </c>
      <c r="L9" s="22">
        <f>'Raw Data'!L6</f>
        <v>2191</v>
      </c>
      <c r="M9" s="7"/>
      <c r="N9" s="28">
        <f t="shared" si="2"/>
        <v>18.489198717948717</v>
      </c>
      <c r="O9" s="28">
        <f t="shared" ref="O9:O16" si="4">G9/K9</f>
        <v>52.126174698795182</v>
      </c>
      <c r="P9" s="28">
        <f t="shared" si="3"/>
        <v>80.680009128251939</v>
      </c>
    </row>
    <row r="10" spans="2:16" ht="14.4" customHeight="1" x14ac:dyDescent="0.3">
      <c r="B10" s="21" t="str">
        <f>'Raw Data'!C7</f>
        <v>Torrent Pharma.</v>
      </c>
      <c r="C10" s="22">
        <f>'Raw Data'!D7</f>
        <v>3341.4</v>
      </c>
      <c r="D10" s="26">
        <f>'Raw Data'!E7</f>
        <v>33.840000000000003</v>
      </c>
      <c r="E10" s="22">
        <f t="shared" si="0"/>
        <v>113072.97600000001</v>
      </c>
      <c r="F10" s="22">
        <f>-'Raw Data'!J7</f>
        <v>2623</v>
      </c>
      <c r="G10" s="22">
        <f t="shared" si="1"/>
        <v>115695.97600000001</v>
      </c>
      <c r="H10" s="24"/>
      <c r="I10" s="24"/>
      <c r="J10" s="22">
        <f>'Raw Data'!K7</f>
        <v>11516</v>
      </c>
      <c r="K10" s="22">
        <f>'Raw Data'!N7</f>
        <v>3720</v>
      </c>
      <c r="L10" s="22">
        <f>'Raw Data'!L7</f>
        <v>1911</v>
      </c>
      <c r="M10" s="7"/>
      <c r="N10" s="28">
        <f t="shared" si="2"/>
        <v>10.046541854810698</v>
      </c>
      <c r="O10" s="28">
        <f t="shared" si="4"/>
        <v>31.101068817204304</v>
      </c>
      <c r="P10" s="28">
        <f t="shared" si="3"/>
        <v>59.169532182103616</v>
      </c>
    </row>
    <row r="11" spans="2:16" ht="15" customHeight="1" x14ac:dyDescent="0.3">
      <c r="B11" s="21" t="str">
        <f>'Raw Data'!C8</f>
        <v>Dr Reddy's Labs</v>
      </c>
      <c r="C11" s="22">
        <f>'Raw Data'!D8</f>
        <v>1301</v>
      </c>
      <c r="D11" s="26">
        <f>'Raw Data'!E8</f>
        <v>83.46</v>
      </c>
      <c r="E11" s="22">
        <f t="shared" si="0"/>
        <v>108581.45999999999</v>
      </c>
      <c r="F11" s="22">
        <f>-'Raw Data'!J8</f>
        <v>2216.4000000000005</v>
      </c>
      <c r="G11" s="22">
        <f t="shared" si="1"/>
        <v>110797.85999999999</v>
      </c>
      <c r="H11" s="24"/>
      <c r="I11" s="24"/>
      <c r="J11" s="22">
        <f>'Raw Data'!K8</f>
        <v>32643.9</v>
      </c>
      <c r="K11" s="22">
        <f>'Raw Data'!N8</f>
        <v>9666.1</v>
      </c>
      <c r="L11" s="22">
        <f>'Raw Data'!L8</f>
        <v>5725.2</v>
      </c>
      <c r="M11" s="7"/>
      <c r="N11" s="28">
        <f t="shared" si="2"/>
        <v>3.3941367299863061</v>
      </c>
      <c r="O11" s="28">
        <f t="shared" si="4"/>
        <v>11.462519527006753</v>
      </c>
      <c r="P11" s="28">
        <f t="shared" si="3"/>
        <v>18.965531335149862</v>
      </c>
    </row>
    <row r="12" spans="2:16" ht="14.4" customHeight="1" x14ac:dyDescent="0.3">
      <c r="B12" s="21" t="str">
        <f>'Raw Data'!C9</f>
        <v>Zydus Lifesci.</v>
      </c>
      <c r="C12" s="22">
        <f>'Raw Data'!D9</f>
        <v>981.8</v>
      </c>
      <c r="D12" s="26">
        <f>'Raw Data'!E9</f>
        <v>100.62</v>
      </c>
      <c r="E12" s="22">
        <f t="shared" si="0"/>
        <v>98788.716</v>
      </c>
      <c r="F12" s="22">
        <f>-'Raw Data'!J9</f>
        <v>256.39999999999964</v>
      </c>
      <c r="G12" s="22">
        <f t="shared" si="1"/>
        <v>99045.115999999995</v>
      </c>
      <c r="H12" s="24"/>
      <c r="I12" s="24"/>
      <c r="J12" s="22">
        <f>'Raw Data'!K9</f>
        <v>23241.5</v>
      </c>
      <c r="K12" s="22">
        <f>'Raw Data'!N9</f>
        <v>7108.4</v>
      </c>
      <c r="L12" s="22">
        <f>'Raw Data'!L9</f>
        <v>4672.6000000000004</v>
      </c>
      <c r="M12" s="7"/>
      <c r="N12" s="28">
        <f t="shared" si="2"/>
        <v>4.2615629800141983</v>
      </c>
      <c r="O12" s="28">
        <f t="shared" si="4"/>
        <v>13.933531596421135</v>
      </c>
      <c r="P12" s="28">
        <f t="shared" si="3"/>
        <v>21.142129863459314</v>
      </c>
    </row>
    <row r="13" spans="2:16" x14ac:dyDescent="0.3">
      <c r="B13" s="21" t="str">
        <f>'Raw Data'!C10</f>
        <v>Mankind Pharma</v>
      </c>
      <c r="C13" s="22">
        <f>'Raw Data'!D10</f>
        <v>2333.4</v>
      </c>
      <c r="D13" s="26">
        <f>'Raw Data'!E10</f>
        <v>41.27</v>
      </c>
      <c r="E13" s="22">
        <f t="shared" si="0"/>
        <v>96299.418000000005</v>
      </c>
      <c r="F13" s="22">
        <f>-'Raw Data'!J10</f>
        <v>7956.9500000000007</v>
      </c>
      <c r="G13" s="22">
        <f t="shared" si="1"/>
        <v>104256.368</v>
      </c>
      <c r="H13" s="24"/>
      <c r="I13" s="24"/>
      <c r="J13" s="22">
        <f>'Raw Data'!K10</f>
        <v>12207.44</v>
      </c>
      <c r="K13" s="22">
        <f>'Raw Data'!N10</f>
        <v>3571.49</v>
      </c>
      <c r="L13" s="22">
        <f>'Raw Data'!L10</f>
        <v>2011.12</v>
      </c>
      <c r="M13" s="7"/>
      <c r="N13" s="28">
        <f t="shared" si="2"/>
        <v>8.5403956931182954</v>
      </c>
      <c r="O13" s="28">
        <f t="shared" si="4"/>
        <v>29.191280949967663</v>
      </c>
      <c r="P13" s="28">
        <f t="shared" si="3"/>
        <v>47.883476868610529</v>
      </c>
    </row>
    <row r="14" spans="2:16" x14ac:dyDescent="0.3">
      <c r="B14" s="21" t="str">
        <f>'Raw Data'!C11</f>
        <v>Lupin</v>
      </c>
      <c r="C14" s="22">
        <f>'Raw Data'!D11</f>
        <v>1935.2</v>
      </c>
      <c r="D14" s="26">
        <f>'Raw Data'!E11</f>
        <v>45.67</v>
      </c>
      <c r="E14" s="22">
        <f t="shared" si="0"/>
        <v>88380.584000000003</v>
      </c>
      <c r="F14" s="22">
        <f>-'Raw Data'!J11</f>
        <v>2305.4400000000005</v>
      </c>
      <c r="G14" s="22">
        <f t="shared" si="1"/>
        <v>90686.024000000005</v>
      </c>
      <c r="H14" s="24"/>
      <c r="I14" s="24"/>
      <c r="J14" s="22">
        <f>'Raw Data'!K11</f>
        <v>22707.9</v>
      </c>
      <c r="K14" s="22">
        <f>'Raw Data'!N11</f>
        <v>5479.13</v>
      </c>
      <c r="L14" s="22">
        <f>'Raw Data'!L11</f>
        <v>3306.26</v>
      </c>
      <c r="M14" s="7"/>
      <c r="N14" s="28">
        <f t="shared" si="2"/>
        <v>3.9935891914267723</v>
      </c>
      <c r="O14" s="28">
        <f t="shared" si="4"/>
        <v>16.551172175144593</v>
      </c>
      <c r="P14" s="28">
        <f t="shared" si="3"/>
        <v>26.731286710664012</v>
      </c>
    </row>
    <row r="15" spans="2:16" ht="14.4" customHeight="1" x14ac:dyDescent="0.3">
      <c r="B15" s="21" t="str">
        <f>'Raw Data'!C12</f>
        <v>Abbott India</v>
      </c>
      <c r="C15" s="22">
        <f>'Raw Data'!D12</f>
        <v>34940</v>
      </c>
      <c r="D15" s="26">
        <f>'Raw Data'!E12</f>
        <v>2.12</v>
      </c>
      <c r="E15" s="22">
        <f t="shared" si="0"/>
        <v>74072.800000000003</v>
      </c>
      <c r="F15" s="22">
        <f>-'Raw Data'!J12</f>
        <v>-1431.25</v>
      </c>
      <c r="G15" s="22">
        <f t="shared" si="1"/>
        <v>72641.55</v>
      </c>
      <c r="H15" s="24"/>
      <c r="I15" s="24"/>
      <c r="J15" s="22">
        <f>'Raw Data'!K12</f>
        <v>6409.15</v>
      </c>
      <c r="K15" s="22">
        <f>'Raw Data'!N12</f>
        <v>1970.18</v>
      </c>
      <c r="L15" s="22">
        <f>'Raw Data'!L12</f>
        <v>1414.44</v>
      </c>
      <c r="M15" s="7"/>
      <c r="N15" s="28">
        <f t="shared" si="2"/>
        <v>11.334038054968289</v>
      </c>
      <c r="O15" s="28">
        <f t="shared" si="4"/>
        <v>36.870514369245448</v>
      </c>
      <c r="P15" s="28">
        <f t="shared" si="3"/>
        <v>52.368994089533665</v>
      </c>
    </row>
    <row r="16" spans="2:16" ht="14.4" customHeight="1" x14ac:dyDescent="0.3">
      <c r="B16" s="21" t="str">
        <f>'Raw Data'!C13</f>
        <v>Aurobindo Pharma</v>
      </c>
      <c r="C16" s="22">
        <f>'Raw Data'!D13</f>
        <v>1121</v>
      </c>
      <c r="D16" s="26">
        <f>'Raw Data'!E13</f>
        <v>58.59</v>
      </c>
      <c r="E16" s="22">
        <f t="shared" si="0"/>
        <v>65679.39</v>
      </c>
      <c r="F16" s="22">
        <f>-'Raw Data'!J13</f>
        <v>27.380000000001019</v>
      </c>
      <c r="G16" s="22">
        <f t="shared" si="1"/>
        <v>65706.77</v>
      </c>
      <c r="H16" s="24"/>
      <c r="I16" s="24"/>
      <c r="J16" s="22">
        <f>'Raw Data'!K13</f>
        <v>31723.73</v>
      </c>
      <c r="K16" s="22">
        <f>'Raw Data'!N13</f>
        <v>7172.95</v>
      </c>
      <c r="L16" s="22">
        <f>'Raw Data'!L13</f>
        <v>3483.57</v>
      </c>
      <c r="M16" s="7"/>
      <c r="N16" s="28">
        <f t="shared" si="2"/>
        <v>2.0712182962091785</v>
      </c>
      <c r="O16" s="28">
        <f t="shared" si="4"/>
        <v>9.1603552234436325</v>
      </c>
      <c r="P16" s="28">
        <f t="shared" si="3"/>
        <v>18.854046280109198</v>
      </c>
    </row>
    <row r="17" spans="2:16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3">
      <c r="B18" s="8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27">
        <f>MAX(N7:N16)</f>
        <v>18.489198717948717</v>
      </c>
      <c r="O18" s="27">
        <f t="shared" ref="O18:P18" si="5">MAX(O7:O16)</f>
        <v>52.126174698795182</v>
      </c>
      <c r="P18" s="27">
        <f t="shared" si="5"/>
        <v>80.680009128251939</v>
      </c>
    </row>
    <row r="19" spans="2:16" ht="16.2" customHeight="1" x14ac:dyDescent="0.3">
      <c r="B19" s="8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27">
        <f>QUARTILE(N7:N16, 3)</f>
        <v>9.6700053143875984</v>
      </c>
      <c r="O19" s="27">
        <f t="shared" ref="O19:P19" si="6">QUARTILE(O7:O16, 3)</f>
        <v>30.623621850395143</v>
      </c>
      <c r="P19" s="27">
        <f t="shared" si="6"/>
        <v>51.247614784302883</v>
      </c>
    </row>
    <row r="20" spans="2:16" x14ac:dyDescent="0.3">
      <c r="B20" s="12" t="s">
        <v>25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9">
        <f>AVERAGE(N7:N16)</f>
        <v>7.4053006077137908</v>
      </c>
      <c r="O20" s="29">
        <f t="shared" ref="O20:P20" si="7">AVERAGE(O7:O16)</f>
        <v>23.945020326643355</v>
      </c>
      <c r="P20" s="29">
        <f t="shared" si="7"/>
        <v>38.575281101371147</v>
      </c>
    </row>
    <row r="21" spans="2:16" x14ac:dyDescent="0.3">
      <c r="B21" s="12" t="s">
        <v>26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9">
        <f>MEDIAN(N7:N16)</f>
        <v>5.9611622793277252</v>
      </c>
      <c r="O21" s="29">
        <f t="shared" ref="O21:P21" si="8">MEDIAN(O7:O16)</f>
        <v>20.230997262724237</v>
      </c>
      <c r="P21" s="29">
        <f t="shared" si="8"/>
        <v>31.829624203048553</v>
      </c>
    </row>
    <row r="22" spans="2:16" ht="15" customHeight="1" x14ac:dyDescent="0.3"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7">
        <f>QUARTILE(N7:N16,1)</f>
        <v>4.0605826385736288</v>
      </c>
      <c r="O22" s="27">
        <f t="shared" ref="O22:P22" si="9">QUARTILE(O7:O16,1)</f>
        <v>14.235839587041088</v>
      </c>
      <c r="P22" s="27">
        <f t="shared" si="9"/>
        <v>21.614058112693552</v>
      </c>
    </row>
    <row r="23" spans="2:16" x14ac:dyDescent="0.3">
      <c r="B23" s="8" t="s">
        <v>28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7">
        <f>MIN(N7:N16)</f>
        <v>2.0712182962091785</v>
      </c>
      <c r="O23" s="27">
        <f t="shared" ref="O23:P23" si="10">MIN(O7:O16)</f>
        <v>9.1603552234436325</v>
      </c>
      <c r="P23" s="27">
        <f t="shared" si="10"/>
        <v>18.854046280109198</v>
      </c>
    </row>
    <row r="24" spans="2:1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14.4" customHeight="1" thickBot="1" x14ac:dyDescent="0.35">
      <c r="B25" s="13" t="str">
        <f>B7&amp;" Comparable Valuation"</f>
        <v>Cipla Comparable Valuation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6" t="s">
        <v>14</v>
      </c>
      <c r="O25" s="4" t="s">
        <v>15</v>
      </c>
      <c r="P25" s="6" t="s">
        <v>16</v>
      </c>
    </row>
    <row r="26" spans="2:16" ht="3" customHeight="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2:16" x14ac:dyDescent="0.3">
      <c r="B27" s="11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0">
        <f>N21*J7</f>
        <v>164215.83322925403</v>
      </c>
      <c r="O27" s="10">
        <f>O21*K7</f>
        <v>161641.01499979623</v>
      </c>
      <c r="P27" s="10">
        <f>P29+P28</f>
        <v>167355.00585070343</v>
      </c>
    </row>
    <row r="28" spans="2:16" x14ac:dyDescent="0.3">
      <c r="B28" s="7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0">
        <f>F7</f>
        <v>-361.65000000000003</v>
      </c>
      <c r="O28" s="10">
        <f>N28</f>
        <v>-361.65000000000003</v>
      </c>
      <c r="P28" s="10">
        <f>O28</f>
        <v>-361.65000000000003</v>
      </c>
    </row>
    <row r="29" spans="2:16" x14ac:dyDescent="0.3">
      <c r="B29" s="11" t="s">
        <v>30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>
        <f>N27-N28</f>
        <v>164577.48322925402</v>
      </c>
      <c r="O29" s="10">
        <f t="shared" ref="O29" si="11">O27-O28</f>
        <v>162002.66499979622</v>
      </c>
      <c r="P29" s="10">
        <f>L7*P21</f>
        <v>167716.65585070342</v>
      </c>
    </row>
    <row r="30" spans="2:16" x14ac:dyDescent="0.3">
      <c r="B30" s="11" t="s">
        <v>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0">
        <f>D7</f>
        <v>80.77</v>
      </c>
      <c r="O30" s="30">
        <f>N30</f>
        <v>80.77</v>
      </c>
      <c r="P30" s="30">
        <f>O30</f>
        <v>80.77</v>
      </c>
    </row>
    <row r="31" spans="2:16" ht="4.8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B32" s="19" t="s">
        <v>31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31">
        <f>N29/N30</f>
        <v>2037.6065770614589</v>
      </c>
      <c r="O32" s="31">
        <f t="shared" ref="O32:P32" si="12">O29/O30</f>
        <v>2005.728178776727</v>
      </c>
      <c r="P32" s="31">
        <f t="shared" si="12"/>
        <v>2076.472153654865</v>
      </c>
    </row>
    <row r="33" spans="2:16" ht="6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">
      <c r="B34" s="15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ht="14.4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tr">
        <f>IF(N32&lt;=$C$7, "Overvalued", "Undervalued")</f>
        <v>Undervalued</v>
      </c>
      <c r="O35" s="1" t="str">
        <f t="shared" ref="O35:P35" si="13">IF(O32&lt;=$C$7, "Overvalued", "Undervalued")</f>
        <v>Undervalued</v>
      </c>
      <c r="P35" s="1" t="str">
        <f t="shared" si="13"/>
        <v>Undervalued</v>
      </c>
    </row>
  </sheetData>
  <mergeCells count="3">
    <mergeCell ref="C4:H4"/>
    <mergeCell ref="J4:L4"/>
    <mergeCell ref="N4:P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B224-0539-4500-9B55-D46D803D0165}">
  <dimension ref="B3:O13"/>
  <sheetViews>
    <sheetView workbookViewId="0">
      <selection activeCell="J4" sqref="J4"/>
    </sheetView>
  </sheetViews>
  <sheetFormatPr defaultRowHeight="14.4" x14ac:dyDescent="0.3"/>
  <cols>
    <col min="2" max="2" width="5.44140625" bestFit="1" customWidth="1"/>
    <col min="3" max="3" width="16.21875" bestFit="1" customWidth="1"/>
    <col min="4" max="4" width="7.6640625" bestFit="1" customWidth="1"/>
    <col min="5" max="5" width="15.6640625" bestFit="1" customWidth="1"/>
    <col min="6" max="6" width="11.77734375" bestFit="1" customWidth="1"/>
    <col min="7" max="7" width="10.109375" bestFit="1" customWidth="1"/>
    <col min="8" max="8" width="10" bestFit="1" customWidth="1"/>
    <col min="9" max="9" width="13.6640625" bestFit="1" customWidth="1"/>
    <col min="10" max="10" width="13.6640625" customWidth="1"/>
    <col min="11" max="11" width="10.33203125" bestFit="1" customWidth="1"/>
    <col min="12" max="12" width="12.6640625" bestFit="1" customWidth="1"/>
    <col min="13" max="13" width="6.88671875" bestFit="1" customWidth="1"/>
    <col min="14" max="14" width="13" customWidth="1"/>
    <col min="15" max="15" width="13.6640625" bestFit="1" customWidth="1"/>
  </cols>
  <sheetData>
    <row r="3" spans="2:15" x14ac:dyDescent="0.3"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9</v>
      </c>
      <c r="K3" t="s">
        <v>44</v>
      </c>
      <c r="L3" t="s">
        <v>45</v>
      </c>
      <c r="M3" t="s">
        <v>46</v>
      </c>
      <c r="N3" t="s">
        <v>12</v>
      </c>
      <c r="O3" t="s">
        <v>47</v>
      </c>
    </row>
    <row r="4" spans="2:15" x14ac:dyDescent="0.3">
      <c r="B4">
        <v>1</v>
      </c>
      <c r="C4" t="s">
        <v>17</v>
      </c>
      <c r="D4">
        <v>1502.4</v>
      </c>
      <c r="E4">
        <v>80.77</v>
      </c>
      <c r="F4">
        <v>161.52000000000001</v>
      </c>
      <c r="G4">
        <v>438.19</v>
      </c>
      <c r="H4">
        <v>121072.6</v>
      </c>
      <c r="I4">
        <v>799.84</v>
      </c>
      <c r="J4">
        <f>I4-G4</f>
        <v>361.65000000000003</v>
      </c>
      <c r="K4">
        <v>27547.62</v>
      </c>
      <c r="L4">
        <v>5269.2</v>
      </c>
      <c r="M4">
        <v>25.87</v>
      </c>
      <c r="N4" s="14">
        <v>7989.77</v>
      </c>
    </row>
    <row r="5" spans="2:15" x14ac:dyDescent="0.3">
      <c r="B5">
        <v>2</v>
      </c>
      <c r="C5" t="s">
        <v>18</v>
      </c>
      <c r="D5">
        <v>1687.6</v>
      </c>
      <c r="E5">
        <v>239.93</v>
      </c>
      <c r="F5">
        <v>239.93</v>
      </c>
      <c r="G5">
        <v>2362.19</v>
      </c>
      <c r="H5">
        <v>396063.62</v>
      </c>
      <c r="I5">
        <v>11331.62</v>
      </c>
      <c r="J5">
        <f t="shared" ref="J5:J13" si="0">I5-G5</f>
        <v>8969.43</v>
      </c>
      <c r="K5">
        <v>52578.44</v>
      </c>
      <c r="L5">
        <v>10964.75</v>
      </c>
      <c r="M5">
        <v>29.05</v>
      </c>
      <c r="N5" s="14">
        <v>16558.88</v>
      </c>
    </row>
    <row r="6" spans="2:15" x14ac:dyDescent="0.3">
      <c r="B6">
        <v>3</v>
      </c>
      <c r="C6" t="s">
        <v>32</v>
      </c>
      <c r="D6">
        <v>6658</v>
      </c>
      <c r="E6">
        <v>26.55</v>
      </c>
      <c r="F6">
        <v>53</v>
      </c>
      <c r="G6">
        <v>4</v>
      </c>
      <c r="H6">
        <v>173098.11</v>
      </c>
      <c r="I6">
        <v>3715</v>
      </c>
      <c r="J6">
        <f t="shared" si="0"/>
        <v>3711</v>
      </c>
      <c r="K6">
        <v>9360</v>
      </c>
      <c r="L6">
        <v>2191</v>
      </c>
      <c r="M6">
        <v>31.71</v>
      </c>
      <c r="N6" s="14">
        <v>3320</v>
      </c>
    </row>
    <row r="7" spans="2:15" x14ac:dyDescent="0.3">
      <c r="B7">
        <v>4</v>
      </c>
      <c r="C7" t="s">
        <v>20</v>
      </c>
      <c r="D7">
        <v>3341.4</v>
      </c>
      <c r="E7">
        <v>33.840000000000003</v>
      </c>
      <c r="F7">
        <v>169</v>
      </c>
      <c r="G7">
        <v>3202</v>
      </c>
      <c r="H7">
        <v>115593.89</v>
      </c>
      <c r="I7">
        <v>579</v>
      </c>
      <c r="J7">
        <f t="shared" si="0"/>
        <v>-2623</v>
      </c>
      <c r="K7">
        <v>11516</v>
      </c>
      <c r="L7">
        <v>1911</v>
      </c>
      <c r="M7">
        <v>32.31</v>
      </c>
      <c r="N7" s="14">
        <v>3720</v>
      </c>
    </row>
    <row r="8" spans="2:15" x14ac:dyDescent="0.3">
      <c r="B8">
        <v>5</v>
      </c>
      <c r="C8" t="s">
        <v>19</v>
      </c>
      <c r="D8">
        <v>1301</v>
      </c>
      <c r="E8">
        <v>83.46</v>
      </c>
      <c r="F8">
        <v>83.4</v>
      </c>
      <c r="G8">
        <v>4676.6000000000004</v>
      </c>
      <c r="H8">
        <v>110818.75</v>
      </c>
      <c r="I8">
        <v>2460.1999999999998</v>
      </c>
      <c r="J8">
        <f t="shared" si="0"/>
        <v>-2216.4000000000005</v>
      </c>
      <c r="K8">
        <v>32643.9</v>
      </c>
      <c r="L8">
        <v>5725.2</v>
      </c>
      <c r="M8">
        <v>26.18</v>
      </c>
      <c r="N8" s="14">
        <v>9666.1</v>
      </c>
    </row>
    <row r="9" spans="2:15" x14ac:dyDescent="0.3">
      <c r="B9">
        <v>6</v>
      </c>
      <c r="C9" t="s">
        <v>21</v>
      </c>
      <c r="D9">
        <v>981.8</v>
      </c>
      <c r="E9">
        <v>100.62</v>
      </c>
      <c r="F9">
        <v>100.6</v>
      </c>
      <c r="G9">
        <v>3213.2</v>
      </c>
      <c r="H9">
        <v>99033.37</v>
      </c>
      <c r="I9">
        <v>2956.8</v>
      </c>
      <c r="J9">
        <f t="shared" si="0"/>
        <v>-256.39999999999964</v>
      </c>
      <c r="K9">
        <v>23241.5</v>
      </c>
      <c r="L9">
        <v>4672.6000000000004</v>
      </c>
      <c r="M9">
        <v>30.37</v>
      </c>
      <c r="N9" s="14">
        <v>7108.4</v>
      </c>
    </row>
    <row r="10" spans="2:15" x14ac:dyDescent="0.3">
      <c r="B10">
        <v>7</v>
      </c>
      <c r="C10" t="s">
        <v>33</v>
      </c>
      <c r="D10">
        <v>2333.4</v>
      </c>
      <c r="E10">
        <v>41.27</v>
      </c>
      <c r="F10">
        <v>41.26</v>
      </c>
      <c r="G10">
        <v>8511.4500000000007</v>
      </c>
      <c r="H10">
        <v>104298.63</v>
      </c>
      <c r="I10">
        <v>554.5</v>
      </c>
      <c r="J10">
        <f t="shared" si="0"/>
        <v>-7956.9500000000007</v>
      </c>
      <c r="K10">
        <v>12207.44</v>
      </c>
      <c r="L10">
        <v>2011.12</v>
      </c>
      <c r="M10">
        <v>24.72</v>
      </c>
      <c r="N10" s="14">
        <v>3571.49</v>
      </c>
    </row>
    <row r="11" spans="2:15" x14ac:dyDescent="0.3">
      <c r="B11">
        <v>8</v>
      </c>
      <c r="C11" t="s">
        <v>34</v>
      </c>
      <c r="D11">
        <v>1935.2</v>
      </c>
      <c r="E11">
        <v>45.67</v>
      </c>
      <c r="F11">
        <v>91.32</v>
      </c>
      <c r="G11">
        <v>5447.77</v>
      </c>
      <c r="H11">
        <v>90804.45</v>
      </c>
      <c r="I11">
        <v>3142.33</v>
      </c>
      <c r="J11">
        <f t="shared" si="0"/>
        <v>-2305.4400000000005</v>
      </c>
      <c r="K11">
        <v>22707.9</v>
      </c>
      <c r="L11">
        <v>3306.26</v>
      </c>
      <c r="M11">
        <v>23.27</v>
      </c>
      <c r="N11" s="14">
        <v>5479.13</v>
      </c>
    </row>
    <row r="12" spans="2:15" x14ac:dyDescent="0.3">
      <c r="B12">
        <v>9</v>
      </c>
      <c r="C12" t="s">
        <v>35</v>
      </c>
      <c r="D12">
        <v>34940</v>
      </c>
      <c r="E12">
        <v>2.12</v>
      </c>
      <c r="F12">
        <v>21.25</v>
      </c>
      <c r="G12">
        <v>196.67</v>
      </c>
      <c r="H12">
        <v>72611.97</v>
      </c>
      <c r="I12">
        <v>1627.92</v>
      </c>
      <c r="J12">
        <f t="shared" si="0"/>
        <v>1431.25</v>
      </c>
      <c r="K12">
        <v>6409.15</v>
      </c>
      <c r="L12">
        <v>1414.44</v>
      </c>
      <c r="M12">
        <v>26.44</v>
      </c>
      <c r="N12" s="14">
        <v>1970.18</v>
      </c>
    </row>
    <row r="13" spans="2:15" x14ac:dyDescent="0.3">
      <c r="B13">
        <v>10</v>
      </c>
      <c r="C13" t="s">
        <v>22</v>
      </c>
      <c r="D13">
        <v>1121</v>
      </c>
      <c r="E13">
        <v>58.59</v>
      </c>
      <c r="F13">
        <v>58.08</v>
      </c>
      <c r="G13">
        <v>8262.8700000000008</v>
      </c>
      <c r="H13">
        <v>65714.02</v>
      </c>
      <c r="I13">
        <v>8235.49</v>
      </c>
      <c r="J13">
        <f t="shared" si="0"/>
        <v>-27.380000000001019</v>
      </c>
      <c r="K13">
        <v>31723.73</v>
      </c>
      <c r="L13">
        <v>3483.57</v>
      </c>
      <c r="M13">
        <v>20.65</v>
      </c>
      <c r="N13" s="14">
        <v>7172.95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Val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Bhosale</dc:creator>
  <cp:lastModifiedBy>satish Bhosale</cp:lastModifiedBy>
  <cp:lastPrinted>2025-06-27T15:31:27Z</cp:lastPrinted>
  <dcterms:created xsi:type="dcterms:W3CDTF">2025-06-27T14:05:27Z</dcterms:created>
  <dcterms:modified xsi:type="dcterms:W3CDTF">2025-10-28T20:19:01Z</dcterms:modified>
</cp:coreProperties>
</file>