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01_Dave\Programs\GitHub_home\budget\verification\"/>
    </mc:Choice>
  </mc:AlternateContent>
  <xr:revisionPtr revIDLastSave="0" documentId="13_ncr:1_{EDC4A72B-696F-4C0F-A6B1-C141530759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parison" sheetId="3" r:id="rId1"/>
    <sheet name="GreenSheet" sheetId="1" r:id="rId2"/>
    <sheet name="Chart" sheetId="2" r:id="rId3"/>
  </sheets>
  <externalReferences>
    <externalReference r:id="rId4"/>
  </externalReferences>
  <definedNames>
    <definedName name="_xlnm.Print_Area" localSheetId="1">GreenSheet!$J$4:$K$4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3" l="1"/>
  <c r="H29" i="3"/>
  <c r="G29" i="3"/>
  <c r="F29" i="3"/>
  <c r="I28" i="3"/>
  <c r="H28" i="3"/>
  <c r="G28" i="3"/>
  <c r="F28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I23" i="3"/>
  <c r="H23" i="3"/>
  <c r="G23" i="3"/>
  <c r="F23" i="3"/>
  <c r="I22" i="3"/>
  <c r="H22" i="3"/>
  <c r="G22" i="3"/>
  <c r="F22" i="3"/>
  <c r="I21" i="3"/>
  <c r="H21" i="3"/>
  <c r="G21" i="3"/>
  <c r="F21" i="3"/>
  <c r="I20" i="3"/>
  <c r="H20" i="3"/>
  <c r="G20" i="3"/>
  <c r="F20" i="3"/>
  <c r="I19" i="3"/>
  <c r="H19" i="3"/>
  <c r="G19" i="3"/>
  <c r="F19" i="3"/>
  <c r="I18" i="3"/>
  <c r="I31" i="3" s="1"/>
  <c r="H18" i="3"/>
  <c r="H31" i="3" s="1"/>
  <c r="G18" i="3"/>
  <c r="G31" i="3" s="1"/>
  <c r="F18" i="3"/>
  <c r="F31" i="3" s="1"/>
  <c r="I17" i="3"/>
  <c r="H17" i="3"/>
  <c r="G17" i="3"/>
  <c r="F17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I14" i="3" s="1"/>
  <c r="M14" i="3" s="1"/>
  <c r="H8" i="3"/>
  <c r="H14" i="3" s="1"/>
  <c r="L14" i="3" s="1"/>
  <c r="G8" i="3"/>
  <c r="G14" i="3" s="1"/>
  <c r="K14" i="3" s="1"/>
  <c r="F8" i="3"/>
  <c r="F14" i="3" s="1"/>
  <c r="J14" i="3" s="1"/>
  <c r="I7" i="3"/>
  <c r="H7" i="3"/>
  <c r="G7" i="3"/>
  <c r="F7" i="3"/>
  <c r="J30" i="3"/>
  <c r="K30" i="3"/>
  <c r="L30" i="3"/>
  <c r="M30" i="3"/>
  <c r="J13" i="3"/>
  <c r="K13" i="3"/>
  <c r="L13" i="3"/>
  <c r="M13" i="3"/>
  <c r="C31" i="3"/>
  <c r="D31" i="3"/>
  <c r="E31" i="3"/>
  <c r="B31" i="3"/>
  <c r="M25" i="3" l="1"/>
  <c r="L25" i="3"/>
  <c r="K25" i="3"/>
  <c r="K22" i="3"/>
  <c r="K19" i="3"/>
  <c r="M12" i="3"/>
  <c r="L12" i="3"/>
  <c r="K12" i="3"/>
  <c r="J12" i="3"/>
  <c r="A33" i="3"/>
  <c r="E32" i="3"/>
  <c r="D32" i="3"/>
  <c r="C32" i="3"/>
  <c r="B32" i="3"/>
  <c r="A32" i="3"/>
  <c r="A31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A16" i="3"/>
  <c r="E15" i="3"/>
  <c r="D15" i="3"/>
  <c r="C15" i="3"/>
  <c r="B15" i="3"/>
  <c r="A15" i="3"/>
  <c r="A14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D14" i="3" s="1"/>
  <c r="D33" i="3" s="1"/>
  <c r="C7" i="3"/>
  <c r="B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I3" i="3" s="1"/>
  <c r="M3" i="3" s="1"/>
  <c r="D3" i="3"/>
  <c r="H3" i="3" s="1"/>
  <c r="L3" i="3" s="1"/>
  <c r="C3" i="3"/>
  <c r="G3" i="3" s="1"/>
  <c r="K3" i="3" s="1"/>
  <c r="B3" i="3"/>
  <c r="F3" i="3" s="1"/>
  <c r="J3" i="3" s="1"/>
  <c r="A3" i="3"/>
  <c r="E2" i="3"/>
  <c r="I2" i="3" s="1"/>
  <c r="M2" i="3" s="1"/>
  <c r="D2" i="3"/>
  <c r="H2" i="3" s="1"/>
  <c r="L2" i="3" s="1"/>
  <c r="C2" i="3"/>
  <c r="G2" i="3" s="1"/>
  <c r="K2" i="3" s="1"/>
  <c r="B2" i="3"/>
  <c r="F2" i="3" s="1"/>
  <c r="J2" i="3" s="1"/>
  <c r="A2" i="3"/>
  <c r="A1" i="3"/>
  <c r="B69" i="1"/>
  <c r="E69" i="1"/>
  <c r="C69" i="1"/>
  <c r="D69" i="1"/>
  <c r="F69" i="1"/>
  <c r="A69" i="1"/>
  <c r="E30" i="1"/>
  <c r="D30" i="1"/>
  <c r="G28" i="1"/>
  <c r="J28" i="1"/>
  <c r="B30" i="1"/>
  <c r="C13" i="1"/>
  <c r="G10" i="1"/>
  <c r="J16" i="1"/>
  <c r="E13" i="1"/>
  <c r="J23" i="1"/>
  <c r="G23" i="1"/>
  <c r="J29" i="3" l="1"/>
  <c r="K7" i="3"/>
  <c r="K10" i="3"/>
  <c r="K20" i="3"/>
  <c r="K23" i="3"/>
  <c r="K26" i="3"/>
  <c r="K29" i="3"/>
  <c r="L7" i="3"/>
  <c r="L10" i="3"/>
  <c r="L20" i="3"/>
  <c r="L23" i="3"/>
  <c r="L26" i="3"/>
  <c r="L29" i="3"/>
  <c r="M7" i="3"/>
  <c r="M10" i="3"/>
  <c r="M17" i="3"/>
  <c r="M20" i="3"/>
  <c r="M23" i="3"/>
  <c r="M26" i="3"/>
  <c r="M29" i="3"/>
  <c r="J8" i="3"/>
  <c r="J11" i="3"/>
  <c r="J18" i="3"/>
  <c r="B14" i="3"/>
  <c r="C14" i="3"/>
  <c r="M21" i="3"/>
  <c r="E14" i="3"/>
  <c r="J28" i="3"/>
  <c r="J21" i="3"/>
  <c r="J24" i="3"/>
  <c r="J27" i="3"/>
  <c r="K11" i="3"/>
  <c r="K18" i="3"/>
  <c r="K21" i="3"/>
  <c r="K24" i="3"/>
  <c r="K27" i="3"/>
  <c r="L8" i="3"/>
  <c r="L11" i="3"/>
  <c r="L18" i="3"/>
  <c r="L21" i="3"/>
  <c r="L24" i="3"/>
  <c r="L27" i="3"/>
  <c r="J17" i="3"/>
  <c r="L17" i="3"/>
  <c r="M8" i="3"/>
  <c r="M11" i="3"/>
  <c r="M18" i="3"/>
  <c r="M24" i="3"/>
  <c r="M27" i="3"/>
  <c r="J9" i="3"/>
  <c r="J19" i="3"/>
  <c r="J22" i="3"/>
  <c r="J25" i="3"/>
  <c r="K9" i="3"/>
  <c r="K28" i="3"/>
  <c r="L9" i="3"/>
  <c r="L19" i="3"/>
  <c r="L22" i="3"/>
  <c r="L28" i="3"/>
  <c r="M9" i="3"/>
  <c r="M19" i="3"/>
  <c r="M22" i="3"/>
  <c r="M28" i="3"/>
  <c r="J7" i="3"/>
  <c r="J10" i="3"/>
  <c r="J20" i="3"/>
  <c r="J23" i="3"/>
  <c r="J26" i="3"/>
  <c r="K8" i="3"/>
  <c r="K17" i="3"/>
  <c r="B7" i="2"/>
  <c r="B39" i="2"/>
  <c r="B38" i="2"/>
  <c r="B37" i="2"/>
  <c r="B36" i="2"/>
  <c r="B35" i="2"/>
  <c r="B34" i="2"/>
  <c r="B33" i="2"/>
  <c r="B32" i="2"/>
  <c r="B30" i="2"/>
  <c r="B29" i="2"/>
  <c r="B28" i="2"/>
  <c r="B10" i="2"/>
  <c r="B9" i="2"/>
  <c r="B6" i="2"/>
  <c r="K31" i="3" l="1"/>
  <c r="K33" i="3" s="1"/>
  <c r="J31" i="3"/>
  <c r="J33" i="3" s="1"/>
  <c r="L31" i="3"/>
  <c r="M31" i="3"/>
  <c r="M33" i="3"/>
  <c r="L33" i="3"/>
  <c r="I33" i="3"/>
  <c r="F33" i="3"/>
  <c r="H33" i="3"/>
  <c r="G33" i="3"/>
  <c r="B8" i="2"/>
  <c r="B12" i="2" s="1"/>
  <c r="G9" i="1"/>
  <c r="B31" i="2"/>
  <c r="B41" i="2" s="1"/>
  <c r="C30" i="1"/>
  <c r="J11" i="1"/>
  <c r="J10" i="1"/>
  <c r="G27" i="1"/>
  <c r="J27" i="1"/>
  <c r="G11" i="1"/>
  <c r="B13" i="1"/>
  <c r="J22" i="1"/>
  <c r="D13" i="1"/>
  <c r="G22" i="1"/>
  <c r="J17" i="1"/>
  <c r="J18" i="1"/>
  <c r="J19" i="1"/>
  <c r="J20" i="1"/>
  <c r="J21" i="1"/>
  <c r="J24" i="1"/>
  <c r="J25" i="1"/>
  <c r="J26" i="1"/>
  <c r="J8" i="1"/>
  <c r="J9" i="1"/>
  <c r="J7" i="1"/>
  <c r="G7" i="1"/>
  <c r="G8" i="1"/>
  <c r="G16" i="1"/>
  <c r="G17" i="1"/>
  <c r="G18" i="1"/>
  <c r="G19" i="1"/>
  <c r="G20" i="1"/>
  <c r="G21" i="1"/>
  <c r="G24" i="1"/>
  <c r="G25" i="1"/>
  <c r="G26" i="1"/>
  <c r="E33" i="3" l="1"/>
  <c r="C33" i="3"/>
  <c r="B33" i="3"/>
  <c r="D32" i="1"/>
  <c r="G13" i="1"/>
  <c r="C32" i="1"/>
  <c r="B32" i="1"/>
  <c r="J30" i="1"/>
  <c r="J13" i="1"/>
  <c r="G30" i="1"/>
</calcChain>
</file>

<file path=xl/sharedStrings.xml><?xml version="1.0" encoding="utf-8"?>
<sst xmlns="http://schemas.openxmlformats.org/spreadsheetml/2006/main" count="92" uniqueCount="64">
  <si>
    <t>Account</t>
  </si>
  <si>
    <t>Current Month</t>
  </si>
  <si>
    <t>(This year)</t>
  </si>
  <si>
    <t>Year to Date</t>
  </si>
  <si>
    <t xml:space="preserve">Annual </t>
  </si>
  <si>
    <t>Budget</t>
  </si>
  <si>
    <t>Annual Budget</t>
  </si>
  <si>
    <t>Remaining</t>
  </si>
  <si>
    <t>Income</t>
  </si>
  <si>
    <t>Total Income</t>
  </si>
  <si>
    <t>Expenses</t>
  </si>
  <si>
    <t>Total Expenses</t>
  </si>
  <si>
    <t>Net Operating Totals</t>
  </si>
  <si>
    <t>OPERATIONS</t>
  </si>
  <si>
    <t>Actual Percent</t>
  </si>
  <si>
    <t>(Last year)</t>
  </si>
  <si>
    <t>Classis Assessment</t>
  </si>
  <si>
    <t>Contributions</t>
  </si>
  <si>
    <t>Investment Income</t>
  </si>
  <si>
    <t>Covenant Income</t>
  </si>
  <si>
    <t>Other Income</t>
  </si>
  <si>
    <t>Missioners Covenant</t>
  </si>
  <si>
    <t>Worship &amp; Arts</t>
  </si>
  <si>
    <t>Youth Education</t>
  </si>
  <si>
    <t>Mission &amp; Benevolences</t>
  </si>
  <si>
    <t>Adult Education</t>
  </si>
  <si>
    <t>Care &amp; Support</t>
  </si>
  <si>
    <t>Fellowship &amp; Hospitality</t>
  </si>
  <si>
    <t>Membership</t>
  </si>
  <si>
    <t>Property</t>
  </si>
  <si>
    <t>Finance</t>
  </si>
  <si>
    <t>Communications</t>
  </si>
  <si>
    <t>Administration</t>
  </si>
  <si>
    <t>Income Category</t>
  </si>
  <si>
    <t>Expense Category</t>
  </si>
  <si>
    <t>Support &amp; Care</t>
  </si>
  <si>
    <t>Covenant Fund</t>
  </si>
  <si>
    <t>Creation Care</t>
  </si>
  <si>
    <t>Archives</t>
  </si>
  <si>
    <t>Membership&amp;Fellowship</t>
  </si>
  <si>
    <t>Communication</t>
  </si>
  <si>
    <t>From budget.py</t>
  </si>
  <si>
    <t>Difference</t>
  </si>
  <si>
    <t>01 Classis Assessments</t>
  </si>
  <si>
    <t>02 Contributions</t>
  </si>
  <si>
    <t>06 Xbudget</t>
  </si>
  <si>
    <t>03 Investment Income</t>
  </si>
  <si>
    <t>04 Covenant Income</t>
  </si>
  <si>
    <t>05 Other Income</t>
  </si>
  <si>
    <t>07 Worship &amp; Arts</t>
  </si>
  <si>
    <t>10 Covenant Fund</t>
  </si>
  <si>
    <t>14 Creation Care</t>
  </si>
  <si>
    <t>15 Property</t>
  </si>
  <si>
    <t>16 Finance</t>
  </si>
  <si>
    <t>18 Administration</t>
  </si>
  <si>
    <t>08 Youth Ed</t>
  </si>
  <si>
    <t>09 M&amp;B</t>
  </si>
  <si>
    <t>11 Adult Ed</t>
  </si>
  <si>
    <t>12 Care &amp; Support</t>
  </si>
  <si>
    <t>13 Membership</t>
  </si>
  <si>
    <t>17 Archives</t>
  </si>
  <si>
    <t>19 Communications</t>
  </si>
  <si>
    <t>Correction (see detailes sheet)</t>
  </si>
  <si>
    <t>From GreenSheet from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</si>
</sst>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_);\(0.00\)"/>
    <numFmt numFmtId="165" formatCode="0.0%"/>
    <numFmt numFmtId="166" formatCode="&quot;$&quot;#,##0.00"/>
    <numFmt numFmtId="167" formatCode="&quot;$&quot;#,##0"/>
  </numFmts>
  <fonts count="8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0" fontId="2" fillId="0" borderId="0" xfId="0" applyFont="1"/>
    <xf numFmtId="8" fontId="3" fillId="0" borderId="0" xfId="0" applyNumberFormat="1" applyFont="1"/>
    <xf numFmtId="8" fontId="3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4" fillId="0" borderId="0" xfId="0" applyFont="1" applyAlignment="1">
      <alignment horizontal="right"/>
    </xf>
    <xf numFmtId="44" fontId="2" fillId="0" borderId="0" xfId="1" applyFont="1" applyFill="1"/>
    <xf numFmtId="8" fontId="2" fillId="0" borderId="0" xfId="1" applyNumberFormat="1" applyFont="1" applyFill="1"/>
    <xf numFmtId="165" fontId="2" fillId="0" borderId="0" xfId="2" applyNumberFormat="1" applyFont="1" applyFill="1" applyAlignment="1">
      <alignment horizontal="center"/>
    </xf>
    <xf numFmtId="165" fontId="2" fillId="0" borderId="0" xfId="0" applyNumberFormat="1" applyFont="1" applyAlignment="1" applyProtection="1">
      <alignment horizontal="center"/>
      <protection locked="0"/>
    </xf>
    <xf numFmtId="0" fontId="5" fillId="0" borderId="0" xfId="0" applyFont="1"/>
    <xf numFmtId="8" fontId="2" fillId="0" borderId="0" xfId="0" quotePrefix="1" applyNumberFormat="1" applyFont="1" applyAlignment="1">
      <alignment horizontal="right" wrapText="1"/>
    </xf>
    <xf numFmtId="166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2" applyNumberFormat="1" applyFont="1" applyFill="1" applyAlignment="1">
      <alignment horizontal="center"/>
    </xf>
    <xf numFmtId="8" fontId="3" fillId="0" borderId="0" xfId="0" applyNumberFormat="1" applyFont="1" applyAlignment="1">
      <alignment horizontal="right"/>
    </xf>
    <xf numFmtId="8" fontId="3" fillId="0" borderId="0" xfId="0" quotePrefix="1" applyNumberFormat="1" applyFont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1" fillId="0" borderId="0" xfId="0" quotePrefix="1" applyFont="1"/>
    <xf numFmtId="167" fontId="0" fillId="0" borderId="0" xfId="0" applyNumberFormat="1"/>
    <xf numFmtId="0" fontId="2" fillId="0" borderId="1" xfId="0" applyFont="1" applyBorder="1"/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2" fillId="0" borderId="2" xfId="0" applyFont="1" applyBorder="1"/>
    <xf numFmtId="0" fontId="3" fillId="0" borderId="3" xfId="0" applyFont="1" applyBorder="1"/>
    <xf numFmtId="167" fontId="3" fillId="0" borderId="7" xfId="0" applyNumberFormat="1" applyFont="1" applyBorder="1" applyAlignment="1">
      <alignment horizontal="center" wrapText="1"/>
    </xf>
    <xf numFmtId="167" fontId="3" fillId="0" borderId="8" xfId="0" applyNumberFormat="1" applyFont="1" applyBorder="1" applyAlignment="1">
      <alignment horizontal="center" wrapText="1"/>
    </xf>
    <xf numFmtId="167" fontId="3" fillId="0" borderId="9" xfId="0" applyNumberFormat="1" applyFont="1" applyBorder="1" applyAlignment="1">
      <alignment horizontal="center" wrapText="1"/>
    </xf>
    <xf numFmtId="167" fontId="3" fillId="0" borderId="7" xfId="0" applyNumberFormat="1" applyFont="1" applyBorder="1"/>
    <xf numFmtId="167" fontId="3" fillId="0" borderId="8" xfId="0" applyNumberFormat="1" applyFont="1" applyBorder="1"/>
    <xf numFmtId="167" fontId="3" fillId="0" borderId="9" xfId="0" applyNumberFormat="1" applyFont="1" applyBorder="1"/>
    <xf numFmtId="167" fontId="2" fillId="0" borderId="7" xfId="0" applyNumberFormat="1" applyFont="1" applyBorder="1"/>
    <xf numFmtId="167" fontId="2" fillId="0" borderId="8" xfId="0" applyNumberFormat="1" applyFont="1" applyBorder="1"/>
    <xf numFmtId="167" fontId="2" fillId="0" borderId="9" xfId="0" applyNumberFormat="1" applyFont="1" applyBorder="1"/>
    <xf numFmtId="167" fontId="3" fillId="0" borderId="10" xfId="0" applyNumberFormat="1" applyFont="1" applyBorder="1"/>
    <xf numFmtId="167" fontId="3" fillId="0" borderId="11" xfId="0" applyNumberFormat="1" applyFont="1" applyBorder="1"/>
    <xf numFmtId="167" fontId="3" fillId="0" borderId="12" xfId="0" applyNumberFormat="1" applyFont="1" applyBorder="1"/>
    <xf numFmtId="167" fontId="2" fillId="0" borderId="10" xfId="0" applyNumberFormat="1" applyFont="1" applyBorder="1"/>
    <xf numFmtId="167" fontId="2" fillId="0" borderId="11" xfId="0" applyNumberFormat="1" applyFont="1" applyBorder="1"/>
    <xf numFmtId="167" fontId="2" fillId="0" borderId="12" xfId="0" applyNumberFormat="1" applyFont="1" applyBorder="1"/>
    <xf numFmtId="0" fontId="6" fillId="0" borderId="2" xfId="0" applyFont="1" applyBorder="1"/>
    <xf numFmtId="167" fontId="6" fillId="0" borderId="7" xfId="0" applyNumberFormat="1" applyFont="1" applyBorder="1"/>
    <xf numFmtId="167" fontId="6" fillId="0" borderId="8" xfId="0" applyNumberFormat="1" applyFont="1" applyBorder="1"/>
    <xf numFmtId="167" fontId="6" fillId="0" borderId="9" xfId="0" applyNumberFormat="1" applyFont="1" applyBorder="1"/>
    <xf numFmtId="0" fontId="7" fillId="0" borderId="0" xfId="0" applyFont="1"/>
    <xf numFmtId="167" fontId="3" fillId="0" borderId="4" xfId="0" applyNumberFormat="1" applyFont="1" applyBorder="1" applyAlignment="1">
      <alignment horizontal="center"/>
    </xf>
    <xf numFmtId="167" fontId="4" fillId="0" borderId="5" xfId="0" applyNumberFormat="1" applyFont="1" applyBorder="1" applyAlignment="1">
      <alignment horizontal="center"/>
    </xf>
    <xf numFmtId="167" fontId="4" fillId="0" borderId="6" xfId="0" applyNumberFormat="1" applyFon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Income by Category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Percent of Income</c:v>
          </c:tx>
          <c:explosion val="25"/>
          <c:dLbls>
            <c:dLbl>
              <c:idx val="1"/>
              <c:layout>
                <c:manualLayout>
                  <c:x val="-3.5379171353580804E-3"/>
                  <c:y val="-9.9308016877637142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013-42B8-B053-D8FFA3B0D23E}"/>
                </c:ext>
              </c:extLst>
            </c:dLbl>
            <c:dLbl>
              <c:idx val="2"/>
              <c:layout>
                <c:manualLayout>
                  <c:x val="-7.2992047869016807E-2"/>
                  <c:y val="-0.2678589986378300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13-42B8-B053-D8FFA3B0D23E}"/>
                </c:ext>
              </c:extLst>
            </c:dLbl>
            <c:dLbl>
              <c:idx val="3"/>
              <c:layout>
                <c:manualLayout>
                  <c:x val="-4.2401106111736031E-2"/>
                  <c:y val="5.2112784024088817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13-42B8-B053-D8FFA3B0D23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Chart!$A$6:$A$10</c:f>
              <c:strCache>
                <c:ptCount val="5"/>
                <c:pt idx="0">
                  <c:v>Classis Assessment</c:v>
                </c:pt>
                <c:pt idx="1">
                  <c:v>Contributions</c:v>
                </c:pt>
                <c:pt idx="2">
                  <c:v>Investment Income</c:v>
                </c:pt>
                <c:pt idx="3">
                  <c:v>Covenant Income</c:v>
                </c:pt>
                <c:pt idx="4">
                  <c:v>Other Income</c:v>
                </c:pt>
              </c:strCache>
            </c:strRef>
          </c:cat>
          <c:val>
            <c:numRef>
              <c:f>Chart!$B$6:$B$10</c:f>
              <c:numCache>
                <c:formatCode>"$"#,##0.00_);[Red]\("$"#,##0.00\)</c:formatCode>
                <c:ptCount val="5"/>
                <c:pt idx="0">
                  <c:v>0</c:v>
                </c:pt>
                <c:pt idx="1">
                  <c:v>185906.06</c:v>
                </c:pt>
                <c:pt idx="2">
                  <c:v>167821.5</c:v>
                </c:pt>
                <c:pt idx="3">
                  <c:v>0</c:v>
                </c:pt>
                <c:pt idx="4">
                  <c:v>32326.52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13-42B8-B053-D8FFA3B0D23E}"/>
            </c:ext>
          </c:extLst>
        </c:ser>
        <c:ser>
          <c:idx val="1"/>
          <c:order val="1"/>
          <c:tx>
            <c:strRef>
              <c:f>Chart!$A$6:$A$10</c:f>
              <c:strCache>
                <c:ptCount val="5"/>
                <c:pt idx="0">
                  <c:v>Classis Assessment</c:v>
                </c:pt>
                <c:pt idx="1">
                  <c:v>Contributions</c:v>
                </c:pt>
                <c:pt idx="2">
                  <c:v>Investment Income</c:v>
                </c:pt>
                <c:pt idx="3">
                  <c:v>Covenant Income</c:v>
                </c:pt>
                <c:pt idx="4">
                  <c:v>Other Income</c:v>
                </c:pt>
              </c:strCache>
            </c:strRef>
          </c:tx>
          <c:explosion val="25"/>
          <c:cat>
            <c:strRef>
              <c:f>Chart!$A$6:$A$10</c:f>
              <c:strCache>
                <c:ptCount val="5"/>
                <c:pt idx="0">
                  <c:v>Classis Assessment</c:v>
                </c:pt>
                <c:pt idx="1">
                  <c:v>Contributions</c:v>
                </c:pt>
                <c:pt idx="2">
                  <c:v>Investment Income</c:v>
                </c:pt>
                <c:pt idx="3">
                  <c:v>Covenant Income</c:v>
                </c:pt>
                <c:pt idx="4">
                  <c:v>Other Income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A013-42B8-B053-D8FFA3B0D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80789965409399"/>
          <c:y val="8.5567937225840066E-2"/>
          <c:w val="0.53171523853056568"/>
          <c:h val="0.82425051539838035"/>
        </c:manualLayout>
      </c:layout>
      <c:pie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1.4050270743184161E-3"/>
                  <c:y val="1.5339780896953101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F0-4F01-B13C-0CA86B9D3225}"/>
                </c:ext>
              </c:extLst>
            </c:dLbl>
            <c:dLbl>
              <c:idx val="1"/>
              <c:layout>
                <c:manualLayout>
                  <c:x val="5.7324253387245729E-3"/>
                  <c:y val="1.3026931416181681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F0-4F01-B13C-0CA86B9D3225}"/>
                </c:ext>
              </c:extLst>
            </c:dLbl>
            <c:dLbl>
              <c:idx val="2"/>
              <c:layout>
                <c:manualLayout>
                  <c:x val="1.0526195486825441E-2"/>
                  <c:y val="3.4463083418920623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F0-4F01-B13C-0CA86B9D3225}"/>
                </c:ext>
              </c:extLst>
            </c:dLbl>
            <c:dLbl>
              <c:idx val="3"/>
              <c:layout>
                <c:manualLayout>
                  <c:x val="6.6158993639308633E-2"/>
                  <c:y val="-1.8442028985507328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F0-4F01-B13C-0CA86B9D3225}"/>
                </c:ext>
              </c:extLst>
            </c:dLbl>
            <c:dLbl>
              <c:idx val="5"/>
              <c:layout>
                <c:manualLayout>
                  <c:x val="-8.0226909592505363E-2"/>
                  <c:y val="-9.2017573890220243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F0-4F01-B13C-0CA86B9D3225}"/>
                </c:ext>
              </c:extLst>
            </c:dLbl>
            <c:dLbl>
              <c:idx val="8"/>
              <c:layout>
                <c:manualLayout>
                  <c:x val="-1.6414051847122801E-3"/>
                  <c:y val="-4.7161074974323924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F0-4F01-B13C-0CA86B9D3225}"/>
                </c:ext>
              </c:extLst>
            </c:dLbl>
            <c:dLbl>
              <c:idx val="9"/>
              <c:layout>
                <c:manualLayout>
                  <c:x val="-3.7069371163740011E-2"/>
                  <c:y val="3.4155304266992675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F0-4F01-B13C-0CA86B9D3225}"/>
                </c:ext>
              </c:extLst>
            </c:dLbl>
            <c:dLbl>
              <c:idx val="11"/>
              <c:layout>
                <c:manualLayout>
                  <c:x val="3.3583415149204079E-3"/>
                  <c:y val="5.2363503467919084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F0-4F01-B13C-0CA86B9D322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Chart!$A$28:$A$39</c:f>
              <c:strCache>
                <c:ptCount val="12"/>
                <c:pt idx="0">
                  <c:v>Worship &amp; Arts</c:v>
                </c:pt>
                <c:pt idx="1">
                  <c:v>Youth Education</c:v>
                </c:pt>
                <c:pt idx="2">
                  <c:v>Mission &amp; Benevolences</c:v>
                </c:pt>
                <c:pt idx="3">
                  <c:v>Missioners Covenant</c:v>
                </c:pt>
                <c:pt idx="4">
                  <c:v>Adult Education</c:v>
                </c:pt>
                <c:pt idx="5">
                  <c:v>Care &amp; Support</c:v>
                </c:pt>
                <c:pt idx="6">
                  <c:v>Fellowship &amp; Hospitality</c:v>
                </c:pt>
                <c:pt idx="7">
                  <c:v>Membership</c:v>
                </c:pt>
                <c:pt idx="8">
                  <c:v>Property</c:v>
                </c:pt>
                <c:pt idx="9">
                  <c:v>Finance</c:v>
                </c:pt>
                <c:pt idx="10">
                  <c:v>Communications</c:v>
                </c:pt>
                <c:pt idx="11">
                  <c:v>Administration</c:v>
                </c:pt>
              </c:strCache>
            </c:strRef>
          </c:cat>
          <c:val>
            <c:numRef>
              <c:f>Chart!$B$28:$B$39</c:f>
              <c:numCache>
                <c:formatCode>"$"#,##0.00_);[Red]\("$"#,##0.00\)</c:formatCode>
                <c:ptCount val="12"/>
                <c:pt idx="0">
                  <c:v>96528.89</c:v>
                </c:pt>
                <c:pt idx="1">
                  <c:v>24828.16</c:v>
                </c:pt>
                <c:pt idx="2">
                  <c:v>30479</c:v>
                </c:pt>
                <c:pt idx="3">
                  <c:v>7822.19</c:v>
                </c:pt>
                <c:pt idx="4">
                  <c:v>1164.26</c:v>
                </c:pt>
                <c:pt idx="5">
                  <c:v>53213.45</c:v>
                </c:pt>
                <c:pt idx="6" formatCode="&quot;$&quot;#,##0.00">
                  <c:v>618.09</c:v>
                </c:pt>
                <c:pt idx="7">
                  <c:v>0</c:v>
                </c:pt>
                <c:pt idx="8">
                  <c:v>79630.149999999994</c:v>
                </c:pt>
                <c:pt idx="9">
                  <c:v>30248.49</c:v>
                </c:pt>
                <c:pt idx="10">
                  <c:v>1001.37</c:v>
                </c:pt>
                <c:pt idx="11">
                  <c:v>60843.92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F0-4F01-B13C-0CA86B9D3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0555658020224485"/>
          <c:y val="1.7806972498002969E-2"/>
          <c:w val="0.16441338976772185"/>
          <c:h val="0.96599651945680765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142876</xdr:rowOff>
    </xdr:from>
    <xdr:to>
      <xdr:col>13</xdr:col>
      <xdr:colOff>114300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371476</xdr:colOff>
      <xdr:row>23</xdr:row>
      <xdr:rowOff>180975</xdr:rowOff>
    </xdr:from>
    <xdr:to>
      <xdr:col>14</xdr:col>
      <xdr:colOff>323850</xdr:colOff>
      <xdr:row>55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0</xdr:colOff>
      <xdr:row>29</xdr:row>
      <xdr:rowOff>123824</xdr:rowOff>
    </xdr:from>
    <xdr:ext cx="74295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219450" y="5667374"/>
          <a:ext cx="742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1447800</xdr:colOff>
      <xdr:row>30</xdr:row>
      <xdr:rowOff>76200</xdr:rowOff>
    </xdr:from>
    <xdr:ext cx="243840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447800" y="5781675"/>
          <a:ext cx="2438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0.25893</cdr:x>
      <cdr:y>0.00865</cdr:y>
    </cdr:from>
    <cdr:to>
      <cdr:x>0.58705</cdr:x>
      <cdr:y>0.06055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09799" y="47626"/>
          <a:ext cx="28003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0.33482</cdr:x>
      <cdr:y>0.00865</cdr:y>
    </cdr:from>
    <cdr:to>
      <cdr:x>0.67299</cdr:x>
      <cdr:y>0.06401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857499" y="47625"/>
          <a:ext cx="28860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0.00173</cdr:y>
    </cdr:from>
    <cdr:to>
      <cdr:x>0.47991</cdr:x>
      <cdr:y>0.0519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0A13705E-C644-4807-A3AE-56D937BE467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9526"/>
          <a:ext cx="4095749" cy="276224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dget_report_2023-05-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"/>
      <sheetName val="budget_totals"/>
      <sheetName val="budget_totals_summary"/>
      <sheetName val="actuals budget year"/>
      <sheetName val="actuals comparison year"/>
      <sheetName val="inconsistencies"/>
    </sheetNames>
    <sheetDataSet>
      <sheetData sheetId="0"/>
      <sheetData sheetId="1"/>
      <sheetData sheetId="2">
        <row r="1">
          <cell r="B1" t="str">
            <v>Category</v>
          </cell>
          <cell r="C1" t="str">
            <v>Budget</v>
          </cell>
          <cell r="D1" t="str">
            <v>YTD</v>
          </cell>
          <cell r="E1" t="str">
            <v>Last YTD</v>
          </cell>
          <cell r="F1" t="str">
            <v>Current Month</v>
          </cell>
        </row>
        <row r="2">
          <cell r="B2" t="str">
            <v>01 Classis Assessments</v>
          </cell>
          <cell r="C2">
            <v>14000</v>
          </cell>
          <cell r="D2">
            <v>0</v>
          </cell>
          <cell r="E2">
            <v>7038.4299999999994</v>
          </cell>
          <cell r="F2">
            <v>0</v>
          </cell>
        </row>
        <row r="3">
          <cell r="B3" t="str">
            <v>02 Contributions</v>
          </cell>
          <cell r="C3">
            <v>403400</v>
          </cell>
          <cell r="D3">
            <v>175217.18</v>
          </cell>
          <cell r="E3">
            <v>198587.96</v>
          </cell>
          <cell r="F3">
            <v>12786.51</v>
          </cell>
        </row>
        <row r="4">
          <cell r="B4" t="str">
            <v>03 Investment Income</v>
          </cell>
          <cell r="C4">
            <v>578072</v>
          </cell>
          <cell r="D4">
            <v>167821.5</v>
          </cell>
          <cell r="E4">
            <v>211206.75</v>
          </cell>
          <cell r="F4">
            <v>163591</v>
          </cell>
        </row>
        <row r="5">
          <cell r="B5" t="str">
            <v>04 Covenant Income</v>
          </cell>
          <cell r="C5">
            <v>228520</v>
          </cell>
          <cell r="D5">
            <v>0</v>
          </cell>
          <cell r="E5">
            <v>63000</v>
          </cell>
          <cell r="F5">
            <v>0</v>
          </cell>
        </row>
        <row r="6">
          <cell r="B6" t="str">
            <v>05 Other Income</v>
          </cell>
          <cell r="C6">
            <v>28810</v>
          </cell>
          <cell r="D6">
            <v>32326.52</v>
          </cell>
          <cell r="E6">
            <v>12778.83</v>
          </cell>
          <cell r="F6">
            <v>1172.6500000000001</v>
          </cell>
        </row>
        <row r="7">
          <cell r="B7" t="str">
            <v>06 Xbudget</v>
          </cell>
          <cell r="C7">
            <v>0</v>
          </cell>
          <cell r="D7">
            <v>10688.88</v>
          </cell>
          <cell r="E7">
            <v>11916</v>
          </cell>
          <cell r="F7">
            <v>0</v>
          </cell>
        </row>
        <row r="8">
          <cell r="B8" t="str">
            <v>_Total</v>
          </cell>
          <cell r="C8">
            <v>1252802</v>
          </cell>
          <cell r="D8">
            <v>386054.08</v>
          </cell>
          <cell r="E8">
            <v>504527.97</v>
          </cell>
          <cell r="F8">
            <v>177550.16</v>
          </cell>
        </row>
        <row r="9">
          <cell r="B9" t="str">
            <v>07 Worship &amp; Arts</v>
          </cell>
          <cell r="C9">
            <v>-239990.5</v>
          </cell>
          <cell r="D9">
            <v>-96528.89</v>
          </cell>
          <cell r="E9">
            <v>-88384.13</v>
          </cell>
          <cell r="F9">
            <v>-24550.83</v>
          </cell>
        </row>
        <row r="10">
          <cell r="B10" t="str">
            <v>08 Youth Ed</v>
          </cell>
          <cell r="C10">
            <v>-65276</v>
          </cell>
          <cell r="D10">
            <v>-24828.16</v>
          </cell>
          <cell r="E10">
            <v>-7682.46</v>
          </cell>
          <cell r="F10">
            <v>-3538.77</v>
          </cell>
        </row>
        <row r="11">
          <cell r="B11" t="str">
            <v>09 M&amp;B</v>
          </cell>
          <cell r="C11">
            <v>-151400</v>
          </cell>
          <cell r="D11">
            <v>-30479</v>
          </cell>
          <cell r="E11">
            <v>-21437.19</v>
          </cell>
          <cell r="F11">
            <v>-23427.89</v>
          </cell>
        </row>
        <row r="12">
          <cell r="B12" t="str">
            <v>10 Covenant Fund</v>
          </cell>
          <cell r="C12">
            <v>-63720</v>
          </cell>
          <cell r="D12">
            <v>-7822.19</v>
          </cell>
          <cell r="E12">
            <v>-14504.56</v>
          </cell>
          <cell r="F12">
            <v>-1024.5899999999999</v>
          </cell>
        </row>
        <row r="13">
          <cell r="B13" t="str">
            <v>11 Adult Ed</v>
          </cell>
          <cell r="C13">
            <v>-3925</v>
          </cell>
          <cell r="D13">
            <v>-1164.26</v>
          </cell>
          <cell r="E13">
            <v>-741.05000000000007</v>
          </cell>
          <cell r="F13">
            <v>-164.28</v>
          </cell>
        </row>
        <row r="14">
          <cell r="B14" t="str">
            <v>12 Care &amp; Support</v>
          </cell>
          <cell r="C14">
            <v>-133581.46</v>
          </cell>
          <cell r="D14">
            <v>-53213.45</v>
          </cell>
          <cell r="E14">
            <v>-55430.080000000002</v>
          </cell>
          <cell r="F14">
            <v>-8691.19</v>
          </cell>
        </row>
        <row r="15">
          <cell r="B15" t="str">
            <v>13 Membership</v>
          </cell>
          <cell r="C15">
            <v>-1900</v>
          </cell>
          <cell r="D15">
            <v>-618.09</v>
          </cell>
          <cell r="E15">
            <v>-357.31</v>
          </cell>
          <cell r="F15">
            <v>0</v>
          </cell>
        </row>
        <row r="16">
          <cell r="B16" t="str">
            <v>14 Creation Care</v>
          </cell>
          <cell r="C16">
            <v>-3200</v>
          </cell>
          <cell r="D16">
            <v>-508.52</v>
          </cell>
          <cell r="E16">
            <v>-144.21</v>
          </cell>
          <cell r="F16">
            <v>-88.52</v>
          </cell>
        </row>
        <row r="17">
          <cell r="B17" t="str">
            <v>15 Property</v>
          </cell>
          <cell r="C17">
            <v>-293933.5</v>
          </cell>
          <cell r="D17">
            <v>-79630.149999999994</v>
          </cell>
          <cell r="E17">
            <v>-170647.97</v>
          </cell>
          <cell r="F17">
            <v>-10164.530000000001</v>
          </cell>
        </row>
        <row r="18">
          <cell r="B18" t="str">
            <v>16 Finance</v>
          </cell>
          <cell r="C18">
            <v>-91355</v>
          </cell>
          <cell r="D18">
            <v>-30248.49</v>
          </cell>
          <cell r="E18">
            <v>-40748.230000000003</v>
          </cell>
          <cell r="F18">
            <v>-9458.75</v>
          </cell>
        </row>
        <row r="19">
          <cell r="B19" t="str">
            <v>17 Archives</v>
          </cell>
          <cell r="C19">
            <v>-3750</v>
          </cell>
          <cell r="D19">
            <v>-1001.37</v>
          </cell>
          <cell r="E19">
            <v>-300</v>
          </cell>
          <cell r="F19">
            <v>-200</v>
          </cell>
        </row>
        <row r="20">
          <cell r="B20" t="str">
            <v>18 Administration</v>
          </cell>
          <cell r="C20">
            <v>-146300</v>
          </cell>
          <cell r="D20">
            <v>-60843.92</v>
          </cell>
          <cell r="E20">
            <v>-59925.29</v>
          </cell>
          <cell r="F20">
            <v>-10188.469999999999</v>
          </cell>
        </row>
        <row r="21">
          <cell r="B21" t="str">
            <v>19 Communications</v>
          </cell>
          <cell r="C21">
            <v>-52946.400000000001</v>
          </cell>
          <cell r="D21">
            <v>-20050.8</v>
          </cell>
          <cell r="E21">
            <v>-12795.75</v>
          </cell>
          <cell r="F21">
            <v>-4039.05</v>
          </cell>
        </row>
        <row r="22">
          <cell r="B22" t="str">
            <v>_Total</v>
          </cell>
          <cell r="C22">
            <v>-1251277.8600000001</v>
          </cell>
          <cell r="D22">
            <v>-406937.29</v>
          </cell>
          <cell r="E22">
            <v>-473098.23</v>
          </cell>
          <cell r="F22">
            <v>-95536.87</v>
          </cell>
        </row>
        <row r="23">
          <cell r="B23" t="str">
            <v>_Total</v>
          </cell>
          <cell r="C23">
            <v>1524.139999999994</v>
          </cell>
          <cell r="D23">
            <v>-20883.21000000001</v>
          </cell>
          <cell r="E23">
            <v>31429.74</v>
          </cell>
          <cell r="F23">
            <v>82013.290000000008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4"/>
  <sheetViews>
    <sheetView tabSelected="1" zoomScale="117" zoomScaleNormal="117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27" sqref="P27"/>
    </sheetView>
  </sheetViews>
  <sheetFormatPr defaultRowHeight="12.75" x14ac:dyDescent="0.2"/>
  <cols>
    <col min="1" max="1" width="26.28515625" bestFit="1" customWidth="1"/>
    <col min="2" max="2" width="13.7109375" style="28" customWidth="1"/>
    <col min="3" max="3" width="11.5703125" style="28" customWidth="1"/>
    <col min="4" max="4" width="13" style="28" customWidth="1"/>
    <col min="5" max="5" width="12.7109375" style="28" customWidth="1"/>
    <col min="6" max="6" width="13.85546875" style="28" bestFit="1" customWidth="1"/>
    <col min="7" max="8" width="15" style="28" bestFit="1" customWidth="1"/>
    <col min="9" max="9" width="12" style="28" customWidth="1"/>
    <col min="10" max="10" width="9.28515625" style="28" customWidth="1"/>
    <col min="11" max="11" width="10.5703125" style="28" customWidth="1"/>
    <col min="12" max="12" width="10.42578125" style="28" customWidth="1"/>
    <col min="13" max="13" width="10.5703125" style="28" customWidth="1"/>
  </cols>
  <sheetData>
    <row r="1" spans="1:15" ht="16.5" thickTop="1" x14ac:dyDescent="0.25">
      <c r="A1" s="29" t="str">
        <f>IF(GreenSheet!A1="","",GreenSheet!A1)</f>
        <v/>
      </c>
      <c r="B1" s="54" t="s">
        <v>63</v>
      </c>
      <c r="C1" s="55"/>
      <c r="D1" s="55"/>
      <c r="E1" s="56"/>
      <c r="F1" s="54" t="s">
        <v>41</v>
      </c>
      <c r="G1" s="57"/>
      <c r="H1" s="57"/>
      <c r="I1" s="58"/>
      <c r="J1" s="54" t="s">
        <v>42</v>
      </c>
      <c r="K1" s="57"/>
      <c r="L1" s="57"/>
      <c r="M1" s="58"/>
    </row>
    <row r="2" spans="1:15" ht="31.5" x14ac:dyDescent="0.25">
      <c r="A2" s="30" t="str">
        <f>IF(GreenSheet!A2="","",GreenSheet!A2)</f>
        <v>Account</v>
      </c>
      <c r="B2" s="34" t="str">
        <f>IF(GreenSheet!B2="","",GreenSheet!B2)</f>
        <v xml:space="preserve">Annual </v>
      </c>
      <c r="C2" s="35" t="str">
        <f>IF(GreenSheet!D2="","",GreenSheet!D2)</f>
        <v>Year to Date</v>
      </c>
      <c r="D2" s="35" t="str">
        <f>IF(GreenSheet!E2="","",GreenSheet!E2)</f>
        <v>Year to Date</v>
      </c>
      <c r="E2" s="36" t="str">
        <f>IF(GreenSheet!C2="","",GreenSheet!C2)</f>
        <v>Current Month</v>
      </c>
      <c r="F2" s="34" t="str">
        <f t="shared" ref="F2:M3" si="0">B2</f>
        <v xml:space="preserve">Annual </v>
      </c>
      <c r="G2" s="35" t="str">
        <f t="shared" si="0"/>
        <v>Year to Date</v>
      </c>
      <c r="H2" s="35" t="str">
        <f t="shared" si="0"/>
        <v>Year to Date</v>
      </c>
      <c r="I2" s="36" t="str">
        <f t="shared" si="0"/>
        <v>Current Month</v>
      </c>
      <c r="J2" s="34" t="str">
        <f t="shared" si="0"/>
        <v xml:space="preserve">Annual </v>
      </c>
      <c r="K2" s="35" t="str">
        <f t="shared" si="0"/>
        <v>Year to Date</v>
      </c>
      <c r="L2" s="35" t="str">
        <f t="shared" si="0"/>
        <v>Year to Date</v>
      </c>
      <c r="M2" s="36" t="str">
        <f t="shared" si="0"/>
        <v>Current Month</v>
      </c>
    </row>
    <row r="3" spans="1:15" ht="31.5" x14ac:dyDescent="0.25">
      <c r="A3" s="30" t="str">
        <f>IF(GreenSheet!A3="","",GreenSheet!A3)</f>
        <v/>
      </c>
      <c r="B3" s="34" t="str">
        <f>IF(GreenSheet!B3="","",GreenSheet!B3)</f>
        <v>Budget</v>
      </c>
      <c r="C3" s="35" t="str">
        <f>IF(GreenSheet!D3="","",GreenSheet!D3)</f>
        <v>(This year)</v>
      </c>
      <c r="D3" s="35" t="str">
        <f>IF(GreenSheet!E3="","",GreenSheet!E3)</f>
        <v>(Last year)</v>
      </c>
      <c r="E3" s="36" t="str">
        <f>IF(GreenSheet!C3="","",GreenSheet!C3)</f>
        <v>(This year)</v>
      </c>
      <c r="F3" s="34" t="str">
        <f t="shared" si="0"/>
        <v>Budget</v>
      </c>
      <c r="G3" s="35" t="str">
        <f t="shared" si="0"/>
        <v>(This year)</v>
      </c>
      <c r="H3" s="35" t="str">
        <f t="shared" si="0"/>
        <v>(Last year)</v>
      </c>
      <c r="I3" s="36" t="str">
        <f t="shared" si="0"/>
        <v>(This year)</v>
      </c>
      <c r="J3" s="34" t="str">
        <f t="shared" si="0"/>
        <v>Budget</v>
      </c>
      <c r="K3" s="35" t="str">
        <f t="shared" si="0"/>
        <v>(This year)</v>
      </c>
      <c r="L3" s="35" t="str">
        <f t="shared" si="0"/>
        <v>(Last year)</v>
      </c>
      <c r="M3" s="36" t="str">
        <f t="shared" si="0"/>
        <v>(This year)</v>
      </c>
    </row>
    <row r="4" spans="1:15" ht="15.75" x14ac:dyDescent="0.25">
      <c r="A4" s="31" t="str">
        <f>IF(GreenSheet!A4="","",GreenSheet!A4)</f>
        <v>OPERATIONS</v>
      </c>
      <c r="B4" s="37" t="str">
        <f>IF(GreenSheet!B4="","",GreenSheet!B4)</f>
        <v/>
      </c>
      <c r="C4" s="38" t="str">
        <f>IF(GreenSheet!D4="","",GreenSheet!D4)</f>
        <v/>
      </c>
      <c r="D4" s="38" t="str">
        <f>IF(GreenSheet!E4="","",GreenSheet!E4)</f>
        <v/>
      </c>
      <c r="E4" s="39" t="str">
        <f>IF(GreenSheet!C4="","",GreenSheet!C4)</f>
        <v/>
      </c>
      <c r="F4" s="37"/>
      <c r="G4" s="38"/>
      <c r="H4" s="38"/>
      <c r="I4" s="39"/>
      <c r="J4" s="37"/>
      <c r="K4" s="38"/>
      <c r="L4" s="38"/>
      <c r="M4" s="39"/>
    </row>
    <row r="5" spans="1:15" ht="15.75" x14ac:dyDescent="0.25">
      <c r="A5" s="31" t="str">
        <f>IF(GreenSheet!A5="","",GreenSheet!A5)</f>
        <v/>
      </c>
      <c r="B5" s="37" t="str">
        <f>IF(GreenSheet!B5="","",GreenSheet!B5)</f>
        <v/>
      </c>
      <c r="C5" s="38" t="str">
        <f>IF(GreenSheet!D5="","",GreenSheet!D5)</f>
        <v/>
      </c>
      <c r="D5" s="38" t="str">
        <f>IF(GreenSheet!E5="","",GreenSheet!E5)</f>
        <v/>
      </c>
      <c r="E5" s="39" t="str">
        <f>IF(GreenSheet!C5="","",GreenSheet!C5)</f>
        <v/>
      </c>
      <c r="F5" s="37"/>
      <c r="G5" s="38"/>
      <c r="H5" s="38"/>
      <c r="I5" s="39"/>
      <c r="J5" s="37"/>
      <c r="K5" s="38"/>
      <c r="L5" s="38"/>
      <c r="M5" s="39"/>
    </row>
    <row r="6" spans="1:15" ht="15.75" x14ac:dyDescent="0.25">
      <c r="A6" s="31" t="str">
        <f>IF(GreenSheet!A6="","",GreenSheet!A6)</f>
        <v>Income</v>
      </c>
      <c r="B6" s="37" t="str">
        <f>IF(GreenSheet!B6="","",GreenSheet!B6)</f>
        <v/>
      </c>
      <c r="C6" s="38" t="str">
        <f>IF(GreenSheet!D6="","",GreenSheet!D6)</f>
        <v/>
      </c>
      <c r="D6" s="38" t="str">
        <f>IF(GreenSheet!E6="","",GreenSheet!E6)</f>
        <v/>
      </c>
      <c r="E6" s="39" t="str">
        <f>IF(GreenSheet!C6="","",GreenSheet!C6)</f>
        <v/>
      </c>
      <c r="F6" s="37"/>
      <c r="G6" s="38"/>
      <c r="H6" s="38"/>
      <c r="I6" s="39"/>
      <c r="J6" s="37"/>
      <c r="K6" s="38"/>
      <c r="L6" s="38"/>
      <c r="M6" s="39"/>
    </row>
    <row r="7" spans="1:15" ht="15" x14ac:dyDescent="0.2">
      <c r="A7" s="32" t="s">
        <v>43</v>
      </c>
      <c r="B7" s="40">
        <f>IF(GreenSheet!B7="","",GreenSheet!B7)</f>
        <v>14000</v>
      </c>
      <c r="C7" s="41">
        <f>IF(GreenSheet!D7="","",GreenSheet!D7)</f>
        <v>0</v>
      </c>
      <c r="D7" s="41">
        <f>IF(GreenSheet!E7="","",GreenSheet!E7)</f>
        <v>7038.43</v>
      </c>
      <c r="E7" s="42">
        <f>IF(GreenSheet!C7="","",GreenSheet!C7)</f>
        <v>0</v>
      </c>
      <c r="F7" s="40">
        <f>INDEX([1]budget_totals_summary!C:C,MATCH($A7,[1]budget_totals_summary!$B:$B,0))</f>
        <v>14000</v>
      </c>
      <c r="G7" s="41">
        <f>INDEX([1]budget_totals_summary!D:D,MATCH($A7,[1]budget_totals_summary!$B:$B,0))</f>
        <v>0</v>
      </c>
      <c r="H7" s="41">
        <f>INDEX([1]budget_totals_summary!E:E,MATCH($A7,[1]budget_totals_summary!$B:$B,0))</f>
        <v>7038.4299999999994</v>
      </c>
      <c r="I7" s="42">
        <f>INDEX([1]budget_totals_summary!F:F,MATCH($A7,[1]budget_totals_summary!$B:$B,0))</f>
        <v>0</v>
      </c>
      <c r="J7" s="40">
        <f>F7-B7</f>
        <v>0</v>
      </c>
      <c r="K7" s="41">
        <f t="shared" ref="K7:K12" si="1">G7-C7</f>
        <v>0</v>
      </c>
      <c r="L7" s="41">
        <f t="shared" ref="L7:L12" si="2">H7-D7</f>
        <v>0</v>
      </c>
      <c r="M7" s="42">
        <f t="shared" ref="M7:M12" si="3">I7-E7</f>
        <v>0</v>
      </c>
      <c r="O7" s="27"/>
    </row>
    <row r="8" spans="1:15" ht="15" x14ac:dyDescent="0.2">
      <c r="A8" s="32" t="s">
        <v>44</v>
      </c>
      <c r="B8" s="40">
        <f>IF(GreenSheet!B8="","",GreenSheet!B8)</f>
        <v>403400</v>
      </c>
      <c r="C8" s="41">
        <f>IF(GreenSheet!D8="","",GreenSheet!D8)</f>
        <v>185906.06</v>
      </c>
      <c r="D8" s="41">
        <f>IF(GreenSheet!E8="","",GreenSheet!E8)</f>
        <v>189387.96</v>
      </c>
      <c r="E8" s="42">
        <f>IF(GreenSheet!C8="","",GreenSheet!C8)</f>
        <v>23049.01</v>
      </c>
      <c r="F8" s="40">
        <f>INDEX([1]budget_totals_summary!C:C,MATCH($A8,[1]budget_totals_summary!$B:$B,0))</f>
        <v>403400</v>
      </c>
      <c r="G8" s="41">
        <f>INDEX([1]budget_totals_summary!D:D,MATCH($A8,[1]budget_totals_summary!$B:$B,0))</f>
        <v>175217.18</v>
      </c>
      <c r="H8" s="41">
        <f>INDEX([1]budget_totals_summary!E:E,MATCH($A8,[1]budget_totals_summary!$B:$B,0))</f>
        <v>198587.96</v>
      </c>
      <c r="I8" s="42">
        <f>INDEX([1]budget_totals_summary!F:F,MATCH($A8,[1]budget_totals_summary!$B:$B,0))</f>
        <v>12786.51</v>
      </c>
      <c r="J8" s="40">
        <f t="shared" ref="J8:J12" si="4">F8-B8</f>
        <v>0</v>
      </c>
      <c r="K8" s="41">
        <f t="shared" si="1"/>
        <v>-10688.880000000005</v>
      </c>
      <c r="L8" s="41">
        <f t="shared" si="2"/>
        <v>9200</v>
      </c>
      <c r="M8" s="42">
        <f t="shared" si="3"/>
        <v>-10262.499999999998</v>
      </c>
    </row>
    <row r="9" spans="1:15" ht="15" x14ac:dyDescent="0.2">
      <c r="A9" s="32" t="s">
        <v>46</v>
      </c>
      <c r="B9" s="40">
        <f>IF(GreenSheet!B9="","",GreenSheet!B9)</f>
        <v>578072</v>
      </c>
      <c r="C9" s="41">
        <f>IF(GreenSheet!D9="","",GreenSheet!D9)</f>
        <v>167821.5</v>
      </c>
      <c r="D9" s="41">
        <f>IF(GreenSheet!E9="","",GreenSheet!E9)</f>
        <v>211206.75</v>
      </c>
      <c r="E9" s="42">
        <f>IF(GreenSheet!C9="","",GreenSheet!C9)</f>
        <v>163591</v>
      </c>
      <c r="F9" s="40">
        <f>INDEX([1]budget_totals_summary!C:C,MATCH($A9,[1]budget_totals_summary!$B:$B,0))</f>
        <v>578072</v>
      </c>
      <c r="G9" s="41">
        <f>INDEX([1]budget_totals_summary!D:D,MATCH($A9,[1]budget_totals_summary!$B:$B,0))</f>
        <v>167821.5</v>
      </c>
      <c r="H9" s="41">
        <f>INDEX([1]budget_totals_summary!E:E,MATCH($A9,[1]budget_totals_summary!$B:$B,0))</f>
        <v>211206.75</v>
      </c>
      <c r="I9" s="42">
        <f>INDEX([1]budget_totals_summary!F:F,MATCH($A9,[1]budget_totals_summary!$B:$B,0))</f>
        <v>163591</v>
      </c>
      <c r="J9" s="40">
        <f t="shared" si="4"/>
        <v>0</v>
      </c>
      <c r="K9" s="41">
        <f t="shared" si="1"/>
        <v>0</v>
      </c>
      <c r="L9" s="41">
        <f t="shared" si="2"/>
        <v>0</v>
      </c>
      <c r="M9" s="42">
        <f t="shared" si="3"/>
        <v>0</v>
      </c>
    </row>
    <row r="10" spans="1:15" ht="15" x14ac:dyDescent="0.2">
      <c r="A10" s="32" t="s">
        <v>47</v>
      </c>
      <c r="B10" s="40">
        <f>IF(GreenSheet!B10="","",GreenSheet!B10)</f>
        <v>228520</v>
      </c>
      <c r="C10" s="41">
        <f>IF(GreenSheet!D10="","",GreenSheet!D10)</f>
        <v>0</v>
      </c>
      <c r="D10" s="41">
        <f>IF(GreenSheet!E10="","",GreenSheet!E10)</f>
        <v>63000</v>
      </c>
      <c r="E10" s="42">
        <f>IF(GreenSheet!C10="","",GreenSheet!C10)</f>
        <v>0</v>
      </c>
      <c r="F10" s="40">
        <f>INDEX([1]budget_totals_summary!C:C,MATCH($A10,[1]budget_totals_summary!$B:$B,0))</f>
        <v>228520</v>
      </c>
      <c r="G10" s="41">
        <f>INDEX([1]budget_totals_summary!D:D,MATCH($A10,[1]budget_totals_summary!$B:$B,0))</f>
        <v>0</v>
      </c>
      <c r="H10" s="41">
        <f>INDEX([1]budget_totals_summary!E:E,MATCH($A10,[1]budget_totals_summary!$B:$B,0))</f>
        <v>63000</v>
      </c>
      <c r="I10" s="42">
        <f>INDEX([1]budget_totals_summary!F:F,MATCH($A10,[1]budget_totals_summary!$B:$B,0))</f>
        <v>0</v>
      </c>
      <c r="J10" s="40">
        <f t="shared" si="4"/>
        <v>0</v>
      </c>
      <c r="K10" s="41">
        <f t="shared" si="1"/>
        <v>0</v>
      </c>
      <c r="L10" s="41">
        <f t="shared" si="2"/>
        <v>0</v>
      </c>
      <c r="M10" s="42">
        <f t="shared" si="3"/>
        <v>0</v>
      </c>
    </row>
    <row r="11" spans="1:15" ht="15" x14ac:dyDescent="0.2">
      <c r="A11" s="32" t="s">
        <v>48</v>
      </c>
      <c r="B11" s="40">
        <f>IF(GreenSheet!B11="","",GreenSheet!B11)</f>
        <v>28810</v>
      </c>
      <c r="C11" s="41">
        <f>IF(GreenSheet!D11="","",GreenSheet!D11)</f>
        <v>32326.52</v>
      </c>
      <c r="D11" s="41">
        <f>IF(GreenSheet!E11="","",GreenSheet!E11)</f>
        <v>12778.83</v>
      </c>
      <c r="E11" s="42">
        <f>IF(GreenSheet!C11="","",GreenSheet!C11)</f>
        <v>1172.6500000000001</v>
      </c>
      <c r="F11" s="40">
        <f>INDEX([1]budget_totals_summary!C:C,MATCH($A11,[1]budget_totals_summary!$B:$B,0))</f>
        <v>28810</v>
      </c>
      <c r="G11" s="41">
        <f>INDEX([1]budget_totals_summary!D:D,MATCH($A11,[1]budget_totals_summary!$B:$B,0))</f>
        <v>32326.52</v>
      </c>
      <c r="H11" s="41">
        <f>INDEX([1]budget_totals_summary!E:E,MATCH($A11,[1]budget_totals_summary!$B:$B,0))</f>
        <v>12778.83</v>
      </c>
      <c r="I11" s="42">
        <f>INDEX([1]budget_totals_summary!F:F,MATCH($A11,[1]budget_totals_summary!$B:$B,0))</f>
        <v>1172.6500000000001</v>
      </c>
      <c r="J11" s="40">
        <f t="shared" si="4"/>
        <v>0</v>
      </c>
      <c r="K11" s="41">
        <f t="shared" si="1"/>
        <v>0</v>
      </c>
      <c r="L11" s="41">
        <f t="shared" si="2"/>
        <v>0</v>
      </c>
      <c r="M11" s="42">
        <f t="shared" si="3"/>
        <v>0</v>
      </c>
    </row>
    <row r="12" spans="1:15" s="53" customFormat="1" ht="15" x14ac:dyDescent="0.2">
      <c r="A12" s="49" t="s">
        <v>45</v>
      </c>
      <c r="B12" s="50">
        <v>0</v>
      </c>
      <c r="C12" s="51">
        <v>0</v>
      </c>
      <c r="D12" s="51">
        <v>0</v>
      </c>
      <c r="E12" s="52">
        <v>0</v>
      </c>
      <c r="F12" s="50">
        <f>INDEX([1]budget_totals_summary!C:C,MATCH($A12,[1]budget_totals_summary!$B:$B,0))</f>
        <v>0</v>
      </c>
      <c r="G12" s="51">
        <f>INDEX([1]budget_totals_summary!D:D,MATCH($A12,[1]budget_totals_summary!$B:$B,0))</f>
        <v>10688.88</v>
      </c>
      <c r="H12" s="51">
        <f>INDEX([1]budget_totals_summary!E:E,MATCH($A12,[1]budget_totals_summary!$B:$B,0))</f>
        <v>11916</v>
      </c>
      <c r="I12" s="52">
        <f>INDEX([1]budget_totals_summary!F:F,MATCH($A12,[1]budget_totals_summary!$B:$B,0))</f>
        <v>0</v>
      </c>
      <c r="J12" s="50">
        <f t="shared" si="4"/>
        <v>0</v>
      </c>
      <c r="K12" s="51">
        <f t="shared" si="1"/>
        <v>10688.88</v>
      </c>
      <c r="L12" s="51">
        <f t="shared" si="2"/>
        <v>11916</v>
      </c>
      <c r="M12" s="52">
        <f t="shared" si="3"/>
        <v>0</v>
      </c>
    </row>
    <row r="13" spans="1:15" s="53" customFormat="1" ht="15" x14ac:dyDescent="0.2">
      <c r="A13" s="49" t="s">
        <v>62</v>
      </c>
      <c r="B13" s="50"/>
      <c r="C13" s="51"/>
      <c r="D13" s="51">
        <v>9200</v>
      </c>
      <c r="E13" s="52"/>
      <c r="F13" s="50"/>
      <c r="G13" s="51"/>
      <c r="H13" s="51"/>
      <c r="I13" s="52"/>
      <c r="J13" s="50">
        <f t="shared" ref="J13" si="5">F13-B13</f>
        <v>0</v>
      </c>
      <c r="K13" s="51">
        <f t="shared" ref="K13" si="6">G13-C13</f>
        <v>0</v>
      </c>
      <c r="L13" s="51">
        <f t="shared" ref="L13" si="7">H13-D13</f>
        <v>-9200</v>
      </c>
      <c r="M13" s="52">
        <f t="shared" ref="M13" si="8">I13-E13</f>
        <v>0</v>
      </c>
    </row>
    <row r="14" spans="1:15" ht="15.75" x14ac:dyDescent="0.25">
      <c r="A14" s="31" t="str">
        <f>IF(GreenSheet!A13="","",GreenSheet!A13)</f>
        <v>Total Income</v>
      </c>
      <c r="B14" s="37">
        <f>SUM(B7:B13)</f>
        <v>1252802</v>
      </c>
      <c r="C14" s="38">
        <f t="shared" ref="C14:E14" si="9">SUM(C7:C13)</f>
        <v>386054.08</v>
      </c>
      <c r="D14" s="38">
        <f t="shared" si="9"/>
        <v>492611.97000000003</v>
      </c>
      <c r="E14" s="39">
        <f t="shared" si="9"/>
        <v>187812.66</v>
      </c>
      <c r="F14" s="37">
        <f>SUM(F7:F13)</f>
        <v>1252802</v>
      </c>
      <c r="G14" s="38">
        <f t="shared" ref="G14" si="10">SUM(G7:G13)</f>
        <v>386054.08</v>
      </c>
      <c r="H14" s="38">
        <f t="shared" ref="H14" si="11">SUM(H7:H13)</f>
        <v>504527.97000000003</v>
      </c>
      <c r="I14" s="39">
        <f t="shared" ref="I14" si="12">SUM(I7:I13)</f>
        <v>177550.16</v>
      </c>
      <c r="J14" s="37">
        <f t="shared" ref="J14" si="13">F14-B14</f>
        <v>0</v>
      </c>
      <c r="K14" s="38">
        <f t="shared" ref="K14" si="14">G14-C14</f>
        <v>0</v>
      </c>
      <c r="L14" s="38">
        <f t="shared" ref="L14" si="15">H14-D14</f>
        <v>11916</v>
      </c>
      <c r="M14" s="39">
        <f t="shared" ref="M14" si="16">I14-E14</f>
        <v>-10262.5</v>
      </c>
    </row>
    <row r="15" spans="1:15" ht="15" x14ac:dyDescent="0.2">
      <c r="A15" s="32" t="str">
        <f>IF(GreenSheet!A14="","",GreenSheet!A14)</f>
        <v/>
      </c>
      <c r="B15" s="40" t="str">
        <f>IF(GreenSheet!B14="","",GreenSheet!B14)</f>
        <v/>
      </c>
      <c r="C15" s="41" t="str">
        <f>IF(GreenSheet!D14="","",GreenSheet!D14)</f>
        <v/>
      </c>
      <c r="D15" s="41" t="str">
        <f>IF(GreenSheet!E14="","",GreenSheet!E14)</f>
        <v/>
      </c>
      <c r="E15" s="42" t="str">
        <f>IF(GreenSheet!C14="","",GreenSheet!C14)</f>
        <v/>
      </c>
      <c r="F15" s="40"/>
      <c r="G15" s="41"/>
      <c r="H15" s="41"/>
      <c r="I15" s="42"/>
      <c r="J15" s="40"/>
      <c r="K15" s="41"/>
      <c r="L15" s="41"/>
      <c r="M15" s="42"/>
    </row>
    <row r="16" spans="1:15" ht="15.75" x14ac:dyDescent="0.25">
      <c r="A16" s="31" t="str">
        <f>IF(GreenSheet!A15="","",GreenSheet!A15)</f>
        <v>Expenses</v>
      </c>
      <c r="B16" s="37" t="str">
        <f>IF(GreenSheet!B15="","",GreenSheet!B15)</f>
        <v/>
      </c>
      <c r="C16" s="38" t="str">
        <f>IF(GreenSheet!D15="","",GreenSheet!D15)</f>
        <v/>
      </c>
      <c r="D16" s="38" t="str">
        <f>IF(GreenSheet!E15="","",GreenSheet!E15)</f>
        <v/>
      </c>
      <c r="E16" s="39" t="str">
        <f>IF(GreenSheet!C15="","",GreenSheet!C15)</f>
        <v/>
      </c>
      <c r="F16" s="37"/>
      <c r="G16" s="38"/>
      <c r="H16" s="38"/>
      <c r="I16" s="39"/>
      <c r="J16" s="37"/>
      <c r="K16" s="38"/>
      <c r="L16" s="38"/>
      <c r="M16" s="39"/>
    </row>
    <row r="17" spans="1:13" ht="15" x14ac:dyDescent="0.2">
      <c r="A17" s="32" t="s">
        <v>49</v>
      </c>
      <c r="B17" s="40">
        <f>IF(GreenSheet!B16="","",GreenSheet!B16)</f>
        <v>239991</v>
      </c>
      <c r="C17" s="41">
        <f>IF(GreenSheet!D16="","",GreenSheet!D16)</f>
        <v>96528.89</v>
      </c>
      <c r="D17" s="41">
        <f>IF(GreenSheet!E16="","",GreenSheet!E16)</f>
        <v>88184.13</v>
      </c>
      <c r="E17" s="42">
        <f>IF(GreenSheet!C16="","",GreenSheet!C16)</f>
        <v>24550.83</v>
      </c>
      <c r="F17" s="40">
        <f>INDEX([1]budget_totals_summary!C:C,MATCH($A17,[1]budget_totals_summary!$B:$B,0))</f>
        <v>-239990.5</v>
      </c>
      <c r="G17" s="41">
        <f>INDEX([1]budget_totals_summary!D:D,MATCH($A17,[1]budget_totals_summary!$B:$B,0))</f>
        <v>-96528.89</v>
      </c>
      <c r="H17" s="41">
        <f>INDEX([1]budget_totals_summary!E:E,MATCH($A17,[1]budget_totals_summary!$B:$B,0))</f>
        <v>-88384.13</v>
      </c>
      <c r="I17" s="42">
        <f>INDEX([1]budget_totals_summary!F:F,MATCH($A17,[1]budget_totals_summary!$B:$B,0))</f>
        <v>-24550.83</v>
      </c>
      <c r="J17" s="40">
        <f>F17+B17</f>
        <v>0.5</v>
      </c>
      <c r="K17" s="41">
        <f t="shared" ref="K17:M29" si="17">G17+C17</f>
        <v>0</v>
      </c>
      <c r="L17" s="41">
        <f t="shared" si="17"/>
        <v>-200</v>
      </c>
      <c r="M17" s="42">
        <f t="shared" si="17"/>
        <v>0</v>
      </c>
    </row>
    <row r="18" spans="1:13" ht="15" x14ac:dyDescent="0.2">
      <c r="A18" s="32" t="s">
        <v>55</v>
      </c>
      <c r="B18" s="40">
        <f>IF(GreenSheet!B17="","",GreenSheet!B17)</f>
        <v>65276</v>
      </c>
      <c r="C18" s="41">
        <f>IF(GreenSheet!D17="","",GreenSheet!D17)</f>
        <v>24828.16</v>
      </c>
      <c r="D18" s="41">
        <f>IF(GreenSheet!E17="","",GreenSheet!E17)</f>
        <v>7682.46</v>
      </c>
      <c r="E18" s="42">
        <f>IF(GreenSheet!C17="","",GreenSheet!C17)</f>
        <v>3538.77</v>
      </c>
      <c r="F18" s="40">
        <f>INDEX([1]budget_totals_summary!C:C,MATCH($A18,[1]budget_totals_summary!$B:$B,0))</f>
        <v>-65276</v>
      </c>
      <c r="G18" s="41">
        <f>INDEX([1]budget_totals_summary!D:D,MATCH($A18,[1]budget_totals_summary!$B:$B,0))</f>
        <v>-24828.16</v>
      </c>
      <c r="H18" s="41">
        <f>INDEX([1]budget_totals_summary!E:E,MATCH($A18,[1]budget_totals_summary!$B:$B,0))</f>
        <v>-7682.46</v>
      </c>
      <c r="I18" s="42">
        <f>INDEX([1]budget_totals_summary!F:F,MATCH($A18,[1]budget_totals_summary!$B:$B,0))</f>
        <v>-3538.77</v>
      </c>
      <c r="J18" s="40">
        <f t="shared" ref="J18:J29" si="18">F18+B18</f>
        <v>0</v>
      </c>
      <c r="K18" s="41">
        <f t="shared" si="17"/>
        <v>0</v>
      </c>
      <c r="L18" s="41">
        <f t="shared" si="17"/>
        <v>0</v>
      </c>
      <c r="M18" s="42">
        <f t="shared" si="17"/>
        <v>0</v>
      </c>
    </row>
    <row r="19" spans="1:13" ht="15" x14ac:dyDescent="0.2">
      <c r="A19" s="32" t="s">
        <v>56</v>
      </c>
      <c r="B19" s="40">
        <f>IF(GreenSheet!B18="","",GreenSheet!B18)</f>
        <v>151400</v>
      </c>
      <c r="C19" s="41">
        <f>IF(GreenSheet!D18="","",GreenSheet!D18)</f>
        <v>30479</v>
      </c>
      <c r="D19" s="41">
        <f>IF(GreenSheet!E18="","",GreenSheet!E18)</f>
        <v>21437.19</v>
      </c>
      <c r="E19" s="42">
        <f>IF(GreenSheet!C18="","",GreenSheet!C18)</f>
        <v>23427.89</v>
      </c>
      <c r="F19" s="40">
        <f>INDEX([1]budget_totals_summary!C:C,MATCH($A19,[1]budget_totals_summary!$B:$B,0))</f>
        <v>-151400</v>
      </c>
      <c r="G19" s="41">
        <f>INDEX([1]budget_totals_summary!D:D,MATCH($A19,[1]budget_totals_summary!$B:$B,0))</f>
        <v>-30479</v>
      </c>
      <c r="H19" s="41">
        <f>INDEX([1]budget_totals_summary!E:E,MATCH($A19,[1]budget_totals_summary!$B:$B,0))</f>
        <v>-21437.19</v>
      </c>
      <c r="I19" s="42">
        <f>INDEX([1]budget_totals_summary!F:F,MATCH($A19,[1]budget_totals_summary!$B:$B,0))</f>
        <v>-23427.89</v>
      </c>
      <c r="J19" s="40">
        <f t="shared" si="18"/>
        <v>0</v>
      </c>
      <c r="K19" s="41">
        <f t="shared" si="17"/>
        <v>0</v>
      </c>
      <c r="L19" s="41">
        <f t="shared" si="17"/>
        <v>0</v>
      </c>
      <c r="M19" s="42">
        <f t="shared" si="17"/>
        <v>0</v>
      </c>
    </row>
    <row r="20" spans="1:13" ht="15" x14ac:dyDescent="0.2">
      <c r="A20" s="32" t="s">
        <v>50</v>
      </c>
      <c r="B20" s="40">
        <f>IF(GreenSheet!B19="","",GreenSheet!B19)</f>
        <v>63720</v>
      </c>
      <c r="C20" s="41">
        <f>IF(GreenSheet!D19="","",GreenSheet!D19)</f>
        <v>7822.19</v>
      </c>
      <c r="D20" s="41">
        <f>IF(GreenSheet!E19="","",GreenSheet!E19)</f>
        <v>5866.92</v>
      </c>
      <c r="E20" s="42">
        <f>IF(GreenSheet!C19="","",GreenSheet!C19)</f>
        <v>1024.5899999999999</v>
      </c>
      <c r="F20" s="40">
        <f>INDEX([1]budget_totals_summary!C:C,MATCH($A20,[1]budget_totals_summary!$B:$B,0))</f>
        <v>-63720</v>
      </c>
      <c r="G20" s="41">
        <f>INDEX([1]budget_totals_summary!D:D,MATCH($A20,[1]budget_totals_summary!$B:$B,0))</f>
        <v>-7822.19</v>
      </c>
      <c r="H20" s="41">
        <f>INDEX([1]budget_totals_summary!E:E,MATCH($A20,[1]budget_totals_summary!$B:$B,0))</f>
        <v>-14504.56</v>
      </c>
      <c r="I20" s="42">
        <f>INDEX([1]budget_totals_summary!F:F,MATCH($A20,[1]budget_totals_summary!$B:$B,0))</f>
        <v>-1024.5899999999999</v>
      </c>
      <c r="J20" s="40">
        <f t="shared" si="18"/>
        <v>0</v>
      </c>
      <c r="K20" s="41">
        <f t="shared" si="17"/>
        <v>0</v>
      </c>
      <c r="L20" s="41">
        <f t="shared" si="17"/>
        <v>-8637.64</v>
      </c>
      <c r="M20" s="42">
        <f t="shared" si="17"/>
        <v>0</v>
      </c>
    </row>
    <row r="21" spans="1:13" ht="15" x14ac:dyDescent="0.2">
      <c r="A21" s="32" t="s">
        <v>57</v>
      </c>
      <c r="B21" s="40">
        <f>IF(GreenSheet!B20="","",GreenSheet!B20)</f>
        <v>3925</v>
      </c>
      <c r="C21" s="41">
        <f>IF(GreenSheet!D20="","",GreenSheet!D20)</f>
        <v>1164.26</v>
      </c>
      <c r="D21" s="41">
        <f>IF(GreenSheet!E20="","",GreenSheet!E20)</f>
        <v>741.05</v>
      </c>
      <c r="E21" s="42">
        <f>IF(GreenSheet!C20="","",GreenSheet!C20)</f>
        <v>164.28</v>
      </c>
      <c r="F21" s="40">
        <f>INDEX([1]budget_totals_summary!C:C,MATCH($A21,[1]budget_totals_summary!$B:$B,0))</f>
        <v>-3925</v>
      </c>
      <c r="G21" s="41">
        <f>INDEX([1]budget_totals_summary!D:D,MATCH($A21,[1]budget_totals_summary!$B:$B,0))</f>
        <v>-1164.26</v>
      </c>
      <c r="H21" s="41">
        <f>INDEX([1]budget_totals_summary!E:E,MATCH($A21,[1]budget_totals_summary!$B:$B,0))</f>
        <v>-741.05000000000007</v>
      </c>
      <c r="I21" s="42">
        <f>INDEX([1]budget_totals_summary!F:F,MATCH($A21,[1]budget_totals_summary!$B:$B,0))</f>
        <v>-164.28</v>
      </c>
      <c r="J21" s="40">
        <f t="shared" si="18"/>
        <v>0</v>
      </c>
      <c r="K21" s="41">
        <f t="shared" si="17"/>
        <v>0</v>
      </c>
      <c r="L21" s="41">
        <f t="shared" si="17"/>
        <v>0</v>
      </c>
      <c r="M21" s="42">
        <f t="shared" si="17"/>
        <v>0</v>
      </c>
    </row>
    <row r="22" spans="1:13" ht="15" x14ac:dyDescent="0.2">
      <c r="A22" s="32" t="s">
        <v>58</v>
      </c>
      <c r="B22" s="40">
        <f>IF(GreenSheet!B21="","",GreenSheet!B21)</f>
        <v>133581.51999999999</v>
      </c>
      <c r="C22" s="41">
        <f>IF(GreenSheet!D21="","",GreenSheet!D21)</f>
        <v>53213.45</v>
      </c>
      <c r="D22" s="41">
        <f>IF(GreenSheet!E21="","",GreenSheet!E21)</f>
        <v>55430.080000000002</v>
      </c>
      <c r="E22" s="42">
        <f>IF(GreenSheet!C21="","",GreenSheet!C21)</f>
        <v>8691.19</v>
      </c>
      <c r="F22" s="40">
        <f>INDEX([1]budget_totals_summary!C:C,MATCH($A22,[1]budget_totals_summary!$B:$B,0))</f>
        <v>-133581.46</v>
      </c>
      <c r="G22" s="41">
        <f>INDEX([1]budget_totals_summary!D:D,MATCH($A22,[1]budget_totals_summary!$B:$B,0))</f>
        <v>-53213.45</v>
      </c>
      <c r="H22" s="41">
        <f>INDEX([1]budget_totals_summary!E:E,MATCH($A22,[1]budget_totals_summary!$B:$B,0))</f>
        <v>-55430.080000000002</v>
      </c>
      <c r="I22" s="42">
        <f>INDEX([1]budget_totals_summary!F:F,MATCH($A22,[1]budget_totals_summary!$B:$B,0))</f>
        <v>-8691.19</v>
      </c>
      <c r="J22" s="40">
        <f t="shared" si="18"/>
        <v>5.9999999997671694E-2</v>
      </c>
      <c r="K22" s="41">
        <f t="shared" si="17"/>
        <v>0</v>
      </c>
      <c r="L22" s="41">
        <f t="shared" si="17"/>
        <v>0</v>
      </c>
      <c r="M22" s="42">
        <f t="shared" si="17"/>
        <v>0</v>
      </c>
    </row>
    <row r="23" spans="1:13" ht="15" x14ac:dyDescent="0.2">
      <c r="A23" s="32" t="s">
        <v>59</v>
      </c>
      <c r="B23" s="40">
        <f>IF(GreenSheet!B22="","",GreenSheet!B22)</f>
        <v>1900</v>
      </c>
      <c r="C23" s="41">
        <f>IF(GreenSheet!D22="","",GreenSheet!D22)</f>
        <v>618.09</v>
      </c>
      <c r="D23" s="41">
        <f>IF(GreenSheet!E22="","",GreenSheet!E22)</f>
        <v>357.31</v>
      </c>
      <c r="E23" s="42">
        <f>IF(GreenSheet!C22="","",GreenSheet!C22)</f>
        <v>0</v>
      </c>
      <c r="F23" s="40">
        <f>INDEX([1]budget_totals_summary!C:C,MATCH($A23,[1]budget_totals_summary!$B:$B,0))</f>
        <v>-1900</v>
      </c>
      <c r="G23" s="41">
        <f>INDEX([1]budget_totals_summary!D:D,MATCH($A23,[1]budget_totals_summary!$B:$B,0))</f>
        <v>-618.09</v>
      </c>
      <c r="H23" s="41">
        <f>INDEX([1]budget_totals_summary!E:E,MATCH($A23,[1]budget_totals_summary!$B:$B,0))</f>
        <v>-357.31</v>
      </c>
      <c r="I23" s="42">
        <f>INDEX([1]budget_totals_summary!F:F,MATCH($A23,[1]budget_totals_summary!$B:$B,0))</f>
        <v>0</v>
      </c>
      <c r="J23" s="40">
        <f t="shared" si="18"/>
        <v>0</v>
      </c>
      <c r="K23" s="41">
        <f t="shared" si="17"/>
        <v>0</v>
      </c>
      <c r="L23" s="41">
        <f t="shared" si="17"/>
        <v>0</v>
      </c>
      <c r="M23" s="42">
        <f t="shared" si="17"/>
        <v>0</v>
      </c>
    </row>
    <row r="24" spans="1:13" ht="15" x14ac:dyDescent="0.2">
      <c r="A24" s="32" t="s">
        <v>51</v>
      </c>
      <c r="B24" s="40">
        <f>IF(GreenSheet!B23="","",GreenSheet!B23)</f>
        <v>3200</v>
      </c>
      <c r="C24" s="41">
        <f>IF(GreenSheet!D23="","",GreenSheet!D23)</f>
        <v>508.52</v>
      </c>
      <c r="D24" s="41">
        <f>IF(GreenSheet!E23="","",GreenSheet!E23)</f>
        <v>144.21</v>
      </c>
      <c r="E24" s="42">
        <f>IF(GreenSheet!C23="","",GreenSheet!C23)</f>
        <v>88.52</v>
      </c>
      <c r="F24" s="40">
        <f>INDEX([1]budget_totals_summary!C:C,MATCH($A24,[1]budget_totals_summary!$B:$B,0))</f>
        <v>-3200</v>
      </c>
      <c r="G24" s="41">
        <f>INDEX([1]budget_totals_summary!D:D,MATCH($A24,[1]budget_totals_summary!$B:$B,0))</f>
        <v>-508.52</v>
      </c>
      <c r="H24" s="41">
        <f>INDEX([1]budget_totals_summary!E:E,MATCH($A24,[1]budget_totals_summary!$B:$B,0))</f>
        <v>-144.21</v>
      </c>
      <c r="I24" s="42">
        <f>INDEX([1]budget_totals_summary!F:F,MATCH($A24,[1]budget_totals_summary!$B:$B,0))</f>
        <v>-88.52</v>
      </c>
      <c r="J24" s="40">
        <f t="shared" si="18"/>
        <v>0</v>
      </c>
      <c r="K24" s="41">
        <f t="shared" si="17"/>
        <v>0</v>
      </c>
      <c r="L24" s="41">
        <f t="shared" si="17"/>
        <v>0</v>
      </c>
      <c r="M24" s="42">
        <f t="shared" si="17"/>
        <v>0</v>
      </c>
    </row>
    <row r="25" spans="1:13" ht="15" x14ac:dyDescent="0.2">
      <c r="A25" s="32" t="s">
        <v>52</v>
      </c>
      <c r="B25" s="40">
        <f>IF(GreenSheet!B24="","",GreenSheet!B24)</f>
        <v>293933</v>
      </c>
      <c r="C25" s="41">
        <f>IF(GreenSheet!D24="","",GreenSheet!D24)</f>
        <v>79630.149999999994</v>
      </c>
      <c r="D25" s="41">
        <f>IF(GreenSheet!E24="","",GreenSheet!E24)</f>
        <v>170647.97</v>
      </c>
      <c r="E25" s="42">
        <f>IF(GreenSheet!C24="","",GreenSheet!C24)</f>
        <v>10164.530000000001</v>
      </c>
      <c r="F25" s="40">
        <f>INDEX([1]budget_totals_summary!C:C,MATCH($A25,[1]budget_totals_summary!$B:$B,0))</f>
        <v>-293933.5</v>
      </c>
      <c r="G25" s="41">
        <f>INDEX([1]budget_totals_summary!D:D,MATCH($A25,[1]budget_totals_summary!$B:$B,0))</f>
        <v>-79630.149999999994</v>
      </c>
      <c r="H25" s="41">
        <f>INDEX([1]budget_totals_summary!E:E,MATCH($A25,[1]budget_totals_summary!$B:$B,0))</f>
        <v>-170647.97</v>
      </c>
      <c r="I25" s="42">
        <f>INDEX([1]budget_totals_summary!F:F,MATCH($A25,[1]budget_totals_summary!$B:$B,0))</f>
        <v>-10164.530000000001</v>
      </c>
      <c r="J25" s="40">
        <f t="shared" si="18"/>
        <v>-0.5</v>
      </c>
      <c r="K25" s="41">
        <f t="shared" si="17"/>
        <v>0</v>
      </c>
      <c r="L25" s="41">
        <f t="shared" si="17"/>
        <v>0</v>
      </c>
      <c r="M25" s="42">
        <f t="shared" si="17"/>
        <v>0</v>
      </c>
    </row>
    <row r="26" spans="1:13" ht="15" x14ac:dyDescent="0.2">
      <c r="A26" s="32" t="s">
        <v>53</v>
      </c>
      <c r="B26" s="40">
        <f>IF(GreenSheet!B25="","",GreenSheet!B25)</f>
        <v>91355</v>
      </c>
      <c r="C26" s="41">
        <f>IF(GreenSheet!D25="","",GreenSheet!D25)</f>
        <v>30248.49</v>
      </c>
      <c r="D26" s="41">
        <f>IF(GreenSheet!E25="","",GreenSheet!E25)</f>
        <v>40748.230000000003</v>
      </c>
      <c r="E26" s="42">
        <f>IF(GreenSheet!C25="","",GreenSheet!C25)</f>
        <v>9458.75</v>
      </c>
      <c r="F26" s="40">
        <f>INDEX([1]budget_totals_summary!C:C,MATCH($A26,[1]budget_totals_summary!$B:$B,0))</f>
        <v>-91355</v>
      </c>
      <c r="G26" s="41">
        <f>INDEX([1]budget_totals_summary!D:D,MATCH($A26,[1]budget_totals_summary!$B:$B,0))</f>
        <v>-30248.49</v>
      </c>
      <c r="H26" s="41">
        <f>INDEX([1]budget_totals_summary!E:E,MATCH($A26,[1]budget_totals_summary!$B:$B,0))</f>
        <v>-40748.230000000003</v>
      </c>
      <c r="I26" s="42">
        <f>INDEX([1]budget_totals_summary!F:F,MATCH($A26,[1]budget_totals_summary!$B:$B,0))</f>
        <v>-9458.75</v>
      </c>
      <c r="J26" s="40">
        <f t="shared" si="18"/>
        <v>0</v>
      </c>
      <c r="K26" s="41">
        <f t="shared" si="17"/>
        <v>0</v>
      </c>
      <c r="L26" s="41">
        <f t="shared" si="17"/>
        <v>0</v>
      </c>
      <c r="M26" s="42">
        <f t="shared" si="17"/>
        <v>0</v>
      </c>
    </row>
    <row r="27" spans="1:13" ht="15" x14ac:dyDescent="0.2">
      <c r="A27" s="32" t="s">
        <v>60</v>
      </c>
      <c r="B27" s="40">
        <f>IF(GreenSheet!B26="","",GreenSheet!B26)</f>
        <v>3750</v>
      </c>
      <c r="C27" s="41">
        <f>IF(GreenSheet!D26="","",GreenSheet!D26)</f>
        <v>1001.37</v>
      </c>
      <c r="D27" s="41">
        <f>IF(GreenSheet!E26="","",GreenSheet!E26)</f>
        <v>300</v>
      </c>
      <c r="E27" s="42">
        <f>IF(GreenSheet!C26="","",GreenSheet!C26)</f>
        <v>200</v>
      </c>
      <c r="F27" s="40">
        <f>INDEX([1]budget_totals_summary!C:C,MATCH($A27,[1]budget_totals_summary!$B:$B,0))</f>
        <v>-3750</v>
      </c>
      <c r="G27" s="41">
        <f>INDEX([1]budget_totals_summary!D:D,MATCH($A27,[1]budget_totals_summary!$B:$B,0))</f>
        <v>-1001.37</v>
      </c>
      <c r="H27" s="41">
        <f>INDEX([1]budget_totals_summary!E:E,MATCH($A27,[1]budget_totals_summary!$B:$B,0))</f>
        <v>-300</v>
      </c>
      <c r="I27" s="42">
        <f>INDEX([1]budget_totals_summary!F:F,MATCH($A27,[1]budget_totals_summary!$B:$B,0))</f>
        <v>-200</v>
      </c>
      <c r="J27" s="40">
        <f t="shared" si="18"/>
        <v>0</v>
      </c>
      <c r="K27" s="41">
        <f t="shared" si="17"/>
        <v>0</v>
      </c>
      <c r="L27" s="41">
        <f t="shared" si="17"/>
        <v>0</v>
      </c>
      <c r="M27" s="42">
        <f t="shared" si="17"/>
        <v>0</v>
      </c>
    </row>
    <row r="28" spans="1:13" ht="15" x14ac:dyDescent="0.2">
      <c r="A28" s="32" t="s">
        <v>54</v>
      </c>
      <c r="B28" s="40">
        <f>IF(GreenSheet!B27="","",GreenSheet!B27)</f>
        <v>146300</v>
      </c>
      <c r="C28" s="41">
        <f>IF(GreenSheet!D27="","",GreenSheet!D27)</f>
        <v>60843.92</v>
      </c>
      <c r="D28" s="41">
        <f>IF(GreenSheet!E27="","",GreenSheet!E27)</f>
        <v>55938.87</v>
      </c>
      <c r="E28" s="42">
        <f>IF(GreenSheet!C27="","",GreenSheet!C27)</f>
        <v>10188.469999999999</v>
      </c>
      <c r="F28" s="40">
        <f>INDEX([1]budget_totals_summary!C:C,MATCH($A28,[1]budget_totals_summary!$B:$B,0))</f>
        <v>-146300</v>
      </c>
      <c r="G28" s="41">
        <f>INDEX([1]budget_totals_summary!D:D,MATCH($A28,[1]budget_totals_summary!$B:$B,0))</f>
        <v>-60843.92</v>
      </c>
      <c r="H28" s="41">
        <f>INDEX([1]budget_totals_summary!E:E,MATCH($A28,[1]budget_totals_summary!$B:$B,0))</f>
        <v>-59925.29</v>
      </c>
      <c r="I28" s="42">
        <f>INDEX([1]budget_totals_summary!F:F,MATCH($A28,[1]budget_totals_summary!$B:$B,0))</f>
        <v>-10188.469999999999</v>
      </c>
      <c r="J28" s="40">
        <f t="shared" si="18"/>
        <v>0</v>
      </c>
      <c r="K28" s="41">
        <f t="shared" si="17"/>
        <v>0</v>
      </c>
      <c r="L28" s="41">
        <f t="shared" si="17"/>
        <v>-3986.4199999999983</v>
      </c>
      <c r="M28" s="42">
        <f t="shared" si="17"/>
        <v>0</v>
      </c>
    </row>
    <row r="29" spans="1:13" ht="15" x14ac:dyDescent="0.2">
      <c r="A29" s="32" t="s">
        <v>61</v>
      </c>
      <c r="B29" s="40">
        <f>IF(GreenSheet!B28="","",GreenSheet!B28)</f>
        <v>52946</v>
      </c>
      <c r="C29" s="41">
        <f>IF(GreenSheet!D28="","",GreenSheet!D28)</f>
        <v>20050.8</v>
      </c>
      <c r="D29" s="41">
        <f>IF(GreenSheet!E28="","",GreenSheet!E28)</f>
        <v>12795.75</v>
      </c>
      <c r="E29" s="42">
        <f>IF(GreenSheet!C28="","",GreenSheet!C28)</f>
        <v>4039.05</v>
      </c>
      <c r="F29" s="40">
        <f>INDEX([1]budget_totals_summary!C:C,MATCH($A29,[1]budget_totals_summary!$B:$B,0))</f>
        <v>-52946.400000000001</v>
      </c>
      <c r="G29" s="41">
        <f>INDEX([1]budget_totals_summary!D:D,MATCH($A29,[1]budget_totals_summary!$B:$B,0))</f>
        <v>-20050.8</v>
      </c>
      <c r="H29" s="41">
        <f>INDEX([1]budget_totals_summary!E:E,MATCH($A29,[1]budget_totals_summary!$B:$B,0))</f>
        <v>-12795.75</v>
      </c>
      <c r="I29" s="42">
        <f>INDEX([1]budget_totals_summary!F:F,MATCH($A29,[1]budget_totals_summary!$B:$B,0))</f>
        <v>-4039.05</v>
      </c>
      <c r="J29" s="40">
        <f t="shared" si="18"/>
        <v>-0.40000000000145519</v>
      </c>
      <c r="K29" s="41">
        <f t="shared" si="17"/>
        <v>0</v>
      </c>
      <c r="L29" s="41">
        <f t="shared" si="17"/>
        <v>0</v>
      </c>
      <c r="M29" s="42">
        <f t="shared" si="17"/>
        <v>0</v>
      </c>
    </row>
    <row r="30" spans="1:13" s="53" customFormat="1" ht="15" x14ac:dyDescent="0.2">
      <c r="A30" s="49" t="s">
        <v>62</v>
      </c>
      <c r="B30" s="50"/>
      <c r="C30" s="51"/>
      <c r="D30" s="51">
        <v>908</v>
      </c>
      <c r="E30" s="52">
        <v>10262</v>
      </c>
      <c r="F30" s="50"/>
      <c r="G30" s="51"/>
      <c r="H30" s="51"/>
      <c r="I30" s="52"/>
      <c r="J30" s="50">
        <f t="shared" ref="J30" si="19">F30+B30</f>
        <v>0</v>
      </c>
      <c r="K30" s="51">
        <f t="shared" ref="K30" si="20">G30+C30</f>
        <v>0</v>
      </c>
      <c r="L30" s="51">
        <f t="shared" ref="L30" si="21">H30+D30</f>
        <v>908</v>
      </c>
      <c r="M30" s="52">
        <f t="shared" ref="M30" si="22">I30+E30</f>
        <v>10262</v>
      </c>
    </row>
    <row r="31" spans="1:13" ht="15.75" x14ac:dyDescent="0.25">
      <c r="A31" s="31" t="str">
        <f>IF(GreenSheet!A30="","",GreenSheet!A30)</f>
        <v>Total Expenses</v>
      </c>
      <c r="B31" s="37">
        <f>SUM(B17:B30)</f>
        <v>1251277.52</v>
      </c>
      <c r="C31" s="38">
        <f t="shared" ref="C31:E31" si="23">SUM(C17:C30)</f>
        <v>406937.28999999992</v>
      </c>
      <c r="D31" s="38">
        <f t="shared" si="23"/>
        <v>461182.17</v>
      </c>
      <c r="E31" s="39">
        <f t="shared" si="23"/>
        <v>105798.87000000001</v>
      </c>
      <c r="F31" s="37">
        <f>SUM(F17:F30)</f>
        <v>-1251277.8599999999</v>
      </c>
      <c r="G31" s="38">
        <f t="shared" ref="G31" si="24">SUM(G17:G30)</f>
        <v>-406937.28999999992</v>
      </c>
      <c r="H31" s="38">
        <f t="shared" ref="H31" si="25">SUM(H17:H30)</f>
        <v>-473098.23</v>
      </c>
      <c r="I31" s="39">
        <f t="shared" ref="I31" si="26">SUM(I17:I30)</f>
        <v>-95536.87000000001</v>
      </c>
      <c r="J31" s="37">
        <f>SUM(J17:J30)</f>
        <v>-0.3400000000037835</v>
      </c>
      <c r="K31" s="38">
        <f t="shared" ref="K31" si="27">SUM(K17:K30)</f>
        <v>0</v>
      </c>
      <c r="L31" s="38">
        <f t="shared" ref="L31" si="28">SUM(L17:L30)</f>
        <v>-11916.059999999998</v>
      </c>
      <c r="M31" s="39">
        <f t="shared" ref="M31" si="29">SUM(M17:M30)</f>
        <v>10262</v>
      </c>
    </row>
    <row r="32" spans="1:13" ht="15.75" x14ac:dyDescent="0.25">
      <c r="A32" s="31" t="str">
        <f>IF(GreenSheet!A31="","",GreenSheet!A31)</f>
        <v/>
      </c>
      <c r="B32" s="37" t="str">
        <f>IF(GreenSheet!B31="","",GreenSheet!B31)</f>
        <v/>
      </c>
      <c r="C32" s="38" t="str">
        <f>IF(GreenSheet!D31="","",GreenSheet!D31)</f>
        <v/>
      </c>
      <c r="D32" s="38" t="str">
        <f>IF(GreenSheet!E31="","",GreenSheet!E31)</f>
        <v/>
      </c>
      <c r="E32" s="39" t="str">
        <f>IF(GreenSheet!C31="","",GreenSheet!C31)</f>
        <v/>
      </c>
      <c r="F32" s="37"/>
      <c r="G32" s="38"/>
      <c r="H32" s="38"/>
      <c r="I32" s="39"/>
      <c r="J32" s="37"/>
      <c r="K32" s="38"/>
      <c r="L32" s="38"/>
      <c r="M32" s="39"/>
    </row>
    <row r="33" spans="1:13" ht="16.5" thickBot="1" x14ac:dyDescent="0.3">
      <c r="A33" s="33" t="str">
        <f>IF(GreenSheet!A32="","",GreenSheet!A32)</f>
        <v>Net Operating Totals</v>
      </c>
      <c r="B33" s="43">
        <f>B14-B31</f>
        <v>1524.4799999999814</v>
      </c>
      <c r="C33" s="44">
        <f>C14-C31</f>
        <v>-20883.209999999905</v>
      </c>
      <c r="D33" s="44">
        <f>D14-D31</f>
        <v>31429.800000000047</v>
      </c>
      <c r="E33" s="45">
        <f>E14-E31</f>
        <v>82013.789999999994</v>
      </c>
      <c r="F33" s="43">
        <f t="shared" ref="F33:M33" si="30">SUM(F7:F31)/2</f>
        <v>1524.1400000001304</v>
      </c>
      <c r="G33" s="44">
        <f t="shared" si="30"/>
        <v>-20883.209999999905</v>
      </c>
      <c r="H33" s="44">
        <f t="shared" si="30"/>
        <v>31429.740000000049</v>
      </c>
      <c r="I33" s="45">
        <f t="shared" si="30"/>
        <v>82013.28999999995</v>
      </c>
      <c r="J33" s="46">
        <f t="shared" si="30"/>
        <v>-0.3400000000037835</v>
      </c>
      <c r="K33" s="47">
        <f t="shared" si="30"/>
        <v>-2.7284841053187847E-12</v>
      </c>
      <c r="L33" s="47">
        <f t="shared" si="30"/>
        <v>-5.9999999997671694E-2</v>
      </c>
      <c r="M33" s="48">
        <f t="shared" si="30"/>
        <v>-0.5</v>
      </c>
    </row>
    <row r="34" spans="1:13" ht="13.5" thickTop="1" x14ac:dyDescent="0.2"/>
  </sheetData>
  <mergeCells count="3">
    <mergeCell ref="B1:E1"/>
    <mergeCell ref="F1:I1"/>
    <mergeCell ref="J1:M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zoomScale="127" zoomScaleNormal="127" zoomScaleSheetLayoutView="55" zoomScalePageLayoutView="70" workbookViewId="0">
      <selection activeCell="F14" sqref="F14:F22"/>
    </sheetView>
  </sheetViews>
  <sheetFormatPr defaultColWidth="9.140625" defaultRowHeight="15" x14ac:dyDescent="0.2"/>
  <cols>
    <col min="1" max="1" width="22.5703125" style="3" customWidth="1"/>
    <col min="2" max="2" width="14.7109375" style="3" bestFit="1" customWidth="1"/>
    <col min="3" max="3" width="17.140625" style="3" bestFit="1" customWidth="1"/>
    <col min="4" max="4" width="13.7109375" style="3" customWidth="1"/>
    <col min="5" max="5" width="13.140625" style="3" customWidth="1"/>
    <col min="6" max="6" width="2.5703125" style="3" customWidth="1"/>
    <col min="7" max="7" width="15.42578125" style="3" customWidth="1"/>
    <col min="8" max="8" width="16.140625" style="3" customWidth="1"/>
    <col min="9" max="9" width="17.28515625" style="3" bestFit="1" customWidth="1"/>
    <col min="10" max="10" width="18" style="3" customWidth="1"/>
    <col min="11" max="11" width="3.28515625" style="3" customWidth="1"/>
    <col min="12" max="12" width="9.28515625" style="3" bestFit="1" customWidth="1"/>
    <col min="13" max="14" width="9.140625" style="3"/>
    <col min="15" max="15" width="11.140625" style="3" customWidth="1"/>
    <col min="16" max="16" width="9.140625" style="3" customWidth="1"/>
    <col min="17" max="16384" width="9.140625" style="3"/>
  </cols>
  <sheetData>
    <row r="1" spans="1:12" ht="15.75" x14ac:dyDescent="0.25">
      <c r="A1" s="1"/>
      <c r="B1" s="1"/>
      <c r="C1" s="1"/>
      <c r="D1" s="1"/>
      <c r="E1" s="5"/>
      <c r="F1" s="1"/>
      <c r="G1" s="1"/>
      <c r="H1" s="5" t="s">
        <v>3</v>
      </c>
      <c r="I1" s="5" t="s">
        <v>3</v>
      </c>
      <c r="J1" s="1"/>
      <c r="K1" s="1"/>
      <c r="L1" s="1"/>
    </row>
    <row r="2" spans="1:12" ht="15.75" x14ac:dyDescent="0.25">
      <c r="A2" s="4" t="s">
        <v>0</v>
      </c>
      <c r="B2" s="5" t="s">
        <v>4</v>
      </c>
      <c r="C2" s="5" t="s">
        <v>1</v>
      </c>
      <c r="D2" s="5" t="s">
        <v>3</v>
      </c>
      <c r="E2" s="5" t="s">
        <v>3</v>
      </c>
      <c r="F2" s="5"/>
      <c r="G2" s="5" t="s">
        <v>3</v>
      </c>
      <c r="H2" s="5" t="s">
        <v>14</v>
      </c>
      <c r="I2" s="5" t="s">
        <v>14</v>
      </c>
      <c r="J2" s="5" t="s">
        <v>6</v>
      </c>
      <c r="K2" s="5"/>
      <c r="L2" s="5"/>
    </row>
    <row r="3" spans="1:12" ht="15.75" x14ac:dyDescent="0.25">
      <c r="A3" s="4"/>
      <c r="B3" s="5" t="s">
        <v>5</v>
      </c>
      <c r="C3" s="5" t="s">
        <v>2</v>
      </c>
      <c r="D3" s="5" t="s">
        <v>2</v>
      </c>
      <c r="E3" s="5" t="s">
        <v>15</v>
      </c>
      <c r="F3" s="5"/>
      <c r="G3" s="5" t="s">
        <v>14</v>
      </c>
      <c r="H3" s="18" t="s">
        <v>15</v>
      </c>
      <c r="I3" s="18" t="s">
        <v>15</v>
      </c>
      <c r="J3" s="5" t="s">
        <v>7</v>
      </c>
      <c r="K3" s="5"/>
      <c r="L3" s="5"/>
    </row>
    <row r="4" spans="1:12" ht="15.75" x14ac:dyDescent="0.25">
      <c r="A4" s="4" t="s">
        <v>13</v>
      </c>
      <c r="B4" s="6"/>
      <c r="C4" s="6"/>
      <c r="D4" s="6"/>
      <c r="F4" s="6"/>
      <c r="G4" s="12">
        <v>0.42</v>
      </c>
      <c r="H4" s="16">
        <v>0.91700000000000004</v>
      </c>
      <c r="I4" s="16">
        <v>1</v>
      </c>
      <c r="J4" s="6"/>
      <c r="K4" s="6"/>
      <c r="L4" s="6"/>
    </row>
    <row r="5" spans="1:12" x14ac:dyDescent="0.2">
      <c r="A5" s="1"/>
      <c r="B5" s="6"/>
      <c r="C5" s="6"/>
      <c r="D5" s="2"/>
      <c r="E5" s="2"/>
      <c r="F5" s="6"/>
      <c r="G5" s="6"/>
      <c r="H5" s="6"/>
      <c r="I5" s="6"/>
      <c r="J5" s="6"/>
      <c r="K5" s="1"/>
      <c r="L5" s="1"/>
    </row>
    <row r="6" spans="1:12" ht="15.75" x14ac:dyDescent="0.25">
      <c r="A6" s="4" t="s">
        <v>8</v>
      </c>
      <c r="B6" s="2"/>
      <c r="C6" s="2"/>
      <c r="D6" s="2"/>
      <c r="E6" s="2"/>
      <c r="F6" s="6"/>
      <c r="G6" s="2"/>
      <c r="H6" s="6"/>
      <c r="I6" s="6"/>
      <c r="K6" s="1"/>
      <c r="L6" s="1"/>
    </row>
    <row r="7" spans="1:12" x14ac:dyDescent="0.2">
      <c r="A7" s="1" t="s">
        <v>16</v>
      </c>
      <c r="B7" s="20">
        <v>14000</v>
      </c>
      <c r="C7" s="19">
        <v>0</v>
      </c>
      <c r="D7" s="19">
        <v>0</v>
      </c>
      <c r="E7" s="19">
        <v>7038.43</v>
      </c>
      <c r="F7" s="6"/>
      <c r="G7" s="11">
        <f>D7/B7</f>
        <v>0</v>
      </c>
      <c r="H7" s="16">
        <v>1.0209999999999999</v>
      </c>
      <c r="I7" s="16">
        <v>1</v>
      </c>
      <c r="J7" s="2">
        <f>SUM(B7-D7)</f>
        <v>14000</v>
      </c>
      <c r="K7" s="1"/>
      <c r="L7" s="1"/>
    </row>
    <row r="8" spans="1:12" x14ac:dyDescent="0.2">
      <c r="A8" s="1" t="s">
        <v>17</v>
      </c>
      <c r="B8" s="20">
        <v>403400</v>
      </c>
      <c r="C8" s="19">
        <v>23049.01</v>
      </c>
      <c r="D8" s="19">
        <v>185906.06</v>
      </c>
      <c r="E8" s="20">
        <v>189387.96</v>
      </c>
      <c r="F8" s="6"/>
      <c r="G8" s="11">
        <f>D8/B8</f>
        <v>0.46084794248884481</v>
      </c>
      <c r="H8" s="16">
        <v>0.77400000000000002</v>
      </c>
      <c r="I8" s="16">
        <v>0.77400000000000002</v>
      </c>
      <c r="J8" s="2">
        <f>SUM(B8-D8)</f>
        <v>217493.94</v>
      </c>
      <c r="K8" s="1"/>
      <c r="L8" s="1"/>
    </row>
    <row r="9" spans="1:12" x14ac:dyDescent="0.2">
      <c r="A9" s="1" t="s">
        <v>18</v>
      </c>
      <c r="B9" s="20">
        <v>578072</v>
      </c>
      <c r="C9" s="19">
        <v>163591</v>
      </c>
      <c r="D9" s="19">
        <v>167821.5</v>
      </c>
      <c r="E9" s="20">
        <v>211206.75</v>
      </c>
      <c r="F9" s="6"/>
      <c r="G9" s="11">
        <f>D9/B9</f>
        <v>0.29031245242807124</v>
      </c>
      <c r="H9" s="16">
        <v>1.0009999999999999</v>
      </c>
      <c r="I9" s="16">
        <v>1.0009999999999999</v>
      </c>
      <c r="J9" s="2">
        <f>SUM(B9-D9)</f>
        <v>410250.5</v>
      </c>
      <c r="K9" s="1"/>
      <c r="L9" s="1"/>
    </row>
    <row r="10" spans="1:12" x14ac:dyDescent="0.2">
      <c r="A10" s="1" t="s">
        <v>19</v>
      </c>
      <c r="B10" s="20">
        <v>228520</v>
      </c>
      <c r="C10" s="19">
        <v>0</v>
      </c>
      <c r="D10" s="19">
        <v>0</v>
      </c>
      <c r="E10" s="20">
        <v>63000</v>
      </c>
      <c r="F10" s="6"/>
      <c r="G10" s="11">
        <f>D10/B10</f>
        <v>0</v>
      </c>
      <c r="H10" s="16">
        <v>0.91700000000000004</v>
      </c>
      <c r="I10" s="16">
        <v>0.91700000000000004</v>
      </c>
      <c r="J10" s="2">
        <f>SUM(B10-D10)</f>
        <v>228520</v>
      </c>
      <c r="K10" s="1"/>
      <c r="L10" s="1"/>
    </row>
    <row r="11" spans="1:12" x14ac:dyDescent="0.2">
      <c r="A11" s="3" t="s">
        <v>20</v>
      </c>
      <c r="B11" s="19">
        <v>28810</v>
      </c>
      <c r="C11" s="19">
        <v>1172.6500000000001</v>
      </c>
      <c r="D11" s="19">
        <v>32326.52</v>
      </c>
      <c r="E11" s="20">
        <v>12778.83</v>
      </c>
      <c r="F11" s="6"/>
      <c r="G11" s="11">
        <f>D11/B11</f>
        <v>1.1220590072891357</v>
      </c>
      <c r="H11" s="16">
        <v>0.32800000000000001</v>
      </c>
      <c r="I11" s="16">
        <v>0.32800000000000001</v>
      </c>
      <c r="J11" s="2">
        <f>SUM(B11-D11)</f>
        <v>-3516.5200000000004</v>
      </c>
      <c r="K11" s="1"/>
      <c r="L11" s="1"/>
    </row>
    <row r="12" spans="1:12" x14ac:dyDescent="0.2">
      <c r="A12" s="1"/>
      <c r="B12" s="20"/>
      <c r="C12" s="20"/>
      <c r="D12" s="20"/>
      <c r="E12" s="20"/>
      <c r="F12" s="6"/>
      <c r="G12" s="11"/>
      <c r="H12" s="16"/>
      <c r="I12" s="16"/>
      <c r="J12" s="2"/>
      <c r="K12" s="1"/>
      <c r="L12" s="1"/>
    </row>
    <row r="13" spans="1:12" ht="15.75" x14ac:dyDescent="0.25">
      <c r="A13" s="4" t="s">
        <v>9</v>
      </c>
      <c r="B13" s="21">
        <f>SUM(B7:B11)</f>
        <v>1252802</v>
      </c>
      <c r="C13" s="21">
        <f>SUM(C7:C12)</f>
        <v>187812.66</v>
      </c>
      <c r="D13" s="21">
        <f>SUM(D7:D12)</f>
        <v>386054.08</v>
      </c>
      <c r="E13" s="21">
        <f>SUM(E7:E11)</f>
        <v>483411.97000000003</v>
      </c>
      <c r="F13" s="6"/>
      <c r="G13" s="22">
        <f>D13/B13</f>
        <v>0.30815250933507449</v>
      </c>
      <c r="H13" s="16">
        <v>0.86399999999999999</v>
      </c>
      <c r="I13" s="16">
        <v>0.86399999999999999</v>
      </c>
      <c r="J13" s="23">
        <f>SUM(B13-D13)</f>
        <v>866747.91999999993</v>
      </c>
      <c r="K13" s="1"/>
      <c r="L13" s="1"/>
    </row>
    <row r="14" spans="1:12" x14ac:dyDescent="0.2">
      <c r="A14" s="1"/>
      <c r="B14" s="20"/>
      <c r="C14" s="20"/>
      <c r="D14" s="20"/>
      <c r="E14" s="20"/>
      <c r="F14" s="6"/>
      <c r="G14" s="6"/>
      <c r="H14" s="16"/>
      <c r="I14" s="16"/>
      <c r="J14" s="2"/>
      <c r="K14" s="1"/>
      <c r="L14" s="1"/>
    </row>
    <row r="15" spans="1:12" ht="15.75" x14ac:dyDescent="0.25">
      <c r="A15" s="4" t="s">
        <v>10</v>
      </c>
      <c r="B15" s="20"/>
      <c r="C15" s="20"/>
      <c r="D15" s="20"/>
      <c r="E15" s="20"/>
      <c r="F15" s="6"/>
      <c r="G15" s="6"/>
      <c r="H15" s="16"/>
      <c r="I15" s="16"/>
      <c r="J15" s="2"/>
      <c r="K15" s="1"/>
      <c r="L15" s="1"/>
    </row>
    <row r="16" spans="1:12" x14ac:dyDescent="0.2">
      <c r="A16" s="3" t="s">
        <v>22</v>
      </c>
      <c r="B16" s="20">
        <v>239991</v>
      </c>
      <c r="C16" s="19">
        <v>24550.83</v>
      </c>
      <c r="D16" s="20">
        <v>96528.89</v>
      </c>
      <c r="E16" s="20">
        <v>88184.13</v>
      </c>
      <c r="F16" s="6"/>
      <c r="G16" s="11">
        <f t="shared" ref="G16:G28" si="0">D16/B16</f>
        <v>0.40221879153801599</v>
      </c>
      <c r="H16" s="16">
        <v>0.92</v>
      </c>
      <c r="I16" s="16">
        <v>0.92</v>
      </c>
      <c r="J16" s="14">
        <f t="shared" ref="J16:J28" si="1">SUM(B16-D16)</f>
        <v>143462.10999999999</v>
      </c>
      <c r="K16" s="1"/>
      <c r="L16" s="1"/>
    </row>
    <row r="17" spans="1:15" x14ac:dyDescent="0.2">
      <c r="A17" s="3" t="s">
        <v>23</v>
      </c>
      <c r="B17" s="20">
        <v>65276</v>
      </c>
      <c r="C17" s="19">
        <v>3538.77</v>
      </c>
      <c r="D17" s="19">
        <v>24828.16</v>
      </c>
      <c r="E17" s="20">
        <v>7682.46</v>
      </c>
      <c r="F17" s="6"/>
      <c r="G17" s="11">
        <f t="shared" si="0"/>
        <v>0.38035663949996934</v>
      </c>
      <c r="H17" s="16">
        <v>0.86299999999999999</v>
      </c>
      <c r="I17" s="16">
        <v>0.86299999999999999</v>
      </c>
      <c r="J17" s="14">
        <f t="shared" si="1"/>
        <v>40447.839999999997</v>
      </c>
      <c r="K17" s="1"/>
      <c r="L17" s="1"/>
    </row>
    <row r="18" spans="1:15" x14ac:dyDescent="0.2">
      <c r="A18" s="3" t="s">
        <v>24</v>
      </c>
      <c r="B18" s="20">
        <v>151400</v>
      </c>
      <c r="C18" s="19">
        <v>23427.89</v>
      </c>
      <c r="D18" s="19">
        <v>30479</v>
      </c>
      <c r="E18" s="20">
        <v>21437.19</v>
      </c>
      <c r="F18" s="6"/>
      <c r="G18" s="11">
        <f t="shared" si="0"/>
        <v>0.20131439894319683</v>
      </c>
      <c r="H18" s="16">
        <v>0.70399999999999996</v>
      </c>
      <c r="I18" s="16">
        <v>0.70399999999999996</v>
      </c>
      <c r="J18" s="14">
        <f t="shared" si="1"/>
        <v>120921</v>
      </c>
      <c r="K18" s="1"/>
      <c r="L18" s="1"/>
      <c r="O18" s="7"/>
    </row>
    <row r="19" spans="1:15" x14ac:dyDescent="0.2">
      <c r="A19" s="3" t="s">
        <v>36</v>
      </c>
      <c r="B19" s="20">
        <v>63720</v>
      </c>
      <c r="C19" s="19">
        <v>1024.5899999999999</v>
      </c>
      <c r="D19" s="19">
        <v>7822.19</v>
      </c>
      <c r="E19" s="20">
        <v>5866.92</v>
      </c>
      <c r="F19" s="6"/>
      <c r="G19" s="11">
        <f t="shared" si="0"/>
        <v>0.12275878844946642</v>
      </c>
      <c r="H19" s="16">
        <v>0.95099999999999996</v>
      </c>
      <c r="I19" s="16">
        <v>0.95099999999999996</v>
      </c>
      <c r="J19" s="14">
        <f t="shared" si="1"/>
        <v>55897.81</v>
      </c>
      <c r="K19" s="1"/>
      <c r="L19" s="1"/>
      <c r="O19" s="7"/>
    </row>
    <row r="20" spans="1:15" x14ac:dyDescent="0.2">
      <c r="A20" s="3" t="s">
        <v>25</v>
      </c>
      <c r="B20" s="20">
        <v>3925</v>
      </c>
      <c r="C20" s="19">
        <v>164.28</v>
      </c>
      <c r="D20" s="19">
        <v>1164.26</v>
      </c>
      <c r="E20" s="20">
        <v>741.05</v>
      </c>
      <c r="F20" s="6"/>
      <c r="G20" s="11">
        <f t="shared" si="0"/>
        <v>0.29662675159235669</v>
      </c>
      <c r="H20" s="16">
        <v>0.51200000000000001</v>
      </c>
      <c r="I20" s="16">
        <v>0.51200000000000001</v>
      </c>
      <c r="J20" s="14">
        <f t="shared" si="1"/>
        <v>2760.74</v>
      </c>
      <c r="K20" s="1"/>
      <c r="L20" s="1"/>
    </row>
    <row r="21" spans="1:15" x14ac:dyDescent="0.2">
      <c r="A21" s="3" t="s">
        <v>35</v>
      </c>
      <c r="B21" s="20">
        <v>133581.51999999999</v>
      </c>
      <c r="C21" s="19">
        <v>8691.19</v>
      </c>
      <c r="D21" s="19">
        <v>53213.45</v>
      </c>
      <c r="E21" s="20">
        <v>55430.080000000002</v>
      </c>
      <c r="F21" s="6"/>
      <c r="G21" s="11">
        <f t="shared" si="0"/>
        <v>0.39835936887078394</v>
      </c>
      <c r="H21" s="16">
        <v>0.92500000000000004</v>
      </c>
      <c r="I21" s="16">
        <v>0.92500000000000004</v>
      </c>
      <c r="J21" s="14">
        <f t="shared" si="1"/>
        <v>80368.069999999992</v>
      </c>
      <c r="K21" s="1"/>
      <c r="L21" s="1"/>
    </row>
    <row r="22" spans="1:15" x14ac:dyDescent="0.2">
      <c r="A22" s="3" t="s">
        <v>39</v>
      </c>
      <c r="B22" s="20">
        <v>1900</v>
      </c>
      <c r="C22" s="19">
        <v>0</v>
      </c>
      <c r="D22" s="19">
        <v>618.09</v>
      </c>
      <c r="E22" s="20">
        <v>357.31</v>
      </c>
      <c r="F22" s="6"/>
      <c r="G22" s="11">
        <f t="shared" si="0"/>
        <v>0.32531052631578949</v>
      </c>
      <c r="H22" s="16">
        <v>1.085</v>
      </c>
      <c r="I22" s="16">
        <v>1.085</v>
      </c>
      <c r="J22" s="14">
        <f t="shared" si="1"/>
        <v>1281.9099999999999</v>
      </c>
      <c r="K22" s="1"/>
      <c r="L22" s="1"/>
    </row>
    <row r="23" spans="1:15" x14ac:dyDescent="0.2">
      <c r="A23" s="3" t="s">
        <v>37</v>
      </c>
      <c r="B23" s="20">
        <v>3200</v>
      </c>
      <c r="C23" s="20">
        <v>88.52</v>
      </c>
      <c r="D23" s="20">
        <v>508.52</v>
      </c>
      <c r="E23" s="20">
        <v>144.21</v>
      </c>
      <c r="F23" s="6"/>
      <c r="G23" s="11">
        <f t="shared" si="0"/>
        <v>0.15891249999999998</v>
      </c>
      <c r="H23" s="16"/>
      <c r="I23" s="16">
        <v>0.95</v>
      </c>
      <c r="J23" s="14">
        <f t="shared" si="1"/>
        <v>2691.48</v>
      </c>
      <c r="K23" s="1"/>
      <c r="L23" s="1"/>
    </row>
    <row r="24" spans="1:15" x14ac:dyDescent="0.2">
      <c r="A24" s="3" t="s">
        <v>29</v>
      </c>
      <c r="B24" s="20">
        <v>293933</v>
      </c>
      <c r="C24" s="19">
        <v>10164.530000000001</v>
      </c>
      <c r="D24" s="19">
        <v>79630.149999999994</v>
      </c>
      <c r="E24" s="20">
        <v>170647.97</v>
      </c>
      <c r="F24" s="6"/>
      <c r="G24" s="11">
        <f t="shared" si="0"/>
        <v>0.27091258892332604</v>
      </c>
      <c r="H24" s="16">
        <v>0.76700000000000002</v>
      </c>
      <c r="I24" s="16">
        <v>0.76700000000000002</v>
      </c>
      <c r="J24" s="14">
        <f t="shared" si="1"/>
        <v>214302.85</v>
      </c>
      <c r="K24" s="1"/>
      <c r="L24" s="1"/>
    </row>
    <row r="25" spans="1:15" x14ac:dyDescent="0.2">
      <c r="A25" s="3" t="s">
        <v>30</v>
      </c>
      <c r="B25" s="20">
        <v>91355</v>
      </c>
      <c r="C25" s="19">
        <v>9458.75</v>
      </c>
      <c r="D25" s="19">
        <v>30248.49</v>
      </c>
      <c r="E25" s="20">
        <v>40748.230000000003</v>
      </c>
      <c r="F25" s="6"/>
      <c r="G25" s="11">
        <f t="shared" si="0"/>
        <v>0.33110929888894974</v>
      </c>
      <c r="H25" s="16">
        <v>0.61799999999999999</v>
      </c>
      <c r="I25" s="16">
        <v>0.61799999999999999</v>
      </c>
      <c r="J25" s="14">
        <f t="shared" si="1"/>
        <v>61106.509999999995</v>
      </c>
      <c r="K25" s="1"/>
      <c r="L25" s="1"/>
    </row>
    <row r="26" spans="1:15" x14ac:dyDescent="0.2">
      <c r="A26" s="3" t="s">
        <v>38</v>
      </c>
      <c r="B26" s="20">
        <v>3750</v>
      </c>
      <c r="C26" s="19">
        <v>200</v>
      </c>
      <c r="D26" s="19">
        <v>1001.37</v>
      </c>
      <c r="E26" s="20">
        <v>300</v>
      </c>
      <c r="F26" s="6"/>
      <c r="G26" s="11">
        <f t="shared" si="0"/>
        <v>0.26703199999999999</v>
      </c>
      <c r="H26" s="16">
        <v>0.36199999999999999</v>
      </c>
      <c r="I26" s="16">
        <v>0.36199999999999999</v>
      </c>
      <c r="J26" s="14">
        <f t="shared" si="1"/>
        <v>2748.63</v>
      </c>
      <c r="K26" s="1"/>
      <c r="L26" s="1"/>
    </row>
    <row r="27" spans="1:15" x14ac:dyDescent="0.2">
      <c r="A27" s="3" t="s">
        <v>32</v>
      </c>
      <c r="B27" s="20">
        <v>146300</v>
      </c>
      <c r="C27" s="19">
        <v>10188.469999999999</v>
      </c>
      <c r="D27" s="19">
        <v>60843.92</v>
      </c>
      <c r="E27" s="20">
        <v>55938.87</v>
      </c>
      <c r="F27" s="6"/>
      <c r="G27" s="11">
        <f t="shared" si="0"/>
        <v>0.41588462064251536</v>
      </c>
      <c r="H27" s="16">
        <v>0.96399999999999997</v>
      </c>
      <c r="I27" s="16">
        <v>0.96399999999999997</v>
      </c>
      <c r="J27" s="14">
        <f t="shared" si="1"/>
        <v>85456.08</v>
      </c>
      <c r="K27" s="1"/>
      <c r="L27" s="1"/>
    </row>
    <row r="28" spans="1:15" x14ac:dyDescent="0.2">
      <c r="A28" s="3" t="s">
        <v>40</v>
      </c>
      <c r="B28" s="20">
        <v>52946</v>
      </c>
      <c r="C28" s="19">
        <v>4039.05</v>
      </c>
      <c r="D28" s="19">
        <v>20050.8</v>
      </c>
      <c r="E28" s="20">
        <v>12795.75</v>
      </c>
      <c r="F28" s="6"/>
      <c r="G28" s="11">
        <f t="shared" si="0"/>
        <v>0.3787028292977751</v>
      </c>
      <c r="H28" s="16"/>
      <c r="I28" s="16">
        <v>3.9E-2</v>
      </c>
      <c r="J28" s="14">
        <f t="shared" si="1"/>
        <v>32895.199999999997</v>
      </c>
      <c r="K28" s="1"/>
      <c r="L28" s="1"/>
    </row>
    <row r="29" spans="1:15" x14ac:dyDescent="0.2">
      <c r="A29"/>
      <c r="B29" s="20"/>
      <c r="C29" s="19"/>
      <c r="D29" s="20"/>
      <c r="E29" s="20"/>
      <c r="F29" s="6"/>
      <c r="G29" s="11"/>
      <c r="H29" s="16"/>
      <c r="I29" s="16"/>
      <c r="J29" s="14"/>
      <c r="K29" s="1"/>
      <c r="L29" s="1"/>
    </row>
    <row r="30" spans="1:15" ht="15.75" x14ac:dyDescent="0.25">
      <c r="A30" s="4" t="s">
        <v>11</v>
      </c>
      <c r="B30" s="21">
        <f>SUM(B16:B28)</f>
        <v>1251277.52</v>
      </c>
      <c r="C30" s="21">
        <f>SUM(C16:C29)</f>
        <v>95536.87000000001</v>
      </c>
      <c r="D30" s="21">
        <f>SUM(D16:D28)</f>
        <v>406937.28999999992</v>
      </c>
      <c r="E30" s="21">
        <f>SUM(E16:E28)</f>
        <v>460274.17</v>
      </c>
      <c r="F30" s="6"/>
      <c r="G30" s="22">
        <f>D30/B30</f>
        <v>0.32521745455796242</v>
      </c>
      <c r="H30" s="16">
        <v>0.84099999999999997</v>
      </c>
      <c r="I30" s="16">
        <v>0.84099999999999997</v>
      </c>
      <c r="J30" s="24">
        <f>SUM(B30-D30)</f>
        <v>844340.2300000001</v>
      </c>
      <c r="K30" s="1"/>
      <c r="L30" s="1"/>
    </row>
    <row r="31" spans="1:15" ht="15.75" x14ac:dyDescent="0.25">
      <c r="A31" s="4"/>
      <c r="B31" s="20"/>
      <c r="C31" s="20"/>
      <c r="D31" s="20"/>
      <c r="E31" s="20"/>
      <c r="F31" s="6"/>
      <c r="G31" s="2"/>
      <c r="H31" s="6"/>
      <c r="I31" s="6"/>
      <c r="J31" s="2"/>
      <c r="K31" s="1"/>
      <c r="L31" s="1"/>
    </row>
    <row r="32" spans="1:15" ht="15.75" x14ac:dyDescent="0.25">
      <c r="A32" s="4" t="s">
        <v>12</v>
      </c>
      <c r="B32" s="21">
        <f>B13-B30</f>
        <v>1524.4799999999814</v>
      </c>
      <c r="C32" s="21">
        <f>(C13-C30)</f>
        <v>92275.79</v>
      </c>
      <c r="D32" s="21">
        <f>SUM(D13-D30)</f>
        <v>-20883.209999999905</v>
      </c>
      <c r="E32" s="20"/>
      <c r="F32" s="6"/>
      <c r="G32" s="11"/>
      <c r="H32" s="6"/>
      <c r="I32" s="6"/>
      <c r="J32" s="2"/>
      <c r="K32" s="1"/>
      <c r="L32" s="1"/>
    </row>
    <row r="33" spans="1:16" ht="15.75" x14ac:dyDescent="0.25">
      <c r="B33" s="17"/>
      <c r="C33" s="23"/>
      <c r="D33" s="23"/>
      <c r="F33" s="2"/>
      <c r="G33" s="1"/>
      <c r="H33" s="1"/>
      <c r="I33" s="1"/>
      <c r="J33" s="2"/>
      <c r="K33" s="1"/>
      <c r="L33" s="1"/>
    </row>
    <row r="34" spans="1:16" ht="18" x14ac:dyDescent="0.25">
      <c r="A34" s="4"/>
      <c r="B34" s="2"/>
      <c r="E34" s="13"/>
    </row>
    <row r="35" spans="1:16" ht="18" x14ac:dyDescent="0.25">
      <c r="B35" s="8"/>
      <c r="C35" s="9"/>
      <c r="E35" s="13"/>
    </row>
    <row r="36" spans="1:16" x14ac:dyDescent="0.2">
      <c r="B36" s="8"/>
      <c r="C36" s="10"/>
    </row>
    <row r="37" spans="1:16" x14ac:dyDescent="0.2">
      <c r="P37"/>
    </row>
    <row r="38" spans="1:16" s="25" customFormat="1" ht="15.75" x14ac:dyDescent="0.25">
      <c r="P38" s="26"/>
    </row>
    <row r="39" spans="1:16" s="25" customFormat="1" ht="30" customHeight="1" x14ac:dyDescent="0.25">
      <c r="P39" s="26"/>
    </row>
    <row r="40" spans="1:16" s="17" customFormat="1" ht="15.75" x14ac:dyDescent="0.25"/>
    <row r="41" spans="1:16" s="17" customFormat="1" ht="15.75" x14ac:dyDescent="0.25"/>
    <row r="42" spans="1:16" s="17" customFormat="1" ht="15.75" x14ac:dyDescent="0.25"/>
    <row r="49" s="17" customFormat="1" ht="15.75" x14ac:dyDescent="0.25"/>
    <row r="51" s="17" customFormat="1" ht="15.75" x14ac:dyDescent="0.25"/>
    <row r="66" spans="1:6" s="17" customFormat="1" ht="15.75" x14ac:dyDescent="0.25"/>
    <row r="67" spans="1:6" s="17" customFormat="1" ht="15.75" x14ac:dyDescent="0.25"/>
    <row r="68" spans="1:6" s="17" customFormat="1" ht="15.75" x14ac:dyDescent="0.25"/>
    <row r="69" spans="1:6" x14ac:dyDescent="0.2">
      <c r="A69" s="3" t="str">
        <f>IF(A33="","",A33)</f>
        <v/>
      </c>
      <c r="B69" s="3" t="str">
        <f>IF(B33="","",B33)</f>
        <v/>
      </c>
      <c r="C69" s="3" t="str">
        <f>IF(D33="","",D33)</f>
        <v/>
      </c>
      <c r="D69" s="3" t="str">
        <f>IF(E33="","",E33)</f>
        <v/>
      </c>
      <c r="E69" s="3" t="str">
        <f>IF(C33="","",C33)</f>
        <v/>
      </c>
      <c r="F69" s="3" t="str">
        <f>IF(F33="","",F33)</f>
        <v/>
      </c>
    </row>
  </sheetData>
  <phoneticPr fontId="0" type="noConversion"/>
  <printOptions horizontalCentered="1" gridLines="1"/>
  <pageMargins left="0.33055555555555555" right="0.5" top="1.5" bottom="0.5" header="0.5" footer="0.5"/>
  <pageSetup scale="85" orientation="landscape" horizontalDpi="300" verticalDpi="300" r:id="rId1"/>
  <headerFooter alignWithMargins="0">
    <oddHeader xml:space="preserve">&amp;C&amp;"Arial,Bold"&amp;12First Reformed Church
Summary Analysis of Revenue and Expenses
May 2023
</oddHeader>
  </headerFooter>
  <ignoredErrors>
    <ignoredError sqref="C3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1"/>
  <sheetViews>
    <sheetView workbookViewId="0">
      <selection activeCell="B9" sqref="B9"/>
    </sheetView>
  </sheetViews>
  <sheetFormatPr defaultRowHeight="12.75" x14ac:dyDescent="0.2"/>
  <cols>
    <col min="1" max="1" width="27" customWidth="1"/>
    <col min="2" max="2" width="15.28515625" customWidth="1"/>
  </cols>
  <sheetData>
    <row r="1" spans="1:2" ht="15.75" x14ac:dyDescent="0.25">
      <c r="B1" s="5" t="s">
        <v>3</v>
      </c>
    </row>
    <row r="2" spans="1:2" ht="15.75" x14ac:dyDescent="0.25">
      <c r="B2" s="5" t="s">
        <v>2</v>
      </c>
    </row>
    <row r="3" spans="1:2" ht="15" x14ac:dyDescent="0.2">
      <c r="B3" s="6"/>
    </row>
    <row r="4" spans="1:2" ht="15.75" x14ac:dyDescent="0.25">
      <c r="A4" s="17" t="s">
        <v>33</v>
      </c>
      <c r="B4" s="5" t="s">
        <v>8</v>
      </c>
    </row>
    <row r="5" spans="1:2" ht="15" x14ac:dyDescent="0.2">
      <c r="B5" s="2"/>
    </row>
    <row r="6" spans="1:2" ht="15" x14ac:dyDescent="0.2">
      <c r="A6" s="1" t="s">
        <v>16</v>
      </c>
      <c r="B6" s="2">
        <f>GreenSheet!D7</f>
        <v>0</v>
      </c>
    </row>
    <row r="7" spans="1:2" ht="15" x14ac:dyDescent="0.2">
      <c r="A7" s="1" t="s">
        <v>17</v>
      </c>
      <c r="B7" s="2">
        <f>GreenSheet!D8</f>
        <v>185906.06</v>
      </c>
    </row>
    <row r="8" spans="1:2" ht="15" x14ac:dyDescent="0.2">
      <c r="A8" s="1" t="s">
        <v>18</v>
      </c>
      <c r="B8" s="2">
        <f>GreenSheet!D9</f>
        <v>167821.5</v>
      </c>
    </row>
    <row r="9" spans="1:2" ht="15" x14ac:dyDescent="0.2">
      <c r="A9" s="1" t="s">
        <v>19</v>
      </c>
      <c r="B9" s="2">
        <f>GreenSheet!D10</f>
        <v>0</v>
      </c>
    </row>
    <row r="10" spans="1:2" ht="15" x14ac:dyDescent="0.2">
      <c r="A10" s="3" t="s">
        <v>20</v>
      </c>
      <c r="B10" s="2">
        <f>GreenSheet!D11</f>
        <v>32326.52</v>
      </c>
    </row>
    <row r="11" spans="1:2" ht="15" x14ac:dyDescent="0.2">
      <c r="A11" s="1"/>
      <c r="B11" s="2"/>
    </row>
    <row r="12" spans="1:2" ht="15.75" x14ac:dyDescent="0.25">
      <c r="A12" s="4" t="s">
        <v>9</v>
      </c>
      <c r="B12" s="2">
        <f>SUM(B6:B11)</f>
        <v>386054.08</v>
      </c>
    </row>
    <row r="13" spans="1:2" ht="15" x14ac:dyDescent="0.2">
      <c r="A13" s="1"/>
      <c r="B13" s="2"/>
    </row>
    <row r="26" spans="1:2" ht="15.75" x14ac:dyDescent="0.25">
      <c r="A26" s="17" t="s">
        <v>34</v>
      </c>
      <c r="B26" s="5" t="s">
        <v>10</v>
      </c>
    </row>
    <row r="27" spans="1:2" ht="15.75" x14ac:dyDescent="0.25">
      <c r="A27" s="4"/>
    </row>
    <row r="28" spans="1:2" ht="15" x14ac:dyDescent="0.2">
      <c r="A28" s="3" t="s">
        <v>22</v>
      </c>
      <c r="B28" s="2">
        <f>GreenSheet!D16</f>
        <v>96528.89</v>
      </c>
    </row>
    <row r="29" spans="1:2" ht="15" x14ac:dyDescent="0.2">
      <c r="A29" s="3" t="s">
        <v>23</v>
      </c>
      <c r="B29" s="2">
        <f>GreenSheet!D17</f>
        <v>24828.16</v>
      </c>
    </row>
    <row r="30" spans="1:2" ht="15" x14ac:dyDescent="0.2">
      <c r="A30" s="3" t="s">
        <v>24</v>
      </c>
      <c r="B30" s="2">
        <f>GreenSheet!D18</f>
        <v>30479</v>
      </c>
    </row>
    <row r="31" spans="1:2" ht="15" x14ac:dyDescent="0.2">
      <c r="A31" s="3" t="s">
        <v>21</v>
      </c>
      <c r="B31" s="2">
        <f>GreenSheet!D19</f>
        <v>7822.19</v>
      </c>
    </row>
    <row r="32" spans="1:2" ht="15" x14ac:dyDescent="0.2">
      <c r="A32" s="3" t="s">
        <v>25</v>
      </c>
      <c r="B32" s="2">
        <f>GreenSheet!D20</f>
        <v>1164.26</v>
      </c>
    </row>
    <row r="33" spans="1:2" ht="15" x14ac:dyDescent="0.2">
      <c r="A33" s="3" t="s">
        <v>26</v>
      </c>
      <c r="B33" s="2">
        <f>GreenSheet!D21</f>
        <v>53213.45</v>
      </c>
    </row>
    <row r="34" spans="1:2" ht="15" x14ac:dyDescent="0.2">
      <c r="A34" s="3" t="s">
        <v>27</v>
      </c>
      <c r="B34" s="15">
        <f>GreenSheet!D22</f>
        <v>618.09</v>
      </c>
    </row>
    <row r="35" spans="1:2" ht="15" x14ac:dyDescent="0.2">
      <c r="A35" s="3" t="s">
        <v>28</v>
      </c>
      <c r="B35" s="2" t="e">
        <f>GreenSheet!#REF!</f>
        <v>#REF!</v>
      </c>
    </row>
    <row r="36" spans="1:2" ht="15" x14ac:dyDescent="0.2">
      <c r="A36" s="3" t="s">
        <v>29</v>
      </c>
      <c r="B36" s="2">
        <f>GreenSheet!D24</f>
        <v>79630.149999999994</v>
      </c>
    </row>
    <row r="37" spans="1:2" ht="15" x14ac:dyDescent="0.2">
      <c r="A37" s="3" t="s">
        <v>30</v>
      </c>
      <c r="B37" s="2">
        <f>GreenSheet!D25</f>
        <v>30248.49</v>
      </c>
    </row>
    <row r="38" spans="1:2" ht="15" x14ac:dyDescent="0.2">
      <c r="A38" s="3" t="s">
        <v>31</v>
      </c>
      <c r="B38" s="2">
        <f>GreenSheet!D26</f>
        <v>1001.37</v>
      </c>
    </row>
    <row r="39" spans="1:2" ht="15" x14ac:dyDescent="0.2">
      <c r="A39" s="3" t="s">
        <v>32</v>
      </c>
      <c r="B39" s="2">
        <f>GreenSheet!D27</f>
        <v>60843.92</v>
      </c>
    </row>
    <row r="40" spans="1:2" ht="15" x14ac:dyDescent="0.2">
      <c r="B40" s="2"/>
    </row>
    <row r="41" spans="1:2" ht="15.75" x14ac:dyDescent="0.25">
      <c r="A41" s="4" t="s">
        <v>11</v>
      </c>
      <c r="B41" s="2" t="e">
        <f>SUM(B28:B39)</f>
        <v>#REF!</v>
      </c>
    </row>
  </sheetData>
  <phoneticPr fontId="0" type="noConversion"/>
  <pageMargins left="0.17" right="0.16" top="0.88" bottom="0.24" header="0.36" footer="0.16"/>
  <pageSetup scale="6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Comparison</vt:lpstr>
      <vt:lpstr>GreenSheet</vt:lpstr>
      <vt:lpstr>Chart</vt:lpstr>
      <vt:lpstr>GreenSheet!Print_Area</vt:lpstr>
    </vt:vector>
  </TitlesOfParts>
  <Company>First Reformed Church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</dc:creator>
  <cp:lastModifiedBy>David Hjelmar</cp:lastModifiedBy>
  <cp:lastPrinted>2022-12-13T19:17:56Z</cp:lastPrinted>
  <dcterms:created xsi:type="dcterms:W3CDTF">2002-10-01T14:12:06Z</dcterms:created>
  <dcterms:modified xsi:type="dcterms:W3CDTF">2023-06-10T13:45:30Z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1223851277</vt:i4>
  </property>
  <property fmtid="{D5CDD505-2E9C-101B-9397-08002B2CF9AE}" pid="3" name="_EmailSubject">
    <vt:lpwstr>January Reports</vt:lpwstr>
  </property>
  <property fmtid="{D5CDD505-2E9C-101B-9397-08002B2CF9AE}" pid="4" name="_AuthorEmail">
    <vt:lpwstr>fhd2@aol.com</vt:lpwstr>
  </property>
  <property fmtid="{D5CDD505-2E9C-101B-9397-08002B2CF9AE}" pid="5" name="_AuthorEmailDisplayName">
    <vt:lpwstr>Fred Daniels</vt:lpwstr>
  </property>
  <property fmtid="{D5CDD505-2E9C-101B-9397-08002B2CF9AE}" pid="6" name="_PreviousAdHocReviewCycleID">
    <vt:i4>-36278645</vt:i4>
  </property>
  <property fmtid="{D5CDD505-2E9C-101B-9397-08002B2CF9AE}" pid="7" name="_ReviewingToolsShownOnce">
    <vt:lpwstr/>
  </property>
</Properties>
</file>