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esktop\VD3 03-06-2025\"/>
    </mc:Choice>
  </mc:AlternateContent>
  <xr:revisionPtr revIDLastSave="0" documentId="13_ncr:1_{A16E5DAC-8CF3-40CE-B693-39BA68BBB54D}" xr6:coauthVersionLast="47" xr6:coauthVersionMax="47" xr10:uidLastSave="{00000000-0000-0000-0000-000000000000}"/>
  <bookViews>
    <workbookView xWindow="-108" yWindow="-108" windowWidth="23256" windowHeight="12456" tabRatio="921" firstSheet="2" activeTab="7" xr2:uid="{00000000-000D-0000-FFFF-FFFF00000000}"/>
  </bookViews>
  <sheets>
    <sheet name="Bảng THQT" sheetId="52" state="hidden" r:id="rId1"/>
    <sheet name="TH LÚN" sheetId="13" state="hidden" r:id="rId2"/>
    <sheet name="Km83+720" sheetId="35" r:id="rId3"/>
    <sheet name="Km83+780)" sheetId="62" r:id="rId4"/>
    <sheet name="Km83+860" sheetId="63" r:id="rId5"/>
    <sheet name="Km83+900" sheetId="69" r:id="rId6"/>
    <sheet name="Km83+940" sheetId="70" r:id="rId7"/>
    <sheet name="Km83+980" sheetId="71" r:id="rId8"/>
    <sheet name="TH34+120" sheetId="61" state="hidden" r:id="rId9"/>
  </sheets>
  <definedNames>
    <definedName name="_____________Goi8" hidden="1">{"'Sheet1'!$L$16"}</definedName>
    <definedName name="____________Goi8" hidden="1">{"'Sheet1'!$L$16"}</definedName>
    <definedName name="___________Goi8" hidden="1">{"'Sheet1'!$L$16"}</definedName>
    <definedName name="__________Goi8" hidden="1">{"'Sheet1'!$L$16"}</definedName>
    <definedName name="_________a1" hidden="1">{"'Sheet1'!$L$16"}</definedName>
    <definedName name="_________Goi8" hidden="1">{"'Sheet1'!$L$16"}</definedName>
    <definedName name="________a1" hidden="1">{"'Sheet1'!$L$16"}</definedName>
    <definedName name="________a130" hidden="1">{"Offgrid",#N/A,FALSE,"OFFGRID";"Region",#N/A,FALSE,"REGION";"Offgrid -2",#N/A,FALSE,"OFFGRID";"WTP",#N/A,FALSE,"WTP";"WTP -2",#N/A,FALSE,"WTP";"Project",#N/A,FALSE,"PROJECT";"Summary -2",#N/A,FALSE,"SUMMARY"}</definedName>
    <definedName name="________a2" hidden="1">{"'Sheet1'!$L$16"}</definedName>
    <definedName name="________d1500" hidden="1">{"'Sheet1'!$L$16"}</definedName>
    <definedName name="________Goi8" hidden="1">{"'Sheet1'!$L$16"}</definedName>
    <definedName name="________hu1" hidden="1">{"'Sheet1'!$L$16"}</definedName>
    <definedName name="________hu2" hidden="1">{"'Sheet1'!$L$16"}</definedName>
    <definedName name="________hu5" hidden="1">{"'Sheet1'!$L$16"}</definedName>
    <definedName name="________hu6" hidden="1">{"'Sheet1'!$L$16"}</definedName>
    <definedName name="________K146" hidden="1">{"'Sheet1'!$L$16"}</definedName>
    <definedName name="________Lan1" hidden="1">{"'Sheet1'!$L$16"}</definedName>
    <definedName name="________LAN3" hidden="1">{"'Sheet1'!$L$16"}</definedName>
    <definedName name="________lk2" hidden="1">{"'Sheet1'!$L$16"}</definedName>
    <definedName name="________NK5" hidden="1">{"'Sheet1'!$L$16"}</definedName>
    <definedName name="________td1" hidden="1">{"'Sheet1'!$L$16"}</definedName>
    <definedName name="________tt3" hidden="1">{"'Sheet1'!$L$16"}</definedName>
    <definedName name="________VLP2" hidden="1">{"'Sheet1'!$L$16"}</definedName>
    <definedName name="_______a1" hidden="1">{"'Sheet1'!$L$16"}</definedName>
    <definedName name="_______a129" hidden="1">{"Offgrid",#N/A,FALSE,"OFFGRID";"Region",#N/A,FALSE,"REGION";"Offgrid -2",#N/A,FALSE,"OFFGRID";"WTP",#N/A,FALSE,"WTP";"WTP -2",#N/A,FALSE,"WTP";"Project",#N/A,FALSE,"PROJECT";"Summary -2",#N/A,FALSE,"SUMMARY"}</definedName>
    <definedName name="_______a130" hidden="1">{"Offgrid",#N/A,FALSE,"OFFGRID";"Region",#N/A,FALSE,"REGION";"Offgrid -2",#N/A,FALSE,"OFFGRID";"WTP",#N/A,FALSE,"WTP";"WTP -2",#N/A,FALSE,"WTP";"Project",#N/A,FALSE,"PROJECT";"Summary -2",#N/A,FALSE,"SUMMARY"}</definedName>
    <definedName name="_______a2" hidden="1">{"'Sheet1'!$L$16"}</definedName>
    <definedName name="_______d1500" hidden="1">{"'Sheet1'!$L$16"}</definedName>
    <definedName name="_______Goi8" hidden="1">{"'Sheet1'!$L$16"}</definedName>
    <definedName name="_______hu1" hidden="1">{"'Sheet1'!$L$16"}</definedName>
    <definedName name="_______hu2" hidden="1">{"'Sheet1'!$L$16"}</definedName>
    <definedName name="_______hu5" hidden="1">{"'Sheet1'!$L$16"}</definedName>
    <definedName name="_______hu6" hidden="1">{"'Sheet1'!$L$16"}</definedName>
    <definedName name="_______K146" hidden="1">{"'Sheet1'!$L$16"}</definedName>
    <definedName name="_______Lan1" hidden="1">{"'Sheet1'!$L$16"}</definedName>
    <definedName name="_______LAN3" hidden="1">{"'Sheet1'!$L$16"}</definedName>
    <definedName name="_______lk2" hidden="1">{"'Sheet1'!$L$16"}</definedName>
    <definedName name="_______NK5" hidden="1">{"'Sheet1'!$L$16"}</definedName>
    <definedName name="_______td1" hidden="1">{"'Sheet1'!$L$16"}</definedName>
    <definedName name="_______tt3" hidden="1">{"'Sheet1'!$L$16"}</definedName>
    <definedName name="_______VLP2" hidden="1">{"'Sheet1'!$L$16"}</definedName>
    <definedName name="______a1" hidden="1">{"'Sheet1'!$L$16"}</definedName>
    <definedName name="______a129" hidden="1">{"Offgrid",#N/A,FALSE,"OFFGRID";"Region",#N/A,FALSE,"REGION";"Offgrid -2",#N/A,FALSE,"OFFGRID";"WTP",#N/A,FALSE,"WTP";"WTP -2",#N/A,FALSE,"WTP";"Project",#N/A,FALSE,"PROJECT";"Summary -2",#N/A,FALSE,"SUMMARY"}</definedName>
    <definedName name="______a130" hidden="1">{"Offgrid",#N/A,FALSE,"OFFGRID";"Region",#N/A,FALSE,"REGION";"Offgrid -2",#N/A,FALSE,"OFFGRID";"WTP",#N/A,FALSE,"WTP";"WTP -2",#N/A,FALSE,"WTP";"Project",#N/A,FALSE,"PROJECT";"Summary -2",#N/A,FALSE,"SUMMARY"}</definedName>
    <definedName name="______a2" hidden="1">{"'Sheet1'!$L$16"}</definedName>
    <definedName name="______d1500" hidden="1">{"'Sheet1'!$L$16"}</definedName>
    <definedName name="______dt1" hidden="1">{"'Sheet1'!$L$16"}</definedName>
    <definedName name="______Goi8" hidden="1">{"'Sheet1'!$L$16"}</definedName>
    <definedName name="______hu1" hidden="1">{"'Sheet1'!$L$16"}</definedName>
    <definedName name="______hu2" hidden="1">{"'Sheet1'!$L$16"}</definedName>
    <definedName name="______hu5" hidden="1">{"'Sheet1'!$L$16"}</definedName>
    <definedName name="______hu6" hidden="1">{"'Sheet1'!$L$16"}</definedName>
    <definedName name="______K146" hidden="1">{"'Sheet1'!$L$16"}</definedName>
    <definedName name="______KM22" hidden="1">{"'Sheet1'!$L$16"}</definedName>
    <definedName name="______Lan1" hidden="1">{"'Sheet1'!$L$16"}</definedName>
    <definedName name="______LAN3" hidden="1">{"'Sheet1'!$L$16"}</definedName>
    <definedName name="______lk2" hidden="1">{"'Sheet1'!$L$16"}</definedName>
    <definedName name="______M36" hidden="1">{"'Sheet1'!$L$16"}</definedName>
    <definedName name="______m4" hidden="1">{"'Sheet1'!$L$16"}</definedName>
    <definedName name="______NK5" hidden="1">{"'Sheet1'!$L$16"}</definedName>
    <definedName name="______T9" hidden="1">{"'Sheet1'!$L$16"}</definedName>
    <definedName name="______tb2" hidden="1">{"'Sheet1'!$L$16"}</definedName>
    <definedName name="______td1" hidden="1">{"'Sheet1'!$L$16"}</definedName>
    <definedName name="______tt3" hidden="1">{"'Sheet1'!$L$16"}</definedName>
    <definedName name="______VLP2" hidden="1">{"'Sheet1'!$L$16"}</definedName>
    <definedName name="_____a1" hidden="1">{"'Sheet1'!$L$16"}</definedName>
    <definedName name="_____a129" hidden="1">{"Offgrid",#N/A,FALSE,"OFFGRID";"Region",#N/A,FALSE,"REGION";"Offgrid -2",#N/A,FALSE,"OFFGRID";"WTP",#N/A,FALSE,"WTP";"WTP -2",#N/A,FALSE,"WTP";"Project",#N/A,FALSE,"PROJECT";"Summary -2",#N/A,FALSE,"SUMMARY"}</definedName>
    <definedName name="_____a130" hidden="1">{"Offgrid",#N/A,FALSE,"OFFGRID";"Region",#N/A,FALSE,"REGION";"Offgrid -2",#N/A,FALSE,"OFFGRID";"WTP",#N/A,FALSE,"WTP";"WTP -2",#N/A,FALSE,"WTP";"Project",#N/A,FALSE,"PROJECT";"Summary -2",#N/A,FALSE,"SUMMARY"}</definedName>
    <definedName name="_____a2" hidden="1">{"'Sheet1'!$L$16"}</definedName>
    <definedName name="_____d1500" hidden="1">{"'Sheet1'!$L$16"}</definedName>
    <definedName name="_____dt1" hidden="1">{"'Sheet1'!$L$16"}</definedName>
    <definedName name="_____Goi8" hidden="1">{"'Sheet1'!$L$16"}</definedName>
    <definedName name="_____hu1" hidden="1">{"'Sheet1'!$L$16"}</definedName>
    <definedName name="_____hu2" hidden="1">{"'Sheet1'!$L$16"}</definedName>
    <definedName name="_____hu5" hidden="1">{"'Sheet1'!$L$16"}</definedName>
    <definedName name="_____hu6" hidden="1">{"'Sheet1'!$L$16"}</definedName>
    <definedName name="_____K146" hidden="1">{"'Sheet1'!$L$16"}</definedName>
    <definedName name="_____KM22" hidden="1">{"'Sheet1'!$L$16"}</definedName>
    <definedName name="_____Lan1" hidden="1">{"'Sheet1'!$L$16"}</definedName>
    <definedName name="_____LAN3" hidden="1">{"'Sheet1'!$L$16"}</definedName>
    <definedName name="_____lk2" hidden="1">{"'Sheet1'!$L$16"}</definedName>
    <definedName name="_____M36" hidden="1">{"'Sheet1'!$L$16"}</definedName>
    <definedName name="_____m4" hidden="1">{"'Sheet1'!$L$16"}</definedName>
    <definedName name="_____NK5" hidden="1">{"'Sheet1'!$L$16"}</definedName>
    <definedName name="_____T9" hidden="1">{"'Sheet1'!$L$16"}</definedName>
    <definedName name="_____tb2" hidden="1">{"'Sheet1'!$L$16"}</definedName>
    <definedName name="_____td1" hidden="1">{"'Sheet1'!$L$16"}</definedName>
    <definedName name="_____tt3" hidden="1">{"'Sheet1'!$L$16"}</definedName>
    <definedName name="_____VLP2" hidden="1">{"'Sheet1'!$L$16"}</definedName>
    <definedName name="____a1" hidden="1">{"'Sheet1'!$L$16"}</definedName>
    <definedName name="____a129" hidden="1">{"Offgrid",#N/A,FALSE,"OFFGRID";"Region",#N/A,FALSE,"REGION";"Offgrid -2",#N/A,FALSE,"OFFGRID";"WTP",#N/A,FALSE,"WTP";"WTP -2",#N/A,FALSE,"WTP";"Project",#N/A,FALSE,"PROJECT";"Summary -2",#N/A,FALSE,"SUMMARY"}</definedName>
    <definedName name="____a130" hidden="1">{"Offgrid",#N/A,FALSE,"OFFGRID";"Region",#N/A,FALSE,"REGION";"Offgrid -2",#N/A,FALSE,"OFFGRID";"WTP",#N/A,FALSE,"WTP";"WTP -2",#N/A,FALSE,"WTP";"Project",#N/A,FALSE,"PROJECT";"Summary -2",#N/A,FALSE,"SUMMARY"}</definedName>
    <definedName name="____a2" hidden="1">{"'Sheet1'!$L$16"}</definedName>
    <definedName name="____d1500" hidden="1">{"'Sheet1'!$L$16"}</definedName>
    <definedName name="____dt1" hidden="1">{"'Sheet1'!$L$16"}</definedName>
    <definedName name="____Goi8" hidden="1">{"'Sheet1'!$L$16"}</definedName>
    <definedName name="____hu1" hidden="1">{"'Sheet1'!$L$16"}</definedName>
    <definedName name="____hu2" hidden="1">{"'Sheet1'!$L$16"}</definedName>
    <definedName name="____hu5" hidden="1">{"'Sheet1'!$L$16"}</definedName>
    <definedName name="____hu6" hidden="1">{"'Sheet1'!$L$16"}</definedName>
    <definedName name="____K146" hidden="1">{"'Sheet1'!$L$16"}</definedName>
    <definedName name="____KM22" hidden="1">{"'Sheet1'!$L$16"}</definedName>
    <definedName name="____Lan1" hidden="1">{"'Sheet1'!$L$16"}</definedName>
    <definedName name="____LAN3" hidden="1">{"'Sheet1'!$L$16"}</definedName>
    <definedName name="____lk2" hidden="1">{"'Sheet1'!$L$16"}</definedName>
    <definedName name="____M36" hidden="1">{"'Sheet1'!$L$16"}</definedName>
    <definedName name="____m4" hidden="1">{"'Sheet1'!$L$16"}</definedName>
    <definedName name="____NK5" hidden="1">{"'Sheet1'!$L$16"}</definedName>
    <definedName name="____NSO2" hidden="1">{"'Sheet1'!$L$16"}</definedName>
    <definedName name="____T9" hidden="1">{"'Sheet1'!$L$16"}</definedName>
    <definedName name="____tb2" hidden="1">{"'Sheet1'!$L$16"}</definedName>
    <definedName name="____td1" hidden="1">{"'Sheet1'!$L$16"}</definedName>
    <definedName name="____tt3" hidden="1">{"'Sheet1'!$L$16"}</definedName>
    <definedName name="____VLP2" hidden="1">{"'Sheet1'!$L$16"}</definedName>
    <definedName name="___a1" hidden="1">{"'Sheet1'!$L$16"}</definedName>
    <definedName name="___a129" hidden="1">{"Offgrid",#N/A,FALSE,"OFFGRID";"Region",#N/A,FALSE,"REGION";"Offgrid -2",#N/A,FALSE,"OFFGRID";"WTP",#N/A,FALSE,"WTP";"WTP -2",#N/A,FALSE,"WTP";"Project",#N/A,FALSE,"PROJECT";"Summary -2",#N/A,FALSE,"SUMMARY"}</definedName>
    <definedName name="___dt1" hidden="1">{"'Sheet1'!$L$16"}</definedName>
    <definedName name="___Goi8" hidden="1">{"'Sheet1'!$L$16"}</definedName>
    <definedName name="___hu1" hidden="1">{"'Sheet1'!$L$16"}</definedName>
    <definedName name="___hu2" hidden="1">{"'Sheet1'!$L$16"}</definedName>
    <definedName name="___hu5" hidden="1">{"'Sheet1'!$L$16"}</definedName>
    <definedName name="___hu6" hidden="1">{"'Sheet1'!$L$16"}</definedName>
    <definedName name="___KM22" hidden="1">{"'Sheet1'!$L$16"}</definedName>
    <definedName name="___M36" hidden="1">{"'Sheet1'!$L$16"}</definedName>
    <definedName name="___m4" hidden="1">{"'Sheet1'!$L$16"}</definedName>
    <definedName name="___NSO2" hidden="1">{"'Sheet1'!$L$16"}</definedName>
    <definedName name="___T9" hidden="1">{"'Sheet1'!$L$16"}</definedName>
    <definedName name="___tb2" hidden="1">{"'Sheet1'!$L$16"}</definedName>
    <definedName name="__a1" hidden="1">{"'Sheet1'!$L$16"}</definedName>
    <definedName name="__a129" hidden="1">{"Offgrid",#N/A,FALSE,"OFFGRID";"Region",#N/A,FALSE,"REGION";"Offgrid -2",#N/A,FALSE,"OFFGRID";"WTP",#N/A,FALSE,"WTP";"WTP -2",#N/A,FALSE,"WTP";"Project",#N/A,FALSE,"PROJECT";"Summary -2",#N/A,FALSE,"SUMMARY"}</definedName>
    <definedName name="__a130" hidden="1">{"Offgrid",#N/A,FALSE,"OFFGRID";"Region",#N/A,FALSE,"REGION";"Offgrid -2",#N/A,FALSE,"OFFGRID";"WTP",#N/A,FALSE,"WTP";"WTP -2",#N/A,FALSE,"WTP";"Project",#N/A,FALSE,"PROJECT";"Summary -2",#N/A,FALSE,"SUMMARY"}</definedName>
    <definedName name="__a2" hidden="1">{"'Sheet1'!$L$16"}</definedName>
    <definedName name="__d1500" hidden="1">{"'Sheet1'!$L$16"}</definedName>
    <definedName name="__dt1" hidden="1">{"'Sheet1'!$L$16"}</definedName>
    <definedName name="__Goi8" hidden="1">{"'Sheet1'!$L$16"}</definedName>
    <definedName name="__h1" hidden="1">{"'Sheet1'!$L$16"}</definedName>
    <definedName name="__h111" hidden="1">{"'Sheet1'!$L$16"}</definedName>
    <definedName name="__hu1" hidden="1">{"'Sheet1'!$L$16"}</definedName>
    <definedName name="__hu2" hidden="1">{"'Sheet1'!$L$16"}</definedName>
    <definedName name="__hu5" hidden="1">{"'Sheet1'!$L$16"}</definedName>
    <definedName name="__hu6" hidden="1">{"'Sheet1'!$L$16"}</definedName>
    <definedName name="__IntlFixup" hidden="1">TRUE</definedName>
    <definedName name="__K146" hidden="1">{"'Sheet1'!$L$16"}</definedName>
    <definedName name="__KM22" hidden="1">{"'Sheet1'!$L$16"}</definedName>
    <definedName name="__Lan1" hidden="1">{"'Sheet1'!$L$16"}</definedName>
    <definedName name="__LAN3" hidden="1">{"'Sheet1'!$L$16"}</definedName>
    <definedName name="__lk2" hidden="1">{"'Sheet1'!$L$16"}</definedName>
    <definedName name="__M36" hidden="1">{"'Sheet1'!$L$16"}</definedName>
    <definedName name="__m4" hidden="1">{"'Sheet1'!$L$16"}</definedName>
    <definedName name="__NK5" hidden="1">{"'Sheet1'!$L$16"}</definedName>
    <definedName name="__NSO2" hidden="1">{"'Sheet1'!$L$16"}</definedName>
    <definedName name="__PA3" hidden="1">{"'Sheet1'!$L$16"}</definedName>
    <definedName name="__T9" hidden="1">{"'Sheet1'!$L$16"}</definedName>
    <definedName name="__tb2" hidden="1">{"'Sheet1'!$L$16"}</definedName>
    <definedName name="__td1" hidden="1">{"'Sheet1'!$L$16"}</definedName>
    <definedName name="__tt3" hidden="1">{"'Sheet1'!$L$16"}</definedName>
    <definedName name="__VLP2" hidden="1">{"'Sheet1'!$L$16"}</definedName>
    <definedName name="__xlfn.BAHTTEXT" hidden="1">#NAME?</definedName>
    <definedName name="_14hu1_" hidden="1">{"'Sheet1'!$L$16"}</definedName>
    <definedName name="_2_0ten_" hidden="1">#REF!</definedName>
    <definedName name="_21hu2_" hidden="1">{"'Sheet1'!$L$16"}</definedName>
    <definedName name="_28hu5_" hidden="1">{"'Sheet1'!$L$16"}</definedName>
    <definedName name="_35hu6_" hidden="1">{"'Sheet1'!$L$16"}</definedName>
    <definedName name="_38T7_" hidden="1">{"'Sheet1'!$L$16"}</definedName>
    <definedName name="_4_0xoa_" hidden="1">#REF!</definedName>
    <definedName name="_7h1_" hidden="1">{"'Sheet1'!$L$16"}</definedName>
    <definedName name="_a1" hidden="1">{"'Sheet1'!$L$16"}</definedName>
    <definedName name="_a129" hidden="1">{"Offgrid",#N/A,FALSE,"OFFGRID";"Region",#N/A,FALSE,"REGION";"Offgrid -2",#N/A,FALSE,"OFFGRID";"WTP",#N/A,FALSE,"WTP";"WTP -2",#N/A,FALSE,"WTP";"Project",#N/A,FALSE,"PROJECT";"Summary -2",#N/A,FALSE,"SUMMARY"}</definedName>
    <definedName name="_a130" hidden="1">{"Offgrid",#N/A,FALSE,"OFFGRID";"Region",#N/A,FALSE,"REGION";"Offgrid -2",#N/A,FALSE,"OFFGRID";"WTP",#N/A,FALSE,"WTP";"WTP -2",#N/A,FALSE,"WTP";"Project",#N/A,FALSE,"PROJECT";"Summary -2",#N/A,FALSE,"SUMMARY"}</definedName>
    <definedName name="_a2" hidden="1">{"'Sheet1'!$L$16"}</definedName>
    <definedName name="_a3" hidden="1">{"'Sheet1'!$L$16"}</definedName>
    <definedName name="_a4" hidden="1">{"'Sheet1'!$L$16"}</definedName>
    <definedName name="_a5" hidden="1">{#N/A,#N/A,FALSE,"Chi tiÆt"}</definedName>
    <definedName name="_Builtin155" hidden="1">#N/A</definedName>
    <definedName name="_CD2" hidden="1">{"'Sheet1'!$L$16"}</definedName>
    <definedName name="_d1500" hidden="1">{"'Sheet1'!$L$16"}</definedName>
    <definedName name="_Dist_Bin" hidden="1">#REF!</definedName>
    <definedName name="_Dist_Values" hidden="1">#REF!</definedName>
    <definedName name="_Fill" hidden="1">#REF!</definedName>
    <definedName name="_xlnm._FilterDatabase" hidden="1">#REF!</definedName>
    <definedName name="_GMT1" hidden="1">{"'Sheet1'!$L$16"}</definedName>
    <definedName name="_Goi8" hidden="1">{"'Sheet1'!$L$16"}</definedName>
    <definedName name="_h1" hidden="1">{"'Sheet1'!$L$16"}</definedName>
    <definedName name="_h111" hidden="1">{"'Sheet1'!$L$16"}</definedName>
    <definedName name="_hu1" hidden="1">{"'Sheet1'!$L$16"}</definedName>
    <definedName name="_hu2" hidden="1">{"'Sheet1'!$L$16"}</definedName>
    <definedName name="_hu5" hidden="1">{"'Sheet1'!$L$16"}</definedName>
    <definedName name="_hu6" hidden="1">{"'Sheet1'!$L$16"}</definedName>
    <definedName name="_hu7" hidden="1">{"'Sheet1'!$L$16"}</definedName>
    <definedName name="_K146" hidden="1">{"'Sheet1'!$L$16"}</definedName>
    <definedName name="_Key1" hidden="1">#REF!</definedName>
    <definedName name="_Key2" hidden="1">#REF!</definedName>
    <definedName name="_Lan1" hidden="1">{"'Sheet1'!$L$16"}</definedName>
    <definedName name="_LAN3" hidden="1">{"'Sheet1'!$L$16"}</definedName>
    <definedName name="_lk2" hidden="1">{"'Sheet1'!$L$16"}</definedName>
    <definedName name="_M36" hidden="1">{"'Sheet1'!$L$16"}</definedName>
    <definedName name="_NK5" hidden="1">{"'Sheet1'!$L$16"}</definedName>
    <definedName name="_NSO2" hidden="1">{"'Sheet1'!$L$16"}</definedName>
    <definedName name="_Order1" hidden="1">255</definedName>
    <definedName name="_Order2" hidden="1">255</definedName>
    <definedName name="_PA3" hidden="1">{"'Sheet1'!$L$16"}</definedName>
    <definedName name="_pa4" hidden="1">{"'Sheet1'!$L$16"}</definedName>
    <definedName name="_Parse_In" hidden="1">#REF!</definedName>
    <definedName name="_Regression_X" hidden="1">#REF!</definedName>
    <definedName name="_Sort" hidden="1">#REF!</definedName>
    <definedName name="_T10" hidden="1">{"'Sheet1'!$L$16"}</definedName>
    <definedName name="_Table1_In1" hidden="1">#REF!</definedName>
    <definedName name="_Table1_Out" hidden="1">#REF!</definedName>
    <definedName name="_tb2" hidden="1">{"'Sheet1'!$L$16"}</definedName>
    <definedName name="_td1" hidden="1">{"'Sheet1'!$L$16"}</definedName>
    <definedName name="_td12" hidden="1">{"'Sheet1'!$L$16"}</definedName>
    <definedName name="_tt3" hidden="1">{"'Sheet1'!$L$16"}</definedName>
    <definedName name="_VLP2" hidden="1">{"'Sheet1'!$L$16"}</definedName>
    <definedName name="_z511" hidden="1">{"'Sheet1'!$L$16"}</definedName>
    <definedName name="a129_xoa" hidden="1">{"Offgrid",#N/A,FALSE,"OFFGRID";"Region",#N/A,FALSE,"REGION";"Offgrid -2",#N/A,FALSE,"OFFGRID";"WTP",#N/A,FALSE,"WTP";"WTP -2",#N/A,FALSE,"WTP";"Project",#N/A,FALSE,"PROJECT";"Summary -2",#N/A,FALSE,"SUMMARY"}</definedName>
    <definedName name="a129_xoaxoa" hidden="1">{"Offgrid",#N/A,FALSE,"OFFGRID";"Region",#N/A,FALSE,"REGION";"Offgrid -2",#N/A,FALSE,"OFFGRID";"WTP",#N/A,FALSE,"WTP";"WTP -2",#N/A,FALSE,"WTP";"Project",#N/A,FALSE,"PROJECT";"Summary -2",#N/A,FALSE,"SUMMARY"}</definedName>
    <definedName name="a130_xoa" hidden="1">{"Offgrid",#N/A,FALSE,"OFFGRID";"Region",#N/A,FALSE,"REGION";"Offgrid -2",#N/A,FALSE,"OFFGRID";"WTP",#N/A,FALSE,"WTP";"WTP -2",#N/A,FALSE,"WTP";"Project",#N/A,FALSE,"PROJECT";"Summary -2",#N/A,FALSE,"SUMMARY"}</definedName>
    <definedName name="a130_xoaxoa" hidden="1">{"Offgrid",#N/A,FALSE,"OFFGRID";"Region",#N/A,FALSE,"REGION";"Offgrid -2",#N/A,FALSE,"OFFGRID";"WTP",#N/A,FALSE,"WTP";"WTP -2",#N/A,FALSE,"WTP";"Project",#N/A,FALSE,"PROJECT";"Summary -2",#N/A,FALSE,"SUMMARY"}</definedName>
    <definedName name="ABAB" hidden="1">{#N/A,#N/A,FALSE,"CCTV"}</definedName>
    <definedName name="AccessDatabase" hidden="1">"C:\My Documents\HAU\Danhsach\List Cpn.mdb"</definedName>
    <definedName name="AddRibbonX" hidden="1">"OK"</definedName>
    <definedName name="adf" hidden="1">{"'Sheet1'!$L$16"}</definedName>
    <definedName name="ae" hidden="1">{"'Sheet1'!$L$16"}</definedName>
    <definedName name="àetgreutyju" hidden="1">#REF!</definedName>
    <definedName name="afasfsagfas" hidden="1">{#N/A,#N/A,FALSE,"Chi tiÆt"}</definedName>
    <definedName name="anscount" hidden="1">8</definedName>
    <definedName name="Antoan" hidden="1">{"'Sheet1'!$L$16"}</definedName>
    <definedName name="Aqpl" hidden="1">{"'Sheet1'!$L$16"}</definedName>
    <definedName name="as" hidden="1">{"'Sheet1'!$L$16"}</definedName>
    <definedName name="AS2DocOpenMode" hidden="1">"AS2DocumentEdit"</definedName>
    <definedName name="asf" hidden="1">{"'Sheet1'!$L$16"}</definedName>
    <definedName name="ATGT" hidden="1">{"'Sheet1'!$L$16"}</definedName>
    <definedName name="â" hidden="1">{"'Sheet1'!$L$16"}</definedName>
    <definedName name="banQL" hidden="1">{"'Sheet1'!$L$16"}</definedName>
    <definedName name="bbntnoibo" hidden="1">{#N/A,#N/A,FALSE,"Chi tiÆt"}</definedName>
    <definedName name="BCTQ" hidden="1">{"'Sheet1'!$L$16"}</definedName>
    <definedName name="bhfh" hidden="1">{"'Sheet1'!$L$16"}</definedName>
    <definedName name="BHLD" hidden="1">{"'Sheet1'!$L$16"}</definedName>
    <definedName name="BHLDq3" hidden="1">{"'Sheet1'!$L$16"}</definedName>
    <definedName name="BHXH" hidden="1">{"'Sheet1'!$L$16"}</definedName>
    <definedName name="BHYTQ3" hidden="1">{"'Sheet1'!$L$16"}</definedName>
    <definedName name="Bien1" hidden="1">#REF!</definedName>
    <definedName name="bienbannghiemthunoibo" hidden="1">{"'Sheet1'!$L$16"}</definedName>
    <definedName name="bosung" hidden="1">{"'Sheet1'!$L$16"}</definedName>
    <definedName name="btl" hidden="1">{"'Sheet1'!$L$16"}</definedName>
    <definedName name="bvh" hidden="1">#REF!</definedName>
    <definedName name="C_01" hidden="1">#REF!</definedName>
    <definedName name="C_CDT" hidden="1">#REF!</definedName>
    <definedName name="C_CDT_Ma" hidden="1">#REF!</definedName>
    <definedName name="C_Moc_1" hidden="1">#REF!</definedName>
    <definedName name="C_Moc_2" hidden="1">#REF!</definedName>
    <definedName name="C_Moc_3" hidden="1">#REF!</definedName>
    <definedName name="C_Moc_4" hidden="1">#REF!</definedName>
    <definedName name="C_Moc_5" hidden="1">#REF!</definedName>
    <definedName name="C_Moc_6" hidden="1">#REF!</definedName>
    <definedName name="C_MOI" hidden="1">#REF!</definedName>
    <definedName name="C_MOI_Ma" hidden="1">#REF!</definedName>
    <definedName name="C_TVTK" hidden="1">#REF!</definedName>
    <definedName name="C_TVTK_Ma" hidden="1">#REF!</definedName>
    <definedName name="came" hidden="1">{"'Sheet1'!$L$16"}</definedName>
    <definedName name="Code" hidden="1">#REF!</definedName>
    <definedName name="CP_00" hidden="1">#REF!</definedName>
    <definedName name="CP_Cabiet" hidden="1">{3,4,14,15,29,35}</definedName>
    <definedName name="CP_Loai" hidden="1">#N/A</definedName>
    <definedName name="CP_State" hidden="1">#N/A</definedName>
    <definedName name="CTCT1" hidden="1">{"'Sheet1'!$L$16"}</definedName>
    <definedName name="ctieu" hidden="1">{"'Sheet1'!$L$16"}</definedName>
    <definedName name="cung" hidden="1">{"'Sheet1'!$L$16"}</definedName>
    <definedName name="CurDate" hidden="1">#REF!</definedName>
    <definedName name="Chdate" hidden="1">#REF!</definedName>
    <definedName name="chilk" hidden="1">{"'Sheet1'!$L$16"}</definedName>
    <definedName name="Chiphi" hidden="1">{"'Sheet1'!$L$16"}</definedName>
    <definedName name="chitiet3" hidden="1">{"'Sheet1'!$L$16"}</definedName>
    <definedName name="chitietbgiang2" hidden="1">{"'Sheet1'!$L$16"}</definedName>
    <definedName name="chl" hidden="1">{"'Sheet1'!$L$16"}</definedName>
    <definedName name="chuyen" hidden="1">{"'Sheet1'!$L$16"}</definedName>
    <definedName name="daøy" hidden="1">#REF!</definedName>
    <definedName name="data1" hidden="1">#REF!</definedName>
    <definedName name="data2" hidden="1">#REF!</definedName>
    <definedName name="data3" hidden="1">#REF!</definedName>
    <definedName name="dc" hidden="1">{"'Sheet1'!$L$16"}</definedName>
    <definedName name="ddd" hidden="1">{"'Sheet1'!$L$16"}</definedName>
    <definedName name="deí" hidden="1">{"'Sheet1'!$L$16"}</definedName>
    <definedName name="dfh" hidden="1">{"'Sheet1'!$L$16"}</definedName>
    <definedName name="dfsfsd" hidden="1">{"'Sheet1'!$L$16"}</definedName>
    <definedName name="dfsgsag" hidden="1">{"'Sheet1'!$L$16"}</definedName>
    <definedName name="dgsgsg" hidden="1">{"'Sheet1'!$L$16"}</definedName>
    <definedName name="diengiai" hidden="1">{"'Sheet1'!$L$16"}</definedName>
    <definedName name="Discount" hidden="1">#REF!</definedName>
    <definedName name="display_area_2" hidden="1">#REF!</definedName>
    <definedName name="DS_Print" hidden="1">0</definedName>
    <definedName name="DTKT3" hidden="1">{"'Sheet1'!$L$16"}</definedName>
    <definedName name="DUCT" hidden="1">{#N/A,#N/A,FALSE,"Sheet1"}</definedName>
    <definedName name="dung" hidden="1">{"'Sheet1'!$L$16"}</definedName>
    <definedName name="eaf" hidden="1">{"'Sheet1'!$L$16"}</definedName>
    <definedName name="eeee" hidden="1">{"'Sheet1'!$L$16"}</definedName>
    <definedName name="eïhd" hidden="1">{"'Sheet1'!$L$16"}</definedName>
    <definedName name="etutyieyitoi" hidden="1">#REF!</definedName>
    <definedName name="eûtheí" hidden="1">{"'Sheet1'!$L$16"}</definedName>
    <definedName name="F15x30" hidden="1">{"'Sheet1'!$L$16"}</definedName>
    <definedName name="fáaafafaf" hidden="1">{"'Sheet1'!$L$16"}</definedName>
    <definedName name="fasfaga" hidden="1">{"'Sheet1'!$L$16"}</definedName>
    <definedName name="FCode" hidden="1">#REF!</definedName>
    <definedName name="FDF" hidden="1">#REF!</definedName>
    <definedName name="fdgsdf" hidden="1">{"'Sheet1'!$L$16"}</definedName>
    <definedName name="fdhfgj" hidden="1">#REF!</definedName>
    <definedName name="fdsfsdfd" hidden="1">{"'Sheet1'!$L$16"}</definedName>
    <definedName name="fdsgds" hidden="1">{"'Sheet1'!$L$16"}</definedName>
    <definedName name="ff" hidden="1">#REF!</definedName>
    <definedName name="fff" hidden="1">{"'Sheet1'!$L$16"}</definedName>
    <definedName name="fffffffffffffff" hidden="1">{"'Sheet1'!$L$16"}</definedName>
    <definedName name="fgn" hidden="1">{"'Sheet1'!$L$16"}</definedName>
    <definedName name="FILLL" hidden="1">#REF!</definedName>
    <definedName name="fsdfdsf" hidden="1">{"'Sheet1'!$L$16"}</definedName>
    <definedName name="fsf" hidden="1">{#N/A,#N/A,FALSE,"Chi tiÆt"}</definedName>
    <definedName name="GC_01" hidden="1">#REF!</definedName>
    <definedName name="GC_08" hidden="1">#REF!</definedName>
    <definedName name="GC_32" hidden="1">#REF!</definedName>
    <definedName name="GC_33" hidden="1">#REF!</definedName>
    <definedName name="GC_34" hidden="1">#REF!</definedName>
    <definedName name="GC_35" hidden="1">#REF!</definedName>
    <definedName name="GC_36" hidden="1">#REF!</definedName>
    <definedName name="GC_37" hidden="1">#REF!</definedName>
    <definedName name="GC_38" hidden="1">#REF!</definedName>
    <definedName name="GC_39" hidden="1">#REF!</definedName>
    <definedName name="GC_40" hidden="1">#REF!</definedName>
    <definedName name="GC_41" hidden="1">#REF!</definedName>
    <definedName name="GC_42" hidden="1">#REF!</definedName>
    <definedName name="GC_43" hidden="1">#REF!</definedName>
    <definedName name="GC_44" hidden="1">#REF!</definedName>
    <definedName name="GC_45" hidden="1">#REF!</definedName>
    <definedName name="GC_46" hidden="1">#REF!</definedName>
    <definedName name="GC_48" hidden="1">#REF!</definedName>
    <definedName name="GC_49" hidden="1">#REF!</definedName>
    <definedName name="GC_50" hidden="1">#REF!</definedName>
    <definedName name="GC_51" hidden="1">#REF!</definedName>
    <definedName name="GC_52" hidden="1">#REF!</definedName>
    <definedName name="GC_53" hidden="1">#REF!</definedName>
    <definedName name="GC_54" hidden="1">#REF!</definedName>
    <definedName name="GC_55" hidden="1">#REF!</definedName>
    <definedName name="GC_56" hidden="1">#REF!</definedName>
    <definedName name="GC_57" hidden="1">#REF!</definedName>
    <definedName name="GC_58" hidden="1">#REF!</definedName>
    <definedName name="GC_59" hidden="1">#REF!</definedName>
    <definedName name="GC_60" hidden="1">#REF!</definedName>
    <definedName name="GC_61" hidden="1">#REF!</definedName>
    <definedName name="GC_63" hidden="1">#REF!</definedName>
    <definedName name="GC_SS_M" hidden="1">#REF!</definedName>
    <definedName name="GC_SS_T" hidden="1">#REF!</definedName>
    <definedName name="gdafg" hidden="1">#REF!</definedName>
    <definedName name="gdfgdfgdf" hidden="1">{"'Sheet1'!$L$16"}</definedName>
    <definedName name="gdret" hidden="1">{"'Sheet1'!$L$16"}</definedName>
    <definedName name="gfg" hidden="1">{#N/A,#N/A,FALSE,"Sheet1";#N/A,#N/A,FALSE,"Sheet1";#N/A,#N/A,FALSE,"Sheet1"}</definedName>
    <definedName name="gg" hidden="1">{"'Sheet1'!$L$16"}</definedName>
    <definedName name="ggg" hidden="1">#N/A</definedName>
    <definedName name="gggg" hidden="1">{"'Sheet1'!$L$16"}</definedName>
    <definedName name="ghdfghdfg" hidden="1">{"'Sheet1'!$L$16"}</definedName>
    <definedName name="GHJK" hidden="1">{"'Sheet1'!$L$16"}</definedName>
    <definedName name="gÎ" hidden="1">#REF!</definedName>
    <definedName name="groltyipiuop" hidden="1">#REF!</definedName>
    <definedName name="GTM" hidden="1">{"'Sheet1'!$L$16"}</definedName>
    <definedName name="h" hidden="1">{"'Sheet1'!$L$16"}</definedName>
    <definedName name="h_xoa" hidden="1">{"'Sheet1'!$L$16"}</definedName>
    <definedName name="h_xoa2" hidden="1">{"'Sheet1'!$L$16"}</definedName>
    <definedName name="hai" hidden="1">{"'Sheet1'!$L$16"}</definedName>
    <definedName name="han" hidden="1">#REF!</definedName>
    <definedName name="HCBA" hidden="1">{"'Sheet1'!$L$16"}</definedName>
    <definedName name="HCBE" hidden="1">{"'Sheet1'!$L$16"}</definedName>
    <definedName name="HCBN" hidden="1">{"'Sheet1'!$L$16"}</definedName>
    <definedName name="HCNA" hidden="1">{"'Sheet1'!$L$16"}</definedName>
    <definedName name="HEHA" hidden="1">{"'Sheet1'!$L$16"}</definedName>
    <definedName name="hg" hidden="1">{"'Sheet1'!$L$16"}</definedName>
    <definedName name="HG_78" hidden="1">#REF!</definedName>
    <definedName name="hghugugilu" hidden="1">{"'Sheet1'!$L$16"}</definedName>
    <definedName name="hgjhkjkjgryjefjyjkhju" hidden="1">{"'Sheet1'!$L$16"}</definedName>
    <definedName name="HGI_01" hidden="1">#REF!</definedName>
    <definedName name="HGI_02" hidden="1">#REF!</definedName>
    <definedName name="HiddenRows" hidden="1">#REF!</definedName>
    <definedName name="hodaoG11" hidden="1">{"'Sheet1'!$L$16"}</definedName>
    <definedName name="htlm" hidden="1">{"'Sheet1'!$L$16"}</definedName>
    <definedName name="html" hidden="1">{"'Sheet1'!$L$16"}</definedName>
    <definedName name="HTML_C" hidden="1">{"'Sheet1'!$L$16"}</definedName>
    <definedName name="HTML_CodePage" hidden="1">950</definedName>
    <definedName name="HTML_Control" hidden="1">{"'Sheet1'!$L$16"}</definedName>
    <definedName name="html_control_xoa2" hidden="1">{"'Sheet1'!$L$16"}</definedName>
    <definedName name="HTML_D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" hidden="1">{"'Sheet1'!$L$16"}</definedName>
    <definedName name="hue" hidden="1">{"'Sheet1'!$L$16"}</definedName>
    <definedName name="hui" hidden="1">{"'Sheet1'!$L$16"}</definedName>
    <definedName name="HUNG" hidden="1">{#N/A,#N/A,FALSE,"Chi tiÆt"}</definedName>
    <definedName name="huy" hidden="1">{"'Sheet1'!$L$16"}</definedName>
    <definedName name="huy_xoa" hidden="1">{"'Sheet1'!$L$16"}</definedName>
    <definedName name="huy_xoa2" hidden="1">{"'Sheet1'!$L$16"}</definedName>
    <definedName name="hy" hidden="1">{"'Sheet1'!$L$16"}</definedName>
    <definedName name="IPC_Tygia" hidden="1">21090</definedName>
    <definedName name="jæít" hidden="1">{"'Sheet1'!$L$16"}</definedName>
    <definedName name="k" hidden="1">{"'Sheet1'!$L$16"}</definedName>
    <definedName name="k_xoa" hidden="1">{"Offgrid",#N/A,FALSE,"OFFGRID";"Region",#N/A,FALSE,"REGION";"Offgrid -2",#N/A,FALSE,"OFFGRID";"WTP",#N/A,FALSE,"WTP";"WTP -2",#N/A,FALSE,"WTP";"Project",#N/A,FALSE,"PROJECT";"Summary -2",#N/A,FALSE,"SUMMARY"}</definedName>
    <definedName name="k_xoa2" hidden="1">{"Offgrid",#N/A,FALSE,"OFFGRID";"Region",#N/A,FALSE,"REGION";"Offgrid -2",#N/A,FALSE,"OFFGRID";"WTP",#N/A,FALSE,"WTP";"WTP -2",#N/A,FALSE,"WTP";"Project",#N/A,FALSE,"PROJECT";"Summary -2",#N/A,FALSE,"SUMMARY"}</definedName>
    <definedName name="kg_m2" hidden="1">#REF!</definedName>
    <definedName name="ks" hidden="1">{"'Sheet1'!$L$16"}</definedName>
    <definedName name="ksbn" hidden="1">{"'Sheet1'!$L$16"}</definedName>
    <definedName name="KSDA" hidden="1">{"'Sheet1'!$L$16"}</definedName>
    <definedName name="kshn" hidden="1">{"'Sheet1'!$L$16"}</definedName>
    <definedName name="ksls" hidden="1">{"'Sheet1'!$L$16"}</definedName>
    <definedName name="Khanh" hidden="1">{"'Sheet1'!$L$16"}</definedName>
    <definedName name="khongtruotgia" hidden="1">{"'Sheet1'!$L$16"}</definedName>
    <definedName name="khvtlc" hidden="1">{"'Sheet1'!$L$16"}</definedName>
    <definedName name="lam" hidden="1">{"'Sheet1'!$L$16"}</definedName>
    <definedName name="langson" hidden="1">{"'Sheet1'!$L$16"}</definedName>
    <definedName name="lieu" hidden="1">{"'Sheet1'!$L$16"}</definedName>
    <definedName name="limcount" hidden="1">13</definedName>
    <definedName name="loan" hidden="1">{"Offgrid",#N/A,FALSE,"OFFGRID";"Region",#N/A,FALSE,"REGION";"Offgrid -2",#N/A,FALSE,"OFFGRID";"WTP",#N/A,FALSE,"WTP";"WTP -2",#N/A,FALSE,"WTP";"Project",#N/A,FALSE,"PROJECT";"Summary -2",#N/A,FALSE,"SUMMARY"}</definedName>
    <definedName name="Long" hidden="1">{"'Sheet1'!$L$16"}</definedName>
    <definedName name="mai" hidden="1">{"'Sheet1'!$L$16"}</definedName>
    <definedName name="mo" hidden="1">{"'Sheet1'!$L$16"}</definedName>
    <definedName name="moi" hidden="1">{"'Sheet1'!$L$16"}</definedName>
    <definedName name="n" hidden="1">#REF!</definedName>
    <definedName name="nam" hidden="1">{"'Sheet1'!$L$16"}</definedName>
    <definedName name="Ne" hidden="1">{"'Sheet1'!$L$16"}</definedName>
    <definedName name="new" hidden="1">{"'Sheet1'!$L$16"}</definedName>
    <definedName name="NEWNAME" hidden="1">{#N/A,#N/A,FALSE,"CCTV"}</definedName>
    <definedName name="nnn" hidden="1">{"'Sheet1'!$L$16"}</definedName>
    <definedName name="ngu" hidden="1">{"'Sheet1'!$L$16"}</definedName>
    <definedName name="nhjk" hidden="1">{"'Sheet1'!$L$16"}</definedName>
    <definedName name="OrderTable" hidden="1">#REF!</definedName>
    <definedName name="PKTN." hidden="1">{"'Sheet1'!$L$16"}</definedName>
    <definedName name="PlucBcaoTD" hidden="1">{"'Sheet1'!$L$16"}</definedName>
    <definedName name="PowerUser" hidden="1">"SuperAdmin"</definedName>
    <definedName name="preparation" hidden="1">{"'Sheet1'!$L$16"}</definedName>
    <definedName name="_xlnm.Print_Area" localSheetId="0">'Bảng THQT'!$A$1:$AA$70</definedName>
    <definedName name="_xlnm.Print_Area" localSheetId="2">'Km83+720'!$A$1:$AN$372</definedName>
    <definedName name="_xlnm.Print_Area" localSheetId="3">'Km83+780)'!$A$1:$AN$373</definedName>
    <definedName name="_xlnm.Print_Area" localSheetId="4">'Km83+860'!$A$1:$AN$349</definedName>
    <definedName name="_xlnm.Print_Area" localSheetId="5">'Km83+900'!$A$1:$AN$349</definedName>
    <definedName name="_xlnm.Print_Area" localSheetId="6">'Km83+940'!$A$1:$AN$341</definedName>
    <definedName name="_xlnm.Print_Area" localSheetId="7">'Km83+980'!$A$1:$AN$340</definedName>
    <definedName name="_xlnm.Print_Area" localSheetId="1">'TH LÚN'!$A$1:$AF$69</definedName>
    <definedName name="_xlnm.Print_Titles" localSheetId="0">'Bảng THQT'!$10:$11</definedName>
    <definedName name="_xlnm.Print_Titles" localSheetId="1">'TH LÚN'!$10:$11</definedName>
    <definedName name="ProdForm" hidden="1">#REF!</definedName>
    <definedName name="Product" hidden="1">#REF!</definedName>
    <definedName name="ptht" hidden="1">{"'Sheet1'!$L$16"}</definedName>
    <definedName name="phai" hidden="1">{"'Sheet1'!$L$16"}</definedName>
    <definedName name="Phßng" hidden="1">{"'Sheet1'!$L$16"}</definedName>
    <definedName name="q" hidden="1">{"'Sheet1'!$L$16"}</definedName>
    <definedName name="qwaz" hidden="1">{"'Sheet1'!$L$16"}</definedName>
    <definedName name="Ranhxay" hidden="1">{"'Sheet1'!$L$16"}</definedName>
    <definedName name="RCArea" hidden="1">#REF!</definedName>
    <definedName name="reqtqwetrt" hidden="1">#REF!</definedName>
    <definedName name="rggsg" hidden="1">{"'Sheet1'!$L$16"}</definedName>
    <definedName name="sa" hidden="1">{"'Sheet1'!$L$16"}</definedName>
    <definedName name="sad" hidden="1">{"'Sheet1'!$L$16"}</definedName>
    <definedName name="sasas" hidden="1">{"'Sheet1'!$L$16"}</definedName>
    <definedName name="sdf" hidden="1">{"'Sheet1'!$L$16"}</definedName>
    <definedName name="sdfsdfsd" hidden="1">{"'Sheet1'!$L$16"}</definedName>
    <definedName name="sencount" hidden="1">1</definedName>
    <definedName name="sfsd" hidden="1">{"'Sheet1'!$L$16"}</definedName>
    <definedName name="sfsdg" hidden="1">{"'Sheet1'!$L$16"}</definedName>
    <definedName name="sgfhsdhe" hidden="1">{"'Sheet1'!$L$16"}</definedName>
    <definedName name="sgsdg" hidden="1">{"'Sheet1'!$L$16"}</definedName>
    <definedName name="Sheet2" hidden="1">{#N/A,#N/A,FALSE,"Sheet1"}</definedName>
    <definedName name="sheet3" hidden="1">{#N/A,#N/A,FALSE,"Sheet1"}</definedName>
    <definedName name="sÎee" hidden="1">{"'Sheet1'!$L$16"}</definedName>
    <definedName name="SpecialPrice" hidden="1">#REF!</definedName>
    <definedName name="SS" hidden="1">{"'Sheet1'!$L$16"}</definedName>
    <definedName name="sss" hidden="1">{#N/A,#N/A,FALSE,"전력간선"}</definedName>
    <definedName name="T.3" hidden="1">{"'Sheet1'!$L$16"}</definedName>
    <definedName name="t149tc" hidden="1">{"'Sheet1'!$L$16"}</definedName>
    <definedName name="tbao" hidden="1">{"'Sheet1'!$L$16"}</definedName>
    <definedName name="tbl_ProdInfo" hidden="1">#REF!</definedName>
    <definedName name="tghj" hidden="1">{"'Sheet1'!$L$16"}</definedName>
    <definedName name="TLVL" hidden="1">{"'Sheet1'!$L$16"}</definedName>
    <definedName name="TM" hidden="1">{"'Sheet1'!$L$16"}</definedName>
    <definedName name="tt" hidden="1">{"'Sheet1'!$L$16"}</definedName>
    <definedName name="TT_11" hidden="1">#REF!</definedName>
    <definedName name="TT_12" hidden="1">#REF!</definedName>
    <definedName name="TT_13" hidden="1">#REF!</definedName>
    <definedName name="TT_14" hidden="1">#REF!</definedName>
    <definedName name="TT_15" hidden="1">#REF!</definedName>
    <definedName name="TT_16" hidden="1">#REF!</definedName>
    <definedName name="TT_17" hidden="1">#REF!</definedName>
    <definedName name="TT_31" hidden="1">#REF!</definedName>
    <definedName name="TT_32" hidden="1">#REF!</definedName>
    <definedName name="TTSC" hidden="1">{"'Sheet1'!$L$16"}</definedName>
    <definedName name="TU" hidden="1">{"'Sheet1'!$L$16"}</definedName>
    <definedName name="Tuong" hidden="1">{"'Sheet1'!$L$16"}</definedName>
    <definedName name="tuyennhanh" hidden="1">{"'Sheet1'!$L$16"}</definedName>
    <definedName name="tuynen" hidden="1">{"'Sheet1'!$L$16"}</definedName>
    <definedName name="tyêurtu" hidden="1">#REF!</definedName>
    <definedName name="tyu" hidden="1">{"'Sheet1'!$L$16"}</definedName>
    <definedName name="tha" hidden="1">{"'Sheet1'!$L$16"}</definedName>
    <definedName name="thang" hidden="1">{"'Sheet1'!$L$16"}</definedName>
    <definedName name="Thang1" hidden="1">{"'Sheet1'!$L$16"}</definedName>
    <definedName name="thang10" hidden="1">{"'Sheet1'!$L$16"}</definedName>
    <definedName name="THANH" hidden="1">{"'Sheet1'!$L$16"}</definedName>
    <definedName name="THC" hidden="1">{"'Sheet1'!$L$16"}</definedName>
    <definedName name="THCP2" hidden="1">{"'Sheet1'!$L$16"}</definedName>
    <definedName name="thcp21" hidden="1">{"'Sheet1'!$L$16"}</definedName>
    <definedName name="THCPCTD" hidden="1">{"'Sheet1'!$L$16"}</definedName>
    <definedName name="THHD" hidden="1">{"'Sheet1'!$L$16"}</definedName>
    <definedName name="THHVT" hidden="1">{"'Sheet1'!$L$16"}</definedName>
    <definedName name="THLeloi" hidden="1">{"'Sheet1'!$L$16"}</definedName>
    <definedName name="THNgHue" hidden="1">{"'Sheet1'!$L$16"}</definedName>
    <definedName name="THNgThHoc" hidden="1">{"'Sheet1'!$L$16"}</definedName>
    <definedName name="THQuiCapChan" hidden="1">{"'Sheet1'!$L$16"}</definedName>
    <definedName name="thQuicaple" hidden="1">{"'Sheet1'!$L$16"}</definedName>
    <definedName name="THTranPhu" hidden="1">{"'Sheet1'!$L$16"}</definedName>
    <definedName name="thu" hidden="1">{"'Sheet1'!$L$16"}</definedName>
    <definedName name="thuy" hidden="1">{"'Sheet1'!$L$16"}</definedName>
    <definedName name="uip" hidden="1">#REF!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o" hidden="1">#REF!</definedName>
    <definedName name="uyi" hidden="1">{"'Sheet1'!$L$16"}</definedName>
    <definedName name="ưeruwriuyo" hidden="1">#REF!</definedName>
    <definedName name="ửtuweriewtyio" hidden="1">#REF!</definedName>
    <definedName name="v" hidden="1">{#N/A,#N/A,FALSE,"Chi tiÆt"}</definedName>
    <definedName name="VaDate" hidden="1">#REF!</definedName>
    <definedName name="VarDate" hidden="1">#REF!</definedName>
    <definedName name="VATM" hidden="1">{"'Sheet1'!$L$16"}</definedName>
    <definedName name="vcoto" hidden="1">{"'Sheet1'!$L$16"}</definedName>
    <definedName name="vlct" hidden="1">{"'Sheet1'!$L$16"}</definedName>
    <definedName name="VLP" hidden="1">{"'Sheet1'!$L$16"}</definedName>
    <definedName name="vzdxvd" hidden="1">{"'Sheet1'!$L$16"}</definedName>
    <definedName name="wjsr" hidden="1">#REF!</definedName>
    <definedName name="WRITE" hidden="1">{#N/A,#N/A,FALSE,"CCTV"}</definedName>
    <definedName name="wrn.97년._.사업계획._.및._.예산지침." hidden="1">{#N/A,#N/A,TRUE,"1";#N/A,#N/A,TRUE,"2";#N/A,#N/A,TRUE,"3";#N/A,#N/A,TRUE,"4";#N/A,#N/A,TRUE,"5";#N/A,#N/A,TRUE,"6";#N/A,#N/A,TRUE,"7"}</definedName>
    <definedName name="wrn.aaa" hidden="1">{#N/A,#N/A,FALSE,"Sheet1";#N/A,#N/A,FALSE,"Sheet1";#N/A,#N/A,FALSE,"Sheet1"}</definedName>
    <definedName name="wrn.aaa." hidden="1">{#N/A,#N/A,FALSE,"Sheet1";#N/A,#N/A,FALSE,"Sheet1";#N/A,#N/A,FALSE,"Sheet1"}</definedName>
    <definedName name="wrn.BM." hidden="1">{#N/A,#N/A,FALSE,"CCTV"}</definedName>
    <definedName name="wrn.cong." hidden="1">{#N/A,#N/A,FALSE,"Sheet1"}</definedName>
    <definedName name="wrn.chi._.tiÆt." hidden="1">{#N/A,#N/A,FALSE,"Chi tiÆt"}</definedName>
    <definedName name="wrn.re_xoa2" hidden="1">{"Offgrid",#N/A,FALSE,"OFFGRID";"Region",#N/A,FALSE,"REGION";"Offgrid -2",#N/A,FALSE,"OFFGRID";"WTP",#N/A,FALSE,"WTP";"WTP -2",#N/A,FALSE,"WTP";"Project",#N/A,FALSE,"PROJECT";"Summary -2",#N/A,FALSE,"SUMMARY"}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vd." hidden="1">{#N/A,#N/A,TRUE,"BT M200 da 10x20"}</definedName>
    <definedName name="wrn.건설기계사업소._.상반기보고." hidden="1">{#N/A,#N/A,FALSE,"사업총괄";#N/A,#N/A,FALSE,"장비사업";#N/A,#N/A,FALSE,"철구사업";#N/A,#N/A,FALSE,"준설사업"}</definedName>
    <definedName name="wrn.교육청." hidden="1">{#N/A,#N/A,FALSE,"전력간선"}</definedName>
    <definedName name="wrn.교육청.1" hidden="1">{#N/A,#N/A,FALSE,"전력간선"}</definedName>
    <definedName name="wrn.구조2." hidden="1">{#N/A,#N/A,FALSE,"구조2"}</definedName>
    <definedName name="wrn.배수1." hidden="1">{#N/A,#N/A,FALSE,"배수1"}</definedName>
    <definedName name="wrn.배수2." hidden="1">{#N/A,#N/A,FALSE,"배수2"}</definedName>
    <definedName name="wrn.변경예산." hidden="1">{#N/A,#N/A,FALSE,"변경관리예산";#N/A,#N/A,FALSE,"변경장비예산";#N/A,#N/A,FALSE,"변경준설예산";#N/A,#N/A,FALSE,"변경철구예산"}</definedName>
    <definedName name="wrn.부대1." hidden="1">{#N/A,#N/A,FALSE,"부대1"}</definedName>
    <definedName name="wrn.부대2." hidden="1">{#N/A,#N/A,FALSE,"부대2"}</definedName>
    <definedName name="wrn.사업현황." hidden="1">{#N/A,#N/A,FALSE,"표지";#N/A,#N/A,FALSE,"조직표";#N/A,#N/A,FALSE,"정직원인원";#N/A,#N/A,FALSE,"사업계획";#N/A,#N/A,FALSE,"부동산";#N/A,#N/A,FALSE,"장비현황";#N/A,#N/A,FALSE,"장비가동";#N/A,#N/A,FALSE,"매각장비";#N/A,#N/A,FALSE,"철구제작";#N/A,#N/A,FALSE,"철구수주";#N/A,#N/A,FALSE,"철구시설";#N/A,#N/A,FALSE,"준설장비";#N/A,#N/A,FALSE,"준설수량";#N/A,#N/A,FALSE,"골재인원";#N/A,#N/A,FALSE,"골재손익";#N/A,#N/A,FALSE,"노조현황"}</definedName>
    <definedName name="wrn.속도." hidden="1">{#N/A,#N/A,FALSE,"속도"}</definedName>
    <definedName name="wrn.예상손익." hidden="1">{#N/A,#N/A,FALSE,"예상손익";#N/A,#N/A,FALSE,"관리분석";#N/A,#N/A,FALSE,"장비분석";#N/A,#N/A,FALSE,"준설분석";#N/A,#N/A,FALSE,"철구분석"}</definedName>
    <definedName name="wrn.이정표." hidden="1">{#N/A,#N/A,FALSE,"이정표"}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." hidden="1">{#N/A,#N/A,FALSE,"표지"}</definedName>
    <definedName name="wrn_xoa2" hidden="1">{#N/A,#N/A,FALSE,"Chi tiÆt"}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nf_xoa2" hidden="1">{"Offgrid",#N/A,FALSE,"OFFGRID";"Region",#N/A,FALSE,"REGION";"Offgrid -2",#N/A,FALSE,"OFFGRID";"WTP",#N/A,FALSE,"WTP";"WTP -2",#N/A,FALSE,"WTP";"Project",#N/A,FALSE,"PROJECT";"Summary -2",#N/A,FALSE,"SUMMARY"}</definedName>
    <definedName name="xlttbninh" hidden="1">{"'Sheet1'!$L$16"}</definedName>
    <definedName name="xoa1" hidden="1">{"'Sheet1'!$L$16"}</definedName>
    <definedName name="xoa2" hidden="1">{#N/A,#N/A,FALSE,"Chi tiÆt"}</definedName>
    <definedName name="xoa3" hidden="1">{"Offgrid",#N/A,FALSE,"OFFGRID";"Region",#N/A,FALSE,"REGION";"Offgrid -2",#N/A,FALSE,"OFFGRID";"WTP",#N/A,FALSE,"WTP";"WTP -2",#N/A,FALSE,"WTP";"Project",#N/A,FALSE,"PROJECT";"Summary -2",#N/A,FALSE,"SUMMARY"}</definedName>
    <definedName name="xoa4" hidden="1">{"Offgrid",#N/A,FALSE,"OFFGRID";"Region",#N/A,FALSE,"REGION";"Offgrid -2",#N/A,FALSE,"OFFGRID";"WTP",#N/A,FALSE,"WTP";"WTP -2",#N/A,FALSE,"WTP";"Project",#N/A,FALSE,"PROJECT";"Summary -2",#N/A,FALSE,"SUMMARY"}</definedName>
    <definedName name="xvxcvxc" hidden="1">{"'Sheet1'!$L$16"}</definedName>
    <definedName name="yhyhulhjhjkh" hidden="1">{"'Sheet1'!$L$16"}</definedName>
    <definedName name="Z_B6D82DE0_6701_11DA_9820_00304F1E4471_.wvu.Cols" hidden="1">#REF!</definedName>
    <definedName name="ZXzX" hidden="1">{"'Sheet1'!$L$16"}</definedName>
    <definedName name="견적SHEET" hidden="1">{#N/A,#N/A,FALSE,"CCTV"}</definedName>
    <definedName name="공" hidden="1">{#N/A,#N/A,FALSE,"Sheet1"}</definedName>
    <definedName name="공사비" hidden="1">{#N/A,#N/A,FALSE,"전력간선"}</definedName>
    <definedName name="기계주차" hidden="1">{#N/A,#N/A,FALSE,"CCTV"}</definedName>
    <definedName name="ㄴㄷㄹ" hidden="1">{#N/A,#N/A,FALSE,"Sheet1"}</definedName>
    <definedName name="ㄷㄳ" hidden="1">{#N/A,#N/A,FALSE,"Sheet1"}</definedName>
    <definedName name="단ㄱ" hidden="1">{#N/A,#N/A,FALSE,"전력간선"}</definedName>
    <definedName name="ㅁㄴㄹ" hidden="1">{#N/A,#N/A,FALSE,"전력간선"}</definedName>
    <definedName name="ㅁㄻ" hidden="1">{#N/A,#N/A,FALSE,"Sheet1"}</definedName>
    <definedName name="ㅁㅁㅁㅁㅁㅁ" hidden="1">#REF!</definedName>
    <definedName name="ㅁㅎㅁ" hidden="1">{#N/A,#N/A,FALSE,"Sheet1"}</definedName>
    <definedName name="ㅂㅂ" hidden="1">{#N/A,#N/A,FALSE,"표지"}</definedName>
    <definedName name="ㅂㅈ" hidden="1">{#N/A,#N/A,TRUE,"1";#N/A,#N/A,TRUE,"2";#N/A,#N/A,TRUE,"3";#N/A,#N/A,TRUE,"4";#N/A,#N/A,TRUE,"5";#N/A,#N/A,TRUE,"6";#N/A,#N/A,TRUE,"7"}</definedName>
    <definedName name="바붕" hidden="1">{#N/A,#N/A,FALSE,"전력간선"}</definedName>
    <definedName name="배기덕트공사" hidden="1">{#N/A,#N/A,FALSE,"CCTV"}</definedName>
    <definedName name="부대원본" hidden="1">{#N/A,#N/A,FALSE,"토공2"}</definedName>
    <definedName name="ㅇㄴㄹ" hidden="1">{#N/A,#N/A,FALSE,"Sheet1"}</definedName>
    <definedName name="ㅇㄴㄿ" hidden="1">{#N/A,#N/A,FALSE,"CCTV"}</definedName>
    <definedName name="아싸" hidden="1">{#N/A,#N/A,FALSE,"CCTV"}</definedName>
    <definedName name="업체" hidden="1">#REF!</definedName>
    <definedName name="이릉" hidden="1">#REF!</definedName>
    <definedName name="자재단가근거" hidden="1">#REF!</definedName>
    <definedName name="전기산출" hidden="1">#REF!</definedName>
    <definedName name="전기산출내역" hidden="1">#REF!</definedName>
    <definedName name="철근량" hidden="1">{#N/A,#N/A,FALSE,"전력간선"}</definedName>
    <definedName name="총공사비2" hidden="1">{#N/A,#N/A,FALSE,"전력간선"}</definedName>
    <definedName name="켐온건축" hidden="1">{#N/A,#N/A,FALSE,"CCTV"}</definedName>
    <definedName name="토목" hidden="1">{#N/A,#N/A,FALSE,"CCTV"}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3" i="70" l="1"/>
  <c r="C233" i="70"/>
  <c r="C234" i="70" s="1"/>
  <c r="E234" i="70" s="1"/>
  <c r="D233" i="70"/>
  <c r="P233" i="70"/>
  <c r="K233" i="70" s="1"/>
  <c r="Q233" i="70"/>
  <c r="R233" i="70"/>
  <c r="S233" i="70"/>
  <c r="T233" i="70"/>
  <c r="O233" i="70" s="1"/>
  <c r="U233" i="70"/>
  <c r="Y233" i="70"/>
  <c r="AE233" i="70"/>
  <c r="AI233" i="70"/>
  <c r="AL233" i="70"/>
  <c r="AL234" i="70" s="1"/>
  <c r="B234" i="70"/>
  <c r="D234" i="70"/>
  <c r="Q234" i="70"/>
  <c r="R234" i="70"/>
  <c r="S234" i="70"/>
  <c r="T234" i="70"/>
  <c r="O234" i="70" s="1"/>
  <c r="U234" i="70"/>
  <c r="Y234" i="70"/>
  <c r="AE234" i="70"/>
  <c r="AI234" i="70"/>
  <c r="B217" i="70"/>
  <c r="C217" i="70"/>
  <c r="E217" i="70" s="1"/>
  <c r="D217" i="70"/>
  <c r="P217" i="70"/>
  <c r="K217" i="70" s="1"/>
  <c r="Q217" i="70"/>
  <c r="R217" i="70"/>
  <c r="S217" i="70"/>
  <c r="T217" i="70"/>
  <c r="O217" i="70" s="1"/>
  <c r="U217" i="70"/>
  <c r="Y217" i="70"/>
  <c r="AE217" i="70"/>
  <c r="AI217" i="70"/>
  <c r="AL217" i="70"/>
  <c r="AL218" i="70" s="1"/>
  <c r="AL219" i="70" s="1"/>
  <c r="AL220" i="70" s="1"/>
  <c r="AL221" i="70" s="1"/>
  <c r="AL222" i="70" s="1"/>
  <c r="AL223" i="70" s="1"/>
  <c r="AL224" i="70" s="1"/>
  <c r="AL225" i="70" s="1"/>
  <c r="AL226" i="70" s="1"/>
  <c r="AL227" i="70" s="1"/>
  <c r="AL228" i="70" s="1"/>
  <c r="AL229" i="70" s="1"/>
  <c r="AL230" i="70" s="1"/>
  <c r="AL231" i="70" s="1"/>
  <c r="AL232" i="70" s="1"/>
  <c r="B218" i="70"/>
  <c r="C218" i="70"/>
  <c r="D218" i="70"/>
  <c r="E218" i="70" s="1"/>
  <c r="Q218" i="70"/>
  <c r="R218" i="70"/>
  <c r="S218" i="70"/>
  <c r="T218" i="70"/>
  <c r="O218" i="70" s="1"/>
  <c r="U218" i="70"/>
  <c r="Y218" i="70"/>
  <c r="Y219" i="70" s="1"/>
  <c r="Y220" i="70" s="1"/>
  <c r="Y221" i="70" s="1"/>
  <c r="Y222" i="70" s="1"/>
  <c r="Y223" i="70" s="1"/>
  <c r="Y224" i="70" s="1"/>
  <c r="Y225" i="70" s="1"/>
  <c r="Y226" i="70" s="1"/>
  <c r="Y227" i="70" s="1"/>
  <c r="Y228" i="70" s="1"/>
  <c r="Y229" i="70" s="1"/>
  <c r="Y230" i="70" s="1"/>
  <c r="Y231" i="70" s="1"/>
  <c r="Y232" i="70" s="1"/>
  <c r="AE218" i="70"/>
  <c r="AI218" i="70"/>
  <c r="B219" i="70"/>
  <c r="B220" i="70" s="1"/>
  <c r="B221" i="70" s="1"/>
  <c r="B222" i="70" s="1"/>
  <c r="B223" i="70" s="1"/>
  <c r="B224" i="70" s="1"/>
  <c r="B225" i="70" s="1"/>
  <c r="B226" i="70" s="1"/>
  <c r="B227" i="70" s="1"/>
  <c r="B228" i="70" s="1"/>
  <c r="B229" i="70" s="1"/>
  <c r="B230" i="70" s="1"/>
  <c r="B231" i="70" s="1"/>
  <c r="B232" i="70" s="1"/>
  <c r="C219" i="70"/>
  <c r="E219" i="70" s="1"/>
  <c r="D219" i="70"/>
  <c r="R219" i="70"/>
  <c r="S219" i="70"/>
  <c r="T219" i="70"/>
  <c r="U219" i="70"/>
  <c r="AE219" i="70"/>
  <c r="AE220" i="70" s="1"/>
  <c r="AE221" i="70" s="1"/>
  <c r="AE222" i="70" s="1"/>
  <c r="AE223" i="70" s="1"/>
  <c r="AE224" i="70" s="1"/>
  <c r="AE225" i="70" s="1"/>
  <c r="AE226" i="70" s="1"/>
  <c r="AE227" i="70" s="1"/>
  <c r="AE228" i="70" s="1"/>
  <c r="AE229" i="70" s="1"/>
  <c r="AE230" i="70" s="1"/>
  <c r="AE231" i="70" s="1"/>
  <c r="AE232" i="70" s="1"/>
  <c r="AI219" i="70"/>
  <c r="C220" i="70"/>
  <c r="E220" i="70" s="1"/>
  <c r="D220" i="70"/>
  <c r="S220" i="70"/>
  <c r="T220" i="70"/>
  <c r="U220" i="70"/>
  <c r="AI220" i="70"/>
  <c r="D221" i="70"/>
  <c r="D222" i="70" s="1"/>
  <c r="D223" i="70" s="1"/>
  <c r="D224" i="70" s="1"/>
  <c r="D225" i="70" s="1"/>
  <c r="D226" i="70" s="1"/>
  <c r="D227" i="70" s="1"/>
  <c r="D228" i="70" s="1"/>
  <c r="D229" i="70" s="1"/>
  <c r="D230" i="70" s="1"/>
  <c r="D231" i="70" s="1"/>
  <c r="D232" i="70" s="1"/>
  <c r="T221" i="70"/>
  <c r="U221" i="70"/>
  <c r="AI221" i="70"/>
  <c r="U222" i="70"/>
  <c r="U223" i="70" s="1"/>
  <c r="U224" i="70" s="1"/>
  <c r="U225" i="70" s="1"/>
  <c r="U226" i="70" s="1"/>
  <c r="U227" i="70" s="1"/>
  <c r="U228" i="70" s="1"/>
  <c r="U229" i="70" s="1"/>
  <c r="U230" i="70" s="1"/>
  <c r="U231" i="70" s="1"/>
  <c r="U232" i="70" s="1"/>
  <c r="AI222" i="70"/>
  <c r="AI223" i="70"/>
  <c r="AI224" i="70" s="1"/>
  <c r="AI225" i="70" s="1"/>
  <c r="AI226" i="70" s="1"/>
  <c r="AI227" i="70" s="1"/>
  <c r="AI228" i="70" s="1"/>
  <c r="AI229" i="70" s="1"/>
  <c r="AI230" i="70" s="1"/>
  <c r="AI231" i="70" s="1"/>
  <c r="AI232" i="70" s="1"/>
  <c r="AA273" i="62"/>
  <c r="AB273" i="62"/>
  <c r="AC273" i="62"/>
  <c r="AD273" i="62"/>
  <c r="AA269" i="62"/>
  <c r="AB269" i="62"/>
  <c r="AC269" i="62"/>
  <c r="AD269" i="62"/>
  <c r="AA268" i="35"/>
  <c r="AB268" i="35"/>
  <c r="AC268" i="35"/>
  <c r="AD268" i="35"/>
  <c r="F234" i="70" l="1"/>
  <c r="J234" i="70"/>
  <c r="P234" i="70"/>
  <c r="K234" i="70" s="1"/>
  <c r="E233" i="70"/>
  <c r="J219" i="70"/>
  <c r="O220" i="70"/>
  <c r="O221" i="70"/>
  <c r="J218" i="70"/>
  <c r="O219" i="70"/>
  <c r="J217" i="70"/>
  <c r="F217" i="70"/>
  <c r="J220" i="70"/>
  <c r="T222" i="70"/>
  <c r="S221" i="70"/>
  <c r="C221" i="70"/>
  <c r="R220" i="70"/>
  <c r="Q219" i="70"/>
  <c r="P218" i="70"/>
  <c r="J233" i="70" l="1"/>
  <c r="F233" i="70"/>
  <c r="K218" i="70"/>
  <c r="F218" i="70" s="1"/>
  <c r="P219" i="70"/>
  <c r="Q220" i="70"/>
  <c r="R221" i="70"/>
  <c r="C222" i="70"/>
  <c r="E221" i="70"/>
  <c r="S222" i="70"/>
  <c r="O222" i="70"/>
  <c r="T223" i="70"/>
  <c r="J221" i="70" l="1"/>
  <c r="R222" i="70"/>
  <c r="T224" i="70"/>
  <c r="O223" i="70"/>
  <c r="S223" i="70"/>
  <c r="P220" i="70"/>
  <c r="K219" i="70"/>
  <c r="F219" i="70" s="1"/>
  <c r="C223" i="70"/>
  <c r="E222" i="70"/>
  <c r="Q221" i="70"/>
  <c r="Q222" i="70" l="1"/>
  <c r="T225" i="70"/>
  <c r="O224" i="70"/>
  <c r="C224" i="70"/>
  <c r="E223" i="70"/>
  <c r="R223" i="70"/>
  <c r="J222" i="70"/>
  <c r="P221" i="70"/>
  <c r="K220" i="70"/>
  <c r="F220" i="70" s="1"/>
  <c r="S224" i="70"/>
  <c r="S225" i="70" l="1"/>
  <c r="J223" i="70"/>
  <c r="T226" i="70"/>
  <c r="O225" i="70"/>
  <c r="R224" i="70"/>
  <c r="C225" i="70"/>
  <c r="E224" i="70"/>
  <c r="P222" i="70"/>
  <c r="K221" i="70"/>
  <c r="F221" i="70" s="1"/>
  <c r="Q223" i="70"/>
  <c r="Q224" i="70" l="1"/>
  <c r="T227" i="70"/>
  <c r="O226" i="70"/>
  <c r="P223" i="70"/>
  <c r="K222" i="70"/>
  <c r="F222" i="70" s="1"/>
  <c r="J224" i="70"/>
  <c r="C226" i="70"/>
  <c r="E225" i="70"/>
  <c r="R225" i="70"/>
  <c r="S226" i="70"/>
  <c r="S227" i="70" l="1"/>
  <c r="K223" i="70"/>
  <c r="F223" i="70" s="1"/>
  <c r="P224" i="70"/>
  <c r="E226" i="70"/>
  <c r="C227" i="70"/>
  <c r="R226" i="70"/>
  <c r="O227" i="70"/>
  <c r="T228" i="70"/>
  <c r="J225" i="70"/>
  <c r="Q225" i="70"/>
  <c r="R227" i="70" l="1"/>
  <c r="J226" i="70"/>
  <c r="K224" i="70"/>
  <c r="F224" i="70" s="1"/>
  <c r="P225" i="70"/>
  <c r="E227" i="70"/>
  <c r="C228" i="70"/>
  <c r="O228" i="70"/>
  <c r="T229" i="70"/>
  <c r="S228" i="70"/>
  <c r="Q226" i="70"/>
  <c r="E228" i="70" l="1"/>
  <c r="C229" i="70"/>
  <c r="S229" i="70"/>
  <c r="J227" i="70"/>
  <c r="O229" i="70"/>
  <c r="T230" i="70"/>
  <c r="Q227" i="70"/>
  <c r="K225" i="70"/>
  <c r="F225" i="70" s="1"/>
  <c r="P226" i="70"/>
  <c r="R228" i="70"/>
  <c r="S230" i="70" l="1"/>
  <c r="C230" i="70"/>
  <c r="E229" i="70"/>
  <c r="K226" i="70"/>
  <c r="F226" i="70" s="1"/>
  <c r="P227" i="70"/>
  <c r="Q228" i="70"/>
  <c r="O230" i="70"/>
  <c r="T231" i="70"/>
  <c r="R229" i="70"/>
  <c r="J228" i="70"/>
  <c r="Q229" i="70" l="1"/>
  <c r="P228" i="70"/>
  <c r="K227" i="70"/>
  <c r="F227" i="70" s="1"/>
  <c r="C231" i="70"/>
  <c r="E230" i="70"/>
  <c r="J229" i="70"/>
  <c r="S231" i="70"/>
  <c r="R230" i="70"/>
  <c r="T232" i="70"/>
  <c r="O232" i="70" s="1"/>
  <c r="O231" i="70"/>
  <c r="C232" i="70" l="1"/>
  <c r="E232" i="70" s="1"/>
  <c r="E231" i="70"/>
  <c r="R231" i="70"/>
  <c r="S232" i="70"/>
  <c r="P229" i="70"/>
  <c r="K228" i="70"/>
  <c r="F228" i="70" s="1"/>
  <c r="J230" i="70"/>
  <c r="Q230" i="70"/>
  <c r="P230" i="70" l="1"/>
  <c r="K229" i="70"/>
  <c r="F229" i="70" s="1"/>
  <c r="Q231" i="70"/>
  <c r="R232" i="70"/>
  <c r="J231" i="70"/>
  <c r="J232" i="70"/>
  <c r="B249" i="62"/>
  <c r="B250" i="62" s="1"/>
  <c r="B251" i="62" s="1"/>
  <c r="B252" i="62" s="1"/>
  <c r="B253" i="62" s="1"/>
  <c r="B254" i="62" s="1"/>
  <c r="B255" i="62" s="1"/>
  <c r="B256" i="62" s="1"/>
  <c r="B257" i="62" s="1"/>
  <c r="B258" i="62" s="1"/>
  <c r="B259" i="62" s="1"/>
  <c r="B260" i="62" s="1"/>
  <c r="B261" i="62" s="1"/>
  <c r="B262" i="62" s="1"/>
  <c r="B263" i="62" s="1"/>
  <c r="B264" i="62" s="1"/>
  <c r="B265" i="62" s="1"/>
  <c r="B266" i="62" s="1"/>
  <c r="C249" i="62"/>
  <c r="E249" i="62" s="1"/>
  <c r="D249" i="62"/>
  <c r="P249" i="62"/>
  <c r="Q249" i="62"/>
  <c r="R249" i="62"/>
  <c r="S249" i="62"/>
  <c r="T249" i="62"/>
  <c r="O249" i="62" s="1"/>
  <c r="Y249" i="62"/>
  <c r="Y250" i="62" s="1"/>
  <c r="Y251" i="62" s="1"/>
  <c r="Y252" i="62" s="1"/>
  <c r="Y253" i="62" s="1"/>
  <c r="Y254" i="62" s="1"/>
  <c r="Y255" i="62" s="1"/>
  <c r="Y256" i="62" s="1"/>
  <c r="Y257" i="62" s="1"/>
  <c r="Y258" i="62" s="1"/>
  <c r="Y259" i="62" s="1"/>
  <c r="Y260" i="62" s="1"/>
  <c r="Y261" i="62" s="1"/>
  <c r="Y262" i="62" s="1"/>
  <c r="Y263" i="62" s="1"/>
  <c r="Y264" i="62" s="1"/>
  <c r="Y265" i="62" s="1"/>
  <c r="Y266" i="62" s="1"/>
  <c r="AI249" i="62"/>
  <c r="AL249" i="62"/>
  <c r="AL250" i="62" s="1"/>
  <c r="AL251" i="62" s="1"/>
  <c r="AL252" i="62" s="1"/>
  <c r="AL253" i="62" s="1"/>
  <c r="AL254" i="62" s="1"/>
  <c r="C250" i="62"/>
  <c r="E250" i="62" s="1"/>
  <c r="D250" i="62"/>
  <c r="S250" i="62"/>
  <c r="T250" i="62"/>
  <c r="O250" i="62" s="1"/>
  <c r="J250" i="62" s="1"/>
  <c r="AI250" i="62"/>
  <c r="AI251" i="62" s="1"/>
  <c r="AI252" i="62" s="1"/>
  <c r="AI253" i="62" s="1"/>
  <c r="AI254" i="62" s="1"/>
  <c r="AI255" i="62" s="1"/>
  <c r="AI256" i="62" s="1"/>
  <c r="AI257" i="62" s="1"/>
  <c r="AI258" i="62" s="1"/>
  <c r="AI259" i="62" s="1"/>
  <c r="AI260" i="62" s="1"/>
  <c r="AI261" i="62" s="1"/>
  <c r="AI262" i="62" s="1"/>
  <c r="AI263" i="62" s="1"/>
  <c r="AI264" i="62" s="1"/>
  <c r="AI265" i="62" s="1"/>
  <c r="AI266" i="62" s="1"/>
  <c r="D251" i="62"/>
  <c r="D252" i="62" s="1"/>
  <c r="D253" i="62" s="1"/>
  <c r="D254" i="62" s="1"/>
  <c r="D255" i="62" s="1"/>
  <c r="D256" i="62" s="1"/>
  <c r="D257" i="62" s="1"/>
  <c r="D258" i="62" s="1"/>
  <c r="D259" i="62" s="1"/>
  <c r="D260" i="62" s="1"/>
  <c r="D261" i="62" s="1"/>
  <c r="D262" i="62" s="1"/>
  <c r="D263" i="62" s="1"/>
  <c r="D264" i="62" s="1"/>
  <c r="D265" i="62" s="1"/>
  <c r="D266" i="62" s="1"/>
  <c r="S251" i="62"/>
  <c r="T251" i="62"/>
  <c r="T252" i="62"/>
  <c r="AL255" i="62"/>
  <c r="AL256" i="62" s="1"/>
  <c r="AL257" i="62" s="1"/>
  <c r="AL258" i="62" s="1"/>
  <c r="AL259" i="62" s="1"/>
  <c r="AL260" i="62" s="1"/>
  <c r="AL261" i="62" s="1"/>
  <c r="AL262" i="62" s="1"/>
  <c r="AL263" i="62" s="1"/>
  <c r="AL264" i="62" s="1"/>
  <c r="AL265" i="62" s="1"/>
  <c r="AL266" i="62" s="1"/>
  <c r="Q232" i="70" l="1"/>
  <c r="P231" i="70"/>
  <c r="K230" i="70"/>
  <c r="F230" i="70" s="1"/>
  <c r="C251" i="62"/>
  <c r="Q250" i="62"/>
  <c r="S252" i="62"/>
  <c r="O252" i="62"/>
  <c r="T253" i="62"/>
  <c r="J249" i="62"/>
  <c r="O251" i="62"/>
  <c r="R250" i="62"/>
  <c r="P250" i="62"/>
  <c r="K231" i="70" l="1"/>
  <c r="F231" i="70" s="1"/>
  <c r="P232" i="70"/>
  <c r="K232" i="70" s="1"/>
  <c r="F232" i="70" s="1"/>
  <c r="R251" i="62"/>
  <c r="O253" i="62"/>
  <c r="T254" i="62"/>
  <c r="S253" i="62"/>
  <c r="Q251" i="62"/>
  <c r="E251" i="62"/>
  <c r="C252" i="62"/>
  <c r="P251" i="62"/>
  <c r="Q252" i="62" l="1"/>
  <c r="J251" i="62"/>
  <c r="T255" i="62"/>
  <c r="O254" i="62"/>
  <c r="C253" i="62"/>
  <c r="E252" i="62"/>
  <c r="R252" i="62"/>
  <c r="S254" i="62"/>
  <c r="P252" i="62"/>
  <c r="C254" i="62" l="1"/>
  <c r="E253" i="62"/>
  <c r="Q253" i="62"/>
  <c r="P253" i="62"/>
  <c r="T256" i="62"/>
  <c r="O255" i="62"/>
  <c r="S255" i="62"/>
  <c r="R253" i="62"/>
  <c r="J252" i="62"/>
  <c r="P254" i="62" l="1"/>
  <c r="T257" i="62"/>
  <c r="O256" i="62"/>
  <c r="R254" i="62"/>
  <c r="Q254" i="62"/>
  <c r="J253" i="62"/>
  <c r="S256" i="62"/>
  <c r="E254" i="62"/>
  <c r="C255" i="62"/>
  <c r="Q255" i="62" l="1"/>
  <c r="S257" i="62"/>
  <c r="R255" i="62"/>
  <c r="J254" i="62"/>
  <c r="T258" i="62"/>
  <c r="O257" i="62"/>
  <c r="C256" i="62"/>
  <c r="E255" i="62"/>
  <c r="P255" i="62"/>
  <c r="J255" i="62" l="1"/>
  <c r="C257" i="62"/>
  <c r="E256" i="62"/>
  <c r="R256" i="62"/>
  <c r="O258" i="62"/>
  <c r="T259" i="62"/>
  <c r="S258" i="62"/>
  <c r="P256" i="62"/>
  <c r="Q256" i="62"/>
  <c r="P257" i="62" l="1"/>
  <c r="R257" i="62"/>
  <c r="O259" i="62"/>
  <c r="T260" i="62"/>
  <c r="E257" i="62"/>
  <c r="C258" i="62"/>
  <c r="S259" i="62"/>
  <c r="J256" i="62"/>
  <c r="Q257" i="62"/>
  <c r="O260" i="62" l="1"/>
  <c r="T261" i="62"/>
  <c r="E258" i="62"/>
  <c r="C259" i="62"/>
  <c r="S260" i="62"/>
  <c r="P258" i="62"/>
  <c r="J257" i="62"/>
  <c r="R258" i="62"/>
  <c r="Q258" i="62"/>
  <c r="P259" i="62" l="1"/>
  <c r="E259" i="62"/>
  <c r="C260" i="62"/>
  <c r="R259" i="62"/>
  <c r="J258" i="62"/>
  <c r="O261" i="62"/>
  <c r="T262" i="62"/>
  <c r="Q259" i="62"/>
  <c r="S261" i="62"/>
  <c r="J259" i="62" l="1"/>
  <c r="R260" i="62"/>
  <c r="T263" i="62"/>
  <c r="O262" i="62"/>
  <c r="C261" i="62"/>
  <c r="E260" i="62"/>
  <c r="Q260" i="62"/>
  <c r="S262" i="62"/>
  <c r="P260" i="62"/>
  <c r="P261" i="62" l="1"/>
  <c r="T264" i="62"/>
  <c r="O263" i="62"/>
  <c r="R261" i="62"/>
  <c r="S263" i="62"/>
  <c r="Q261" i="62"/>
  <c r="J260" i="62"/>
  <c r="C262" i="62"/>
  <c r="E261" i="62"/>
  <c r="E262" i="62" l="1"/>
  <c r="C263" i="62"/>
  <c r="S264" i="62"/>
  <c r="R262" i="62"/>
  <c r="T265" i="62"/>
  <c r="O264" i="62"/>
  <c r="J261" i="62"/>
  <c r="Q262" i="62"/>
  <c r="P262" i="62"/>
  <c r="Z268" i="35"/>
  <c r="B264" i="35"/>
  <c r="B265" i="35" s="1"/>
  <c r="C264" i="35"/>
  <c r="E264" i="35" s="1"/>
  <c r="D264" i="35"/>
  <c r="P264" i="35"/>
  <c r="Q264" i="35"/>
  <c r="R264" i="35"/>
  <c r="S264" i="35"/>
  <c r="T264" i="35"/>
  <c r="AL264" i="35"/>
  <c r="D265" i="35"/>
  <c r="P265" i="35"/>
  <c r="T265" i="35"/>
  <c r="AL265" i="35"/>
  <c r="P263" i="62" l="1"/>
  <c r="Q263" i="62"/>
  <c r="R263" i="62"/>
  <c r="S265" i="62"/>
  <c r="C264" i="62"/>
  <c r="E263" i="62"/>
  <c r="T266" i="62"/>
  <c r="O265" i="62"/>
  <c r="J262" i="62"/>
  <c r="S265" i="35"/>
  <c r="C265" i="35"/>
  <c r="R265" i="35"/>
  <c r="Q265" i="35"/>
  <c r="R264" i="62" l="1"/>
  <c r="Q264" i="62"/>
  <c r="S266" i="62"/>
  <c r="O266" i="62"/>
  <c r="J263" i="62"/>
  <c r="P264" i="62"/>
  <c r="C265" i="62"/>
  <c r="E264" i="62"/>
  <c r="E265" i="35"/>
  <c r="E265" i="62" l="1"/>
  <c r="C266" i="62"/>
  <c r="Q265" i="62"/>
  <c r="P265" i="62"/>
  <c r="J264" i="62"/>
  <c r="R265" i="62"/>
  <c r="AA272" i="35"/>
  <c r="AC7" i="62"/>
  <c r="AC6" i="62"/>
  <c r="AL11" i="62"/>
  <c r="AJ11" i="62"/>
  <c r="P266" i="62" l="1"/>
  <c r="R266" i="62"/>
  <c r="Q266" i="62"/>
  <c r="E266" i="62"/>
  <c r="J265" i="62"/>
  <c r="AC7" i="35"/>
  <c r="AC6" i="35"/>
  <c r="J266" i="62" l="1"/>
  <c r="AA245" i="63"/>
  <c r="AB245" i="63"/>
  <c r="AC245" i="63"/>
  <c r="AD236" i="71" l="1"/>
  <c r="AD240" i="71" s="1"/>
  <c r="AC236" i="71"/>
  <c r="AC240" i="71" s="1"/>
  <c r="AB236" i="71"/>
  <c r="AB240" i="71" s="1"/>
  <c r="AA236" i="71"/>
  <c r="AA240" i="71" s="1"/>
  <c r="Z236" i="71"/>
  <c r="Z240" i="71" s="1"/>
  <c r="AL184" i="71"/>
  <c r="AL185" i="71" s="1"/>
  <c r="AL186" i="71" s="1"/>
  <c r="AL187" i="71" s="1"/>
  <c r="AL188" i="71" s="1"/>
  <c r="AL189" i="71" s="1"/>
  <c r="AL190" i="71" s="1"/>
  <c r="AL191" i="71" s="1"/>
  <c r="AL192" i="71" s="1"/>
  <c r="AL193" i="71" s="1"/>
  <c r="AL194" i="71" s="1"/>
  <c r="AL195" i="71" s="1"/>
  <c r="AL196" i="71" s="1"/>
  <c r="AL197" i="71" s="1"/>
  <c r="AL198" i="71" s="1"/>
  <c r="AL199" i="71" s="1"/>
  <c r="AL200" i="71" s="1"/>
  <c r="AL201" i="71" s="1"/>
  <c r="AL202" i="71" s="1"/>
  <c r="AL203" i="71" s="1"/>
  <c r="AL204" i="71" s="1"/>
  <c r="AL205" i="71" s="1"/>
  <c r="AL206" i="71" s="1"/>
  <c r="AL207" i="71" s="1"/>
  <c r="AL208" i="71" s="1"/>
  <c r="AL209" i="71" s="1"/>
  <c r="AL210" i="71" s="1"/>
  <c r="AL211" i="71" s="1"/>
  <c r="AL212" i="71" s="1"/>
  <c r="AL213" i="71" s="1"/>
  <c r="AL214" i="71" s="1"/>
  <c r="AL215" i="71" s="1"/>
  <c r="AL216" i="71" s="1"/>
  <c r="AL217" i="71" s="1"/>
  <c r="AL218" i="71" s="1"/>
  <c r="AL219" i="71" s="1"/>
  <c r="AL220" i="71" s="1"/>
  <c r="AL221" i="71" s="1"/>
  <c r="AL222" i="71" s="1"/>
  <c r="AL223" i="71" s="1"/>
  <c r="AL224" i="71" s="1"/>
  <c r="AL225" i="71" s="1"/>
  <c r="AL226" i="71" s="1"/>
  <c r="AL227" i="71" s="1"/>
  <c r="AL228" i="71" s="1"/>
  <c r="AL229" i="71" s="1"/>
  <c r="AL230" i="71" s="1"/>
  <c r="AL231" i="71" s="1"/>
  <c r="AL232" i="71" s="1"/>
  <c r="AL233" i="71" s="1"/>
  <c r="AL234" i="71" s="1"/>
  <c r="AE184" i="71"/>
  <c r="AE185" i="71" s="1"/>
  <c r="AE186" i="71" s="1"/>
  <c r="AE187" i="71" s="1"/>
  <c r="AE188" i="71" s="1"/>
  <c r="AE189" i="71" s="1"/>
  <c r="AE190" i="71" s="1"/>
  <c r="AE191" i="71" s="1"/>
  <c r="AE192" i="71" s="1"/>
  <c r="AE193" i="71" s="1"/>
  <c r="AE194" i="71" s="1"/>
  <c r="AE195" i="71" s="1"/>
  <c r="AE196" i="71" s="1"/>
  <c r="AE197" i="71" s="1"/>
  <c r="AE198" i="71" s="1"/>
  <c r="AE199" i="71" s="1"/>
  <c r="AE200" i="71" s="1"/>
  <c r="AE201" i="71" s="1"/>
  <c r="AE202" i="71" s="1"/>
  <c r="AE203" i="71" s="1"/>
  <c r="AE204" i="71" s="1"/>
  <c r="AE205" i="71" s="1"/>
  <c r="AE206" i="71" s="1"/>
  <c r="AE207" i="71" s="1"/>
  <c r="AE208" i="71" s="1"/>
  <c r="AE209" i="71" s="1"/>
  <c r="AE210" i="71" s="1"/>
  <c r="AE211" i="71" s="1"/>
  <c r="AE212" i="71" s="1"/>
  <c r="AE213" i="71" s="1"/>
  <c r="AE214" i="71" s="1"/>
  <c r="AE215" i="71" s="1"/>
  <c r="AE216" i="71" s="1"/>
  <c r="AE217" i="71" s="1"/>
  <c r="AE218" i="71" s="1"/>
  <c r="AE219" i="71" s="1"/>
  <c r="AE220" i="71" s="1"/>
  <c r="AE221" i="71" s="1"/>
  <c r="AE222" i="71" s="1"/>
  <c r="AE223" i="71" s="1"/>
  <c r="AE224" i="71" s="1"/>
  <c r="AE225" i="71" s="1"/>
  <c r="AE226" i="71" s="1"/>
  <c r="AE227" i="71" s="1"/>
  <c r="AE228" i="71" s="1"/>
  <c r="AE229" i="71" s="1"/>
  <c r="AE230" i="71" s="1"/>
  <c r="AE231" i="71" s="1"/>
  <c r="AE232" i="71" s="1"/>
  <c r="AE233" i="71" s="1"/>
  <c r="AE234" i="71" s="1"/>
  <c r="Y184" i="71"/>
  <c r="X184" i="71"/>
  <c r="X185" i="71" s="1"/>
  <c r="X186" i="71" s="1"/>
  <c r="X187" i="71" s="1"/>
  <c r="X188" i="71" s="1"/>
  <c r="X189" i="71" s="1"/>
  <c r="X190" i="71" s="1"/>
  <c r="X191" i="71" s="1"/>
  <c r="X192" i="71" s="1"/>
  <c r="X193" i="71" s="1"/>
  <c r="X194" i="71" s="1"/>
  <c r="X195" i="71" s="1"/>
  <c r="X196" i="71" s="1"/>
  <c r="X197" i="71" s="1"/>
  <c r="X198" i="71" s="1"/>
  <c r="X199" i="71" s="1"/>
  <c r="X200" i="71" s="1"/>
  <c r="X201" i="71" s="1"/>
  <c r="X202" i="71" s="1"/>
  <c r="X203" i="71" s="1"/>
  <c r="X204" i="71" s="1"/>
  <c r="X205" i="71" s="1"/>
  <c r="X206" i="71" s="1"/>
  <c r="X207" i="71" s="1"/>
  <c r="X208" i="71" s="1"/>
  <c r="X209" i="71" s="1"/>
  <c r="X210" i="71" s="1"/>
  <c r="X211" i="71" s="1"/>
  <c r="X212" i="71" s="1"/>
  <c r="X213" i="71" s="1"/>
  <c r="X214" i="71" s="1"/>
  <c r="X215" i="71" s="1"/>
  <c r="X216" i="71" s="1"/>
  <c r="X217" i="71" s="1"/>
  <c r="X218" i="71" s="1"/>
  <c r="X219" i="71" s="1"/>
  <c r="X220" i="71" s="1"/>
  <c r="X221" i="71" s="1"/>
  <c r="X222" i="71" s="1"/>
  <c r="X223" i="71" s="1"/>
  <c r="X224" i="71" s="1"/>
  <c r="X225" i="71" s="1"/>
  <c r="X226" i="71" s="1"/>
  <c r="X227" i="71" s="1"/>
  <c r="X228" i="71" s="1"/>
  <c r="X229" i="71" s="1"/>
  <c r="X230" i="71" s="1"/>
  <c r="X231" i="71" s="1"/>
  <c r="X232" i="71" s="1"/>
  <c r="X233" i="71" s="1"/>
  <c r="X234" i="71" s="1"/>
  <c r="W184" i="71"/>
  <c r="W185" i="71" s="1"/>
  <c r="W186" i="71" s="1"/>
  <c r="W187" i="71" s="1"/>
  <c r="W188" i="71" s="1"/>
  <c r="W189" i="71" s="1"/>
  <c r="W190" i="71" s="1"/>
  <c r="W191" i="71" s="1"/>
  <c r="W192" i="71" s="1"/>
  <c r="W193" i="71" s="1"/>
  <c r="W194" i="71" s="1"/>
  <c r="W195" i="71" s="1"/>
  <c r="W196" i="71" s="1"/>
  <c r="W197" i="71" s="1"/>
  <c r="W198" i="71" s="1"/>
  <c r="W199" i="71" s="1"/>
  <c r="W200" i="71" s="1"/>
  <c r="W201" i="71" s="1"/>
  <c r="W202" i="71" s="1"/>
  <c r="W203" i="71" s="1"/>
  <c r="W204" i="71" s="1"/>
  <c r="W205" i="71" s="1"/>
  <c r="W206" i="71" s="1"/>
  <c r="W207" i="71" s="1"/>
  <c r="W208" i="71" s="1"/>
  <c r="W209" i="71" s="1"/>
  <c r="W210" i="71" s="1"/>
  <c r="W211" i="71" s="1"/>
  <c r="W212" i="71" s="1"/>
  <c r="W213" i="71" s="1"/>
  <c r="W214" i="71" s="1"/>
  <c r="W215" i="71" s="1"/>
  <c r="W216" i="71" s="1"/>
  <c r="W217" i="71" s="1"/>
  <c r="W218" i="71" s="1"/>
  <c r="W219" i="71" s="1"/>
  <c r="W220" i="71" s="1"/>
  <c r="W221" i="71" s="1"/>
  <c r="W222" i="71" s="1"/>
  <c r="W223" i="71" s="1"/>
  <c r="W224" i="71" s="1"/>
  <c r="W225" i="71" s="1"/>
  <c r="W226" i="71" s="1"/>
  <c r="W227" i="71" s="1"/>
  <c r="W228" i="71" s="1"/>
  <c r="W229" i="71" s="1"/>
  <c r="W230" i="71" s="1"/>
  <c r="W231" i="71" s="1"/>
  <c r="W232" i="71" s="1"/>
  <c r="W233" i="71" s="1"/>
  <c r="W234" i="71" s="1"/>
  <c r="V184" i="71"/>
  <c r="V185" i="71" s="1"/>
  <c r="V186" i="71" s="1"/>
  <c r="V187" i="71" s="1"/>
  <c r="V188" i="71" s="1"/>
  <c r="V189" i="71" s="1"/>
  <c r="V190" i="71" s="1"/>
  <c r="V191" i="71" s="1"/>
  <c r="V192" i="71" s="1"/>
  <c r="V193" i="71" s="1"/>
  <c r="V194" i="71" s="1"/>
  <c r="V195" i="71" s="1"/>
  <c r="V196" i="71" s="1"/>
  <c r="V197" i="71" s="1"/>
  <c r="V198" i="71" s="1"/>
  <c r="V199" i="71" s="1"/>
  <c r="V200" i="71" s="1"/>
  <c r="V201" i="71" s="1"/>
  <c r="V202" i="71" s="1"/>
  <c r="V203" i="71" s="1"/>
  <c r="V204" i="71" s="1"/>
  <c r="V205" i="71" s="1"/>
  <c r="V206" i="71" s="1"/>
  <c r="V207" i="71" s="1"/>
  <c r="V208" i="71" s="1"/>
  <c r="V209" i="71" s="1"/>
  <c r="V210" i="71" s="1"/>
  <c r="V211" i="71" s="1"/>
  <c r="V212" i="71" s="1"/>
  <c r="V213" i="71" s="1"/>
  <c r="V214" i="71" s="1"/>
  <c r="V215" i="71" s="1"/>
  <c r="V216" i="71" s="1"/>
  <c r="V217" i="71" s="1"/>
  <c r="V218" i="71" s="1"/>
  <c r="V219" i="71" s="1"/>
  <c r="V220" i="71" s="1"/>
  <c r="V221" i="71" s="1"/>
  <c r="V222" i="71" s="1"/>
  <c r="V223" i="71" s="1"/>
  <c r="V224" i="71" s="1"/>
  <c r="V225" i="71" s="1"/>
  <c r="V226" i="71" s="1"/>
  <c r="V227" i="71" s="1"/>
  <c r="V228" i="71" s="1"/>
  <c r="V229" i="71" s="1"/>
  <c r="V230" i="71" s="1"/>
  <c r="V231" i="71" s="1"/>
  <c r="V232" i="71" s="1"/>
  <c r="V233" i="71" s="1"/>
  <c r="V234" i="71" s="1"/>
  <c r="U184" i="71"/>
  <c r="T184" i="71"/>
  <c r="T185" i="71" s="1"/>
  <c r="S184" i="71"/>
  <c r="R184" i="71"/>
  <c r="R185" i="71" s="1"/>
  <c r="Q184" i="71"/>
  <c r="P184" i="71"/>
  <c r="P185" i="71" s="1"/>
  <c r="D184" i="71"/>
  <c r="D185" i="71" s="1"/>
  <c r="D186" i="71" s="1"/>
  <c r="D187" i="71" s="1"/>
  <c r="D188" i="71" s="1"/>
  <c r="D189" i="71" s="1"/>
  <c r="D190" i="71" s="1"/>
  <c r="D191" i="71" s="1"/>
  <c r="D192" i="71" s="1"/>
  <c r="D193" i="71" s="1"/>
  <c r="D194" i="71" s="1"/>
  <c r="D195" i="71" s="1"/>
  <c r="D196" i="71" s="1"/>
  <c r="D197" i="71" s="1"/>
  <c r="D198" i="71" s="1"/>
  <c r="D199" i="71" s="1"/>
  <c r="D200" i="71" s="1"/>
  <c r="D201" i="71" s="1"/>
  <c r="D202" i="71" s="1"/>
  <c r="D203" i="71" s="1"/>
  <c r="D204" i="71" s="1"/>
  <c r="D205" i="71" s="1"/>
  <c r="D206" i="71" s="1"/>
  <c r="D207" i="71" s="1"/>
  <c r="D208" i="71" s="1"/>
  <c r="D209" i="71" s="1"/>
  <c r="D210" i="71" s="1"/>
  <c r="D211" i="71" s="1"/>
  <c r="D212" i="71" s="1"/>
  <c r="D213" i="71" s="1"/>
  <c r="D214" i="71" s="1"/>
  <c r="D215" i="71" s="1"/>
  <c r="D216" i="71" s="1"/>
  <c r="D217" i="71" s="1"/>
  <c r="D218" i="71" s="1"/>
  <c r="D219" i="71" s="1"/>
  <c r="D220" i="71" s="1"/>
  <c r="D221" i="71" s="1"/>
  <c r="D222" i="71" s="1"/>
  <c r="D223" i="71" s="1"/>
  <c r="D224" i="71" s="1"/>
  <c r="D225" i="71" s="1"/>
  <c r="D226" i="71" s="1"/>
  <c r="D227" i="71" s="1"/>
  <c r="D228" i="71" s="1"/>
  <c r="D229" i="71" s="1"/>
  <c r="D230" i="71" s="1"/>
  <c r="D231" i="71" s="1"/>
  <c r="D232" i="71" s="1"/>
  <c r="D233" i="71" s="1"/>
  <c r="D234" i="71" s="1"/>
  <c r="C184" i="71"/>
  <c r="C185" i="71" s="1"/>
  <c r="D161" i="71"/>
  <c r="D162" i="71" s="1"/>
  <c r="D163" i="71" s="1"/>
  <c r="D164" i="71" s="1"/>
  <c r="D165" i="71" s="1"/>
  <c r="D166" i="71" s="1"/>
  <c r="D167" i="71" s="1"/>
  <c r="D168" i="71" s="1"/>
  <c r="D169" i="71" s="1"/>
  <c r="D170" i="71" s="1"/>
  <c r="D171" i="71" s="1"/>
  <c r="D172" i="71" s="1"/>
  <c r="D173" i="71" s="1"/>
  <c r="D174" i="71" s="1"/>
  <c r="D175" i="71" s="1"/>
  <c r="D176" i="71" s="1"/>
  <c r="D177" i="71" s="1"/>
  <c r="D178" i="71" s="1"/>
  <c r="D179" i="71" s="1"/>
  <c r="D180" i="71" s="1"/>
  <c r="D181" i="71" s="1"/>
  <c r="D182" i="71" s="1"/>
  <c r="D57" i="71"/>
  <c r="D58" i="71" s="1"/>
  <c r="D59" i="71" s="1"/>
  <c r="D60" i="71" s="1"/>
  <c r="D61" i="71" s="1"/>
  <c r="D62" i="71" s="1"/>
  <c r="D63" i="71" s="1"/>
  <c r="D64" i="71" s="1"/>
  <c r="D65" i="71" s="1"/>
  <c r="D66" i="71" s="1"/>
  <c r="D67" i="71" s="1"/>
  <c r="D68" i="71" s="1"/>
  <c r="D69" i="71" s="1"/>
  <c r="D70" i="71" s="1"/>
  <c r="D71" i="71" s="1"/>
  <c r="D72" i="71" s="1"/>
  <c r="D73" i="71" s="1"/>
  <c r="D74" i="71" s="1"/>
  <c r="D75" i="71" s="1"/>
  <c r="D76" i="71" s="1"/>
  <c r="D77" i="71" s="1"/>
  <c r="D78" i="71" s="1"/>
  <c r="D79" i="71" s="1"/>
  <c r="D80" i="71" s="1"/>
  <c r="D81" i="71" s="1"/>
  <c r="D82" i="71" s="1"/>
  <c r="D83" i="71" s="1"/>
  <c r="D84" i="71" s="1"/>
  <c r="D85" i="71" s="1"/>
  <c r="D86" i="71" s="1"/>
  <c r="D87" i="71" s="1"/>
  <c r="D88" i="71" s="1"/>
  <c r="D89" i="71" s="1"/>
  <c r="D90" i="71" s="1"/>
  <c r="D91" i="71" s="1"/>
  <c r="D92" i="71" s="1"/>
  <c r="D93" i="71" s="1"/>
  <c r="D94" i="71" s="1"/>
  <c r="D95" i="71" s="1"/>
  <c r="D96" i="71" s="1"/>
  <c r="D97" i="71" s="1"/>
  <c r="D98" i="71" s="1"/>
  <c r="D99" i="71" s="1"/>
  <c r="D100" i="71" s="1"/>
  <c r="D101" i="71" s="1"/>
  <c r="D102" i="71" s="1"/>
  <c r="D103" i="71" s="1"/>
  <c r="D104" i="71" s="1"/>
  <c r="D105" i="71" s="1"/>
  <c r="D106" i="71" s="1"/>
  <c r="D107" i="71" s="1"/>
  <c r="D108" i="71" s="1"/>
  <c r="D109" i="71" s="1"/>
  <c r="D110" i="71" s="1"/>
  <c r="D111" i="71" s="1"/>
  <c r="D112" i="71" s="1"/>
  <c r="D113" i="71" s="1"/>
  <c r="D114" i="71" s="1"/>
  <c r="D115" i="71" s="1"/>
  <c r="D116" i="71" s="1"/>
  <c r="D117" i="71" s="1"/>
  <c r="D118" i="71" s="1"/>
  <c r="D119" i="71" s="1"/>
  <c r="D120" i="71" s="1"/>
  <c r="D121" i="71" s="1"/>
  <c r="D122" i="71" s="1"/>
  <c r="D123" i="71" s="1"/>
  <c r="D124" i="71" s="1"/>
  <c r="D125" i="71" s="1"/>
  <c r="D126" i="71" s="1"/>
  <c r="D127" i="71" s="1"/>
  <c r="D128" i="71" s="1"/>
  <c r="D129" i="71" s="1"/>
  <c r="D130" i="71" s="1"/>
  <c r="D131" i="71" s="1"/>
  <c r="D132" i="71" s="1"/>
  <c r="D133" i="71" s="1"/>
  <c r="D134" i="71" s="1"/>
  <c r="D135" i="71" s="1"/>
  <c r="D136" i="71" s="1"/>
  <c r="D137" i="71" s="1"/>
  <c r="D138" i="71" s="1"/>
  <c r="D139" i="71" s="1"/>
  <c r="D140" i="71" s="1"/>
  <c r="D141" i="71" s="1"/>
  <c r="D142" i="71" s="1"/>
  <c r="D143" i="71" s="1"/>
  <c r="D144" i="71" s="1"/>
  <c r="D145" i="71" s="1"/>
  <c r="D146" i="71" s="1"/>
  <c r="D147" i="71" s="1"/>
  <c r="D148" i="71" s="1"/>
  <c r="D149" i="71" s="1"/>
  <c r="D150" i="71" s="1"/>
  <c r="D151" i="71" s="1"/>
  <c r="D152" i="71" s="1"/>
  <c r="D153" i="71" s="1"/>
  <c r="D154" i="71" s="1"/>
  <c r="D155" i="71" s="1"/>
  <c r="D156" i="71" s="1"/>
  <c r="D157" i="71" s="1"/>
  <c r="D158" i="71" s="1"/>
  <c r="D159" i="71" s="1"/>
  <c r="AI12" i="71"/>
  <c r="AI13" i="71" s="1"/>
  <c r="AI14" i="71" s="1"/>
  <c r="AI15" i="71" s="1"/>
  <c r="AI16" i="71" s="1"/>
  <c r="AI17" i="71" s="1"/>
  <c r="AI18" i="71" s="1"/>
  <c r="AI19" i="71" s="1"/>
  <c r="AI20" i="71" s="1"/>
  <c r="AI21" i="71" s="1"/>
  <c r="AI22" i="71" s="1"/>
  <c r="AI23" i="71" s="1"/>
  <c r="AI24" i="71" s="1"/>
  <c r="AI25" i="71" s="1"/>
  <c r="AI26" i="71" s="1"/>
  <c r="AI27" i="71" s="1"/>
  <c r="AI28" i="71" s="1"/>
  <c r="AI29" i="71" s="1"/>
  <c r="AI30" i="71" s="1"/>
  <c r="AI31" i="71" s="1"/>
  <c r="AI32" i="71" s="1"/>
  <c r="AI33" i="71" s="1"/>
  <c r="AI34" i="71" s="1"/>
  <c r="AI35" i="71" s="1"/>
  <c r="AI36" i="71" s="1"/>
  <c r="AI37" i="71" s="1"/>
  <c r="AI38" i="71" s="1"/>
  <c r="AI39" i="71" s="1"/>
  <c r="AI40" i="71" s="1"/>
  <c r="AI41" i="71" s="1"/>
  <c r="AI42" i="71" s="1"/>
  <c r="AI43" i="71" s="1"/>
  <c r="AI44" i="71" s="1"/>
  <c r="AI45" i="71" s="1"/>
  <c r="AI46" i="71" s="1"/>
  <c r="AI47" i="71" s="1"/>
  <c r="AI48" i="71" s="1"/>
  <c r="AI49" i="71" s="1"/>
  <c r="AI50" i="71" s="1"/>
  <c r="AI51" i="71" s="1"/>
  <c r="AI52" i="71" s="1"/>
  <c r="AI53" i="71" s="1"/>
  <c r="AI54" i="71" s="1"/>
  <c r="AI55" i="71" s="1"/>
  <c r="AI56" i="71" s="1"/>
  <c r="AI57" i="71" s="1"/>
  <c r="AI58" i="71" s="1"/>
  <c r="AI59" i="71" s="1"/>
  <c r="AI60" i="71" s="1"/>
  <c r="AI61" i="71" s="1"/>
  <c r="AI62" i="71" s="1"/>
  <c r="AI63" i="71" s="1"/>
  <c r="AI64" i="71" s="1"/>
  <c r="AI65" i="71" s="1"/>
  <c r="AI66" i="71" s="1"/>
  <c r="AI67" i="71" s="1"/>
  <c r="AI68" i="71" s="1"/>
  <c r="AI69" i="71" s="1"/>
  <c r="AI70" i="71" s="1"/>
  <c r="AI71" i="71" s="1"/>
  <c r="AI72" i="71" s="1"/>
  <c r="AI73" i="71" s="1"/>
  <c r="AI74" i="71" s="1"/>
  <c r="AI75" i="71" s="1"/>
  <c r="AI76" i="71" s="1"/>
  <c r="AI77" i="71" s="1"/>
  <c r="AI78" i="71" s="1"/>
  <c r="AI79" i="71" s="1"/>
  <c r="AI80" i="71" s="1"/>
  <c r="AI81" i="71" s="1"/>
  <c r="AI82" i="71" s="1"/>
  <c r="AI83" i="71" s="1"/>
  <c r="AI84" i="71" s="1"/>
  <c r="AI85" i="71" s="1"/>
  <c r="AI86" i="71" s="1"/>
  <c r="AI87" i="71" s="1"/>
  <c r="AI88" i="71" s="1"/>
  <c r="AI89" i="71" s="1"/>
  <c r="AI90" i="71" s="1"/>
  <c r="AI91" i="71" s="1"/>
  <c r="AI92" i="71" s="1"/>
  <c r="AI93" i="71" s="1"/>
  <c r="AI94" i="71" s="1"/>
  <c r="AI95" i="71" s="1"/>
  <c r="AI96" i="71" s="1"/>
  <c r="AI97" i="71" s="1"/>
  <c r="AI98" i="71" s="1"/>
  <c r="AI99" i="71" s="1"/>
  <c r="AI100" i="71" s="1"/>
  <c r="AI101" i="71" s="1"/>
  <c r="AI102" i="71" s="1"/>
  <c r="AI103" i="71" s="1"/>
  <c r="AI104" i="71" s="1"/>
  <c r="AI105" i="71" s="1"/>
  <c r="AI106" i="71" s="1"/>
  <c r="AI107" i="71" s="1"/>
  <c r="AI108" i="71" s="1"/>
  <c r="AI109" i="71" s="1"/>
  <c r="AI110" i="71" s="1"/>
  <c r="AI111" i="71" s="1"/>
  <c r="AI112" i="71" s="1"/>
  <c r="AI113" i="71" s="1"/>
  <c r="AI114" i="71" s="1"/>
  <c r="AI115" i="71" s="1"/>
  <c r="AI116" i="71" s="1"/>
  <c r="AI117" i="71" s="1"/>
  <c r="AI118" i="71" s="1"/>
  <c r="AI119" i="71" s="1"/>
  <c r="AI120" i="71" s="1"/>
  <c r="AI121" i="71" s="1"/>
  <c r="AI122" i="71" s="1"/>
  <c r="AI123" i="71" s="1"/>
  <c r="AI124" i="71" s="1"/>
  <c r="AI125" i="71" s="1"/>
  <c r="AI126" i="71" s="1"/>
  <c r="AI127" i="71" s="1"/>
  <c r="AI128" i="71" s="1"/>
  <c r="AI129" i="71" s="1"/>
  <c r="AI130" i="71" s="1"/>
  <c r="AI131" i="71" s="1"/>
  <c r="AI132" i="71" s="1"/>
  <c r="AI133" i="71" s="1"/>
  <c r="AI134" i="71" s="1"/>
  <c r="AI135" i="71" s="1"/>
  <c r="AI136" i="71" s="1"/>
  <c r="AI137" i="71" s="1"/>
  <c r="AI138" i="71" s="1"/>
  <c r="AI139" i="71" s="1"/>
  <c r="AI140" i="71" s="1"/>
  <c r="AI141" i="71" s="1"/>
  <c r="AI142" i="71" s="1"/>
  <c r="AI143" i="71" s="1"/>
  <c r="AI144" i="71" s="1"/>
  <c r="AI145" i="71" s="1"/>
  <c r="AI146" i="71" s="1"/>
  <c r="AI147" i="71" s="1"/>
  <c r="AI148" i="71" s="1"/>
  <c r="AI149" i="71" s="1"/>
  <c r="AI150" i="71" s="1"/>
  <c r="AI151" i="71" s="1"/>
  <c r="AI152" i="71" s="1"/>
  <c r="AI153" i="71" s="1"/>
  <c r="AI154" i="71" s="1"/>
  <c r="AI155" i="71" s="1"/>
  <c r="AI156" i="71" s="1"/>
  <c r="AI157" i="71" s="1"/>
  <c r="AI158" i="71" s="1"/>
  <c r="AI159" i="71" s="1"/>
  <c r="AI160" i="71" s="1"/>
  <c r="AI161" i="71" s="1"/>
  <c r="AI162" i="71" s="1"/>
  <c r="AI163" i="71" s="1"/>
  <c r="AI164" i="71" s="1"/>
  <c r="AI165" i="71" s="1"/>
  <c r="AI166" i="71" s="1"/>
  <c r="AI167" i="71" s="1"/>
  <c r="AI168" i="71" s="1"/>
  <c r="AI169" i="71" s="1"/>
  <c r="AI170" i="71" s="1"/>
  <c r="AI171" i="71" s="1"/>
  <c r="AI172" i="71" s="1"/>
  <c r="AI173" i="71" s="1"/>
  <c r="AI174" i="71" s="1"/>
  <c r="AI175" i="71" s="1"/>
  <c r="AI176" i="71" s="1"/>
  <c r="AI177" i="71" s="1"/>
  <c r="AI178" i="71" s="1"/>
  <c r="AI179" i="71" s="1"/>
  <c r="AI180" i="71" s="1"/>
  <c r="AI181" i="71" s="1"/>
  <c r="AI182" i="71" s="1"/>
  <c r="AI183" i="71" s="1"/>
  <c r="AI184" i="71" s="1"/>
  <c r="AI185" i="71" s="1"/>
  <c r="AI186" i="71" s="1"/>
  <c r="AI187" i="71" s="1"/>
  <c r="AI188" i="71" s="1"/>
  <c r="AI189" i="71" s="1"/>
  <c r="AI190" i="71" s="1"/>
  <c r="AI191" i="71" s="1"/>
  <c r="AI192" i="71" s="1"/>
  <c r="AI193" i="71" s="1"/>
  <c r="AI194" i="71" s="1"/>
  <c r="AI195" i="71" s="1"/>
  <c r="AI196" i="71" s="1"/>
  <c r="AI197" i="71" s="1"/>
  <c r="AI198" i="71" s="1"/>
  <c r="AI199" i="71" s="1"/>
  <c r="AI200" i="71" s="1"/>
  <c r="AI201" i="71" s="1"/>
  <c r="AI202" i="71" s="1"/>
  <c r="AI203" i="71" s="1"/>
  <c r="AI204" i="71" s="1"/>
  <c r="AI205" i="71" s="1"/>
  <c r="AI206" i="71" s="1"/>
  <c r="AI207" i="71" s="1"/>
  <c r="AI208" i="71" s="1"/>
  <c r="AI209" i="71" s="1"/>
  <c r="AI210" i="71" s="1"/>
  <c r="AI211" i="71" s="1"/>
  <c r="AI212" i="71" s="1"/>
  <c r="AI213" i="71" s="1"/>
  <c r="AI214" i="71" s="1"/>
  <c r="AI215" i="71" s="1"/>
  <c r="AI216" i="71" s="1"/>
  <c r="AI217" i="71" s="1"/>
  <c r="AI218" i="71" s="1"/>
  <c r="AI219" i="71" s="1"/>
  <c r="AI220" i="71" s="1"/>
  <c r="AI221" i="71" s="1"/>
  <c r="AI222" i="71" s="1"/>
  <c r="AI223" i="71" s="1"/>
  <c r="AI224" i="71" s="1"/>
  <c r="AI225" i="71" s="1"/>
  <c r="AI226" i="71" s="1"/>
  <c r="AI227" i="71" s="1"/>
  <c r="AI228" i="71" s="1"/>
  <c r="AI229" i="71" s="1"/>
  <c r="AI230" i="71" s="1"/>
  <c r="AI231" i="71" s="1"/>
  <c r="AI232" i="71" s="1"/>
  <c r="AI233" i="71" s="1"/>
  <c r="AI234" i="71" s="1"/>
  <c r="AH12" i="71"/>
  <c r="AH13" i="71" s="1"/>
  <c r="AH14" i="71" s="1"/>
  <c r="AH15" i="71" s="1"/>
  <c r="AH16" i="71" s="1"/>
  <c r="AH17" i="71" s="1"/>
  <c r="AH18" i="71" s="1"/>
  <c r="AH19" i="71" s="1"/>
  <c r="AH20" i="71" s="1"/>
  <c r="AH21" i="71" s="1"/>
  <c r="AH22" i="71" s="1"/>
  <c r="AH23" i="71" s="1"/>
  <c r="AH24" i="71" s="1"/>
  <c r="AH25" i="71" s="1"/>
  <c r="AH26" i="71" s="1"/>
  <c r="AH27" i="71" s="1"/>
  <c r="AH28" i="71" s="1"/>
  <c r="AH29" i="71" s="1"/>
  <c r="AH30" i="71" s="1"/>
  <c r="AH31" i="71" s="1"/>
  <c r="AH32" i="71" s="1"/>
  <c r="AH33" i="71" s="1"/>
  <c r="AH34" i="71" s="1"/>
  <c r="AH35" i="71" s="1"/>
  <c r="AH36" i="71" s="1"/>
  <c r="AH37" i="71" s="1"/>
  <c r="AH38" i="71" s="1"/>
  <c r="AH39" i="71" s="1"/>
  <c r="AH40" i="71" s="1"/>
  <c r="AH41" i="71" s="1"/>
  <c r="AH42" i="71" s="1"/>
  <c r="AH43" i="71" s="1"/>
  <c r="AH44" i="71" s="1"/>
  <c r="AH45" i="71" s="1"/>
  <c r="AH46" i="71" s="1"/>
  <c r="AH47" i="71" s="1"/>
  <c r="AH48" i="71" s="1"/>
  <c r="AH49" i="71" s="1"/>
  <c r="AH50" i="71" s="1"/>
  <c r="AH51" i="71" s="1"/>
  <c r="AH52" i="71" s="1"/>
  <c r="AH53" i="71" s="1"/>
  <c r="AH54" i="71" s="1"/>
  <c r="AH55" i="71" s="1"/>
  <c r="AH56" i="71" s="1"/>
  <c r="AH57" i="71" s="1"/>
  <c r="AH58" i="71" s="1"/>
  <c r="AH59" i="71" s="1"/>
  <c r="AH60" i="71" s="1"/>
  <c r="AH61" i="71" s="1"/>
  <c r="AH62" i="71" s="1"/>
  <c r="AH63" i="71" s="1"/>
  <c r="AH64" i="71" s="1"/>
  <c r="AH65" i="71" s="1"/>
  <c r="AH66" i="71" s="1"/>
  <c r="AH67" i="71" s="1"/>
  <c r="AH68" i="71" s="1"/>
  <c r="AH69" i="71" s="1"/>
  <c r="AH70" i="71" s="1"/>
  <c r="AH71" i="71" s="1"/>
  <c r="AH72" i="71" s="1"/>
  <c r="AH73" i="71" s="1"/>
  <c r="AH74" i="71" s="1"/>
  <c r="AH75" i="71" s="1"/>
  <c r="AH76" i="71" s="1"/>
  <c r="AH77" i="71" s="1"/>
  <c r="AH78" i="71" s="1"/>
  <c r="AH79" i="71" s="1"/>
  <c r="AH80" i="71" s="1"/>
  <c r="AH81" i="71" s="1"/>
  <c r="AH82" i="71" s="1"/>
  <c r="AH83" i="71" s="1"/>
  <c r="AH84" i="71" s="1"/>
  <c r="AH85" i="71" s="1"/>
  <c r="AH86" i="71" s="1"/>
  <c r="AH87" i="71" s="1"/>
  <c r="AH88" i="71" s="1"/>
  <c r="AH89" i="71" s="1"/>
  <c r="AH90" i="71" s="1"/>
  <c r="AH91" i="71" s="1"/>
  <c r="AH92" i="71" s="1"/>
  <c r="AH93" i="71" s="1"/>
  <c r="AH94" i="71" s="1"/>
  <c r="AH95" i="71" s="1"/>
  <c r="AH96" i="71" s="1"/>
  <c r="AH97" i="71" s="1"/>
  <c r="AH98" i="71" s="1"/>
  <c r="AH99" i="71" s="1"/>
  <c r="AH100" i="71" s="1"/>
  <c r="AH101" i="71" s="1"/>
  <c r="AH102" i="71" s="1"/>
  <c r="AH103" i="71" s="1"/>
  <c r="AH104" i="71" s="1"/>
  <c r="AH105" i="71" s="1"/>
  <c r="AH106" i="71" s="1"/>
  <c r="AH107" i="71" s="1"/>
  <c r="AH108" i="71" s="1"/>
  <c r="AH109" i="71" s="1"/>
  <c r="AH110" i="71" s="1"/>
  <c r="AH111" i="71" s="1"/>
  <c r="AH112" i="71" s="1"/>
  <c r="AH113" i="71" s="1"/>
  <c r="AH114" i="71" s="1"/>
  <c r="AH115" i="71" s="1"/>
  <c r="AH116" i="71" s="1"/>
  <c r="AH117" i="71" s="1"/>
  <c r="AH118" i="71" s="1"/>
  <c r="AH119" i="71" s="1"/>
  <c r="AH120" i="71" s="1"/>
  <c r="AH121" i="71" s="1"/>
  <c r="AH122" i="71" s="1"/>
  <c r="AH123" i="71" s="1"/>
  <c r="AH124" i="71" s="1"/>
  <c r="AH125" i="71" s="1"/>
  <c r="AH126" i="71" s="1"/>
  <c r="AH127" i="71" s="1"/>
  <c r="AH128" i="71" s="1"/>
  <c r="AH129" i="71" s="1"/>
  <c r="AH130" i="71" s="1"/>
  <c r="AH131" i="71" s="1"/>
  <c r="AH132" i="71" s="1"/>
  <c r="AH133" i="71" s="1"/>
  <c r="AH134" i="71" s="1"/>
  <c r="AH135" i="71" s="1"/>
  <c r="AH136" i="71" s="1"/>
  <c r="AH137" i="71" s="1"/>
  <c r="AH138" i="71" s="1"/>
  <c r="AH139" i="71" s="1"/>
  <c r="AH140" i="71" s="1"/>
  <c r="AH141" i="71" s="1"/>
  <c r="AH142" i="71" s="1"/>
  <c r="AH143" i="71" s="1"/>
  <c r="AH144" i="71" s="1"/>
  <c r="AH145" i="71" s="1"/>
  <c r="AH146" i="71" s="1"/>
  <c r="AH147" i="71" s="1"/>
  <c r="AH148" i="71" s="1"/>
  <c r="AH149" i="71" s="1"/>
  <c r="AH150" i="71" s="1"/>
  <c r="AH151" i="71" s="1"/>
  <c r="AH152" i="71" s="1"/>
  <c r="AH153" i="71" s="1"/>
  <c r="AH154" i="71" s="1"/>
  <c r="AH155" i="71" s="1"/>
  <c r="AH156" i="71" s="1"/>
  <c r="AH157" i="71" s="1"/>
  <c r="AH158" i="71" s="1"/>
  <c r="AH159" i="71" s="1"/>
  <c r="AH160" i="71" s="1"/>
  <c r="AH161" i="71" s="1"/>
  <c r="AH162" i="71" s="1"/>
  <c r="AH163" i="71" s="1"/>
  <c r="AH164" i="71" s="1"/>
  <c r="AH165" i="71" s="1"/>
  <c r="AH166" i="71" s="1"/>
  <c r="AH167" i="71" s="1"/>
  <c r="AH168" i="71" s="1"/>
  <c r="AH169" i="71" s="1"/>
  <c r="AH170" i="71" s="1"/>
  <c r="AH171" i="71" s="1"/>
  <c r="AH172" i="71" s="1"/>
  <c r="AH173" i="71" s="1"/>
  <c r="AH174" i="71" s="1"/>
  <c r="AH175" i="71" s="1"/>
  <c r="AH176" i="71" s="1"/>
  <c r="AH177" i="71" s="1"/>
  <c r="AH178" i="71" s="1"/>
  <c r="AH179" i="71" s="1"/>
  <c r="AH180" i="71" s="1"/>
  <c r="AH181" i="71" s="1"/>
  <c r="AH182" i="71" s="1"/>
  <c r="AH183" i="71" s="1"/>
  <c r="AH184" i="71" s="1"/>
  <c r="AH185" i="71" s="1"/>
  <c r="AH186" i="71" s="1"/>
  <c r="AH187" i="71" s="1"/>
  <c r="AH188" i="71" s="1"/>
  <c r="AH189" i="71" s="1"/>
  <c r="AH190" i="71" s="1"/>
  <c r="AH191" i="71" s="1"/>
  <c r="AH192" i="71" s="1"/>
  <c r="AH193" i="71" s="1"/>
  <c r="AH194" i="71" s="1"/>
  <c r="AH195" i="71" s="1"/>
  <c r="AH196" i="71" s="1"/>
  <c r="AH197" i="71" s="1"/>
  <c r="AH198" i="71" s="1"/>
  <c r="AH199" i="71" s="1"/>
  <c r="AH200" i="71" s="1"/>
  <c r="AH201" i="71" s="1"/>
  <c r="AH202" i="71" s="1"/>
  <c r="AH203" i="71" s="1"/>
  <c r="AH204" i="71" s="1"/>
  <c r="AH205" i="71" s="1"/>
  <c r="AH206" i="71" s="1"/>
  <c r="AH207" i="71" s="1"/>
  <c r="AH208" i="71" s="1"/>
  <c r="AH209" i="71" s="1"/>
  <c r="AH210" i="71" s="1"/>
  <c r="AH211" i="71" s="1"/>
  <c r="AH212" i="71" s="1"/>
  <c r="AH213" i="71" s="1"/>
  <c r="AH214" i="71" s="1"/>
  <c r="AH215" i="71" s="1"/>
  <c r="AH216" i="71" s="1"/>
  <c r="AH217" i="71" s="1"/>
  <c r="AH218" i="71" s="1"/>
  <c r="AH219" i="71" s="1"/>
  <c r="AH220" i="71" s="1"/>
  <c r="AH221" i="71" s="1"/>
  <c r="AH222" i="71" s="1"/>
  <c r="AH223" i="71" s="1"/>
  <c r="AH224" i="71" s="1"/>
  <c r="AH225" i="71" s="1"/>
  <c r="AH226" i="71" s="1"/>
  <c r="AH227" i="71" s="1"/>
  <c r="AH228" i="71" s="1"/>
  <c r="AH229" i="71" s="1"/>
  <c r="AH230" i="71" s="1"/>
  <c r="AH231" i="71" s="1"/>
  <c r="AH232" i="71" s="1"/>
  <c r="AH233" i="71" s="1"/>
  <c r="AH234" i="71" s="1"/>
  <c r="AG12" i="71"/>
  <c r="AG13" i="71" s="1"/>
  <c r="AG14" i="71" s="1"/>
  <c r="AG15" i="71" s="1"/>
  <c r="AG16" i="71" s="1"/>
  <c r="AG17" i="71" s="1"/>
  <c r="AG18" i="71" s="1"/>
  <c r="AG19" i="71" s="1"/>
  <c r="AG20" i="71" s="1"/>
  <c r="AG21" i="71" s="1"/>
  <c r="AG22" i="71" s="1"/>
  <c r="AG23" i="71" s="1"/>
  <c r="AG24" i="71" s="1"/>
  <c r="AG25" i="71" s="1"/>
  <c r="AG26" i="71" s="1"/>
  <c r="AG27" i="71" s="1"/>
  <c r="AG28" i="71" s="1"/>
  <c r="AG29" i="71" s="1"/>
  <c r="AG30" i="71" s="1"/>
  <c r="AG31" i="71" s="1"/>
  <c r="AG32" i="71" s="1"/>
  <c r="AG33" i="71" s="1"/>
  <c r="AG34" i="71" s="1"/>
  <c r="AG35" i="71" s="1"/>
  <c r="AG36" i="71" s="1"/>
  <c r="AG37" i="71" s="1"/>
  <c r="AG38" i="71" s="1"/>
  <c r="AG39" i="71" s="1"/>
  <c r="AG40" i="71" s="1"/>
  <c r="AG41" i="71" s="1"/>
  <c r="AG42" i="71" s="1"/>
  <c r="AG43" i="71" s="1"/>
  <c r="AG44" i="71" s="1"/>
  <c r="AG45" i="71" s="1"/>
  <c r="AG46" i="71" s="1"/>
  <c r="AG47" i="71" s="1"/>
  <c r="AG48" i="71" s="1"/>
  <c r="AG49" i="71" s="1"/>
  <c r="AG50" i="71" s="1"/>
  <c r="AG51" i="71" s="1"/>
  <c r="AG52" i="71" s="1"/>
  <c r="AG53" i="71" s="1"/>
  <c r="AG54" i="71" s="1"/>
  <c r="AG55" i="71" s="1"/>
  <c r="AG56" i="71" s="1"/>
  <c r="AG57" i="71" s="1"/>
  <c r="AG58" i="71" s="1"/>
  <c r="AG59" i="71" s="1"/>
  <c r="AG60" i="71" s="1"/>
  <c r="AG61" i="71" s="1"/>
  <c r="AG62" i="71" s="1"/>
  <c r="AG63" i="71" s="1"/>
  <c r="AG64" i="71" s="1"/>
  <c r="AG65" i="71" s="1"/>
  <c r="AG66" i="71" s="1"/>
  <c r="AG67" i="71" s="1"/>
  <c r="AG68" i="71" s="1"/>
  <c r="AG69" i="71" s="1"/>
  <c r="AG70" i="71" s="1"/>
  <c r="AG71" i="71" s="1"/>
  <c r="AG72" i="71" s="1"/>
  <c r="AG73" i="71" s="1"/>
  <c r="AG74" i="71" s="1"/>
  <c r="AG75" i="71" s="1"/>
  <c r="AG76" i="71" s="1"/>
  <c r="AG77" i="71" s="1"/>
  <c r="AG78" i="71" s="1"/>
  <c r="AG79" i="71" s="1"/>
  <c r="AG80" i="71" s="1"/>
  <c r="AG81" i="71" s="1"/>
  <c r="AG82" i="71" s="1"/>
  <c r="AG83" i="71" s="1"/>
  <c r="AG84" i="71" s="1"/>
  <c r="AG85" i="71" s="1"/>
  <c r="AG86" i="71" s="1"/>
  <c r="AG87" i="71" s="1"/>
  <c r="AG88" i="71" s="1"/>
  <c r="AG89" i="71" s="1"/>
  <c r="AG90" i="71" s="1"/>
  <c r="AG91" i="71" s="1"/>
  <c r="AG92" i="71" s="1"/>
  <c r="AG93" i="71" s="1"/>
  <c r="AG94" i="71" s="1"/>
  <c r="AG95" i="71" s="1"/>
  <c r="AG96" i="71" s="1"/>
  <c r="AG97" i="71" s="1"/>
  <c r="AG98" i="71" s="1"/>
  <c r="AG99" i="71" s="1"/>
  <c r="AG100" i="71" s="1"/>
  <c r="AG101" i="71" s="1"/>
  <c r="AG102" i="71" s="1"/>
  <c r="AG103" i="71" s="1"/>
  <c r="AG104" i="71" s="1"/>
  <c r="AG105" i="71" s="1"/>
  <c r="AG106" i="71" s="1"/>
  <c r="AG107" i="71" s="1"/>
  <c r="AG108" i="71" s="1"/>
  <c r="AG109" i="71" s="1"/>
  <c r="AG110" i="71" s="1"/>
  <c r="AG111" i="71" s="1"/>
  <c r="AG112" i="71" s="1"/>
  <c r="AG113" i="71" s="1"/>
  <c r="AG114" i="71" s="1"/>
  <c r="AG115" i="71" s="1"/>
  <c r="AG116" i="71" s="1"/>
  <c r="AG117" i="71" s="1"/>
  <c r="AG118" i="71" s="1"/>
  <c r="AG119" i="71" s="1"/>
  <c r="AG120" i="71" s="1"/>
  <c r="AG121" i="71" s="1"/>
  <c r="AG122" i="71" s="1"/>
  <c r="AG123" i="71" s="1"/>
  <c r="AG124" i="71" s="1"/>
  <c r="AG125" i="71" s="1"/>
  <c r="AG126" i="71" s="1"/>
  <c r="AG127" i="71" s="1"/>
  <c r="AG128" i="71" s="1"/>
  <c r="AG129" i="71" s="1"/>
  <c r="AG130" i="71" s="1"/>
  <c r="AG131" i="71" s="1"/>
  <c r="AG132" i="71" s="1"/>
  <c r="AG133" i="71" s="1"/>
  <c r="AG134" i="71" s="1"/>
  <c r="AG135" i="71" s="1"/>
  <c r="AG136" i="71" s="1"/>
  <c r="AG137" i="71" s="1"/>
  <c r="AG138" i="71" s="1"/>
  <c r="AG139" i="71" s="1"/>
  <c r="AG140" i="71" s="1"/>
  <c r="AG141" i="71" s="1"/>
  <c r="AG142" i="71" s="1"/>
  <c r="AG143" i="71" s="1"/>
  <c r="AG144" i="71" s="1"/>
  <c r="AG145" i="71" s="1"/>
  <c r="AG146" i="71" s="1"/>
  <c r="AG147" i="71" s="1"/>
  <c r="AG148" i="71" s="1"/>
  <c r="AG149" i="71" s="1"/>
  <c r="AG150" i="71" s="1"/>
  <c r="AG151" i="71" s="1"/>
  <c r="AG152" i="71" s="1"/>
  <c r="AG153" i="71" s="1"/>
  <c r="AG154" i="71" s="1"/>
  <c r="AG155" i="71" s="1"/>
  <c r="AG156" i="71" s="1"/>
  <c r="AG157" i="71" s="1"/>
  <c r="AG158" i="71" s="1"/>
  <c r="AG159" i="71" s="1"/>
  <c r="AG160" i="71" s="1"/>
  <c r="AG161" i="71" s="1"/>
  <c r="AG162" i="71" s="1"/>
  <c r="AG163" i="71" s="1"/>
  <c r="AG164" i="71" s="1"/>
  <c r="AG165" i="71" s="1"/>
  <c r="AG166" i="71" s="1"/>
  <c r="AG167" i="71" s="1"/>
  <c r="AG168" i="71" s="1"/>
  <c r="AG169" i="71" s="1"/>
  <c r="AG170" i="71" s="1"/>
  <c r="AG171" i="71" s="1"/>
  <c r="AG172" i="71" s="1"/>
  <c r="AG173" i="71" s="1"/>
  <c r="AG174" i="71" s="1"/>
  <c r="AG175" i="71" s="1"/>
  <c r="AG176" i="71" s="1"/>
  <c r="AG177" i="71" s="1"/>
  <c r="AG178" i="71" s="1"/>
  <c r="AG179" i="71" s="1"/>
  <c r="AG180" i="71" s="1"/>
  <c r="AG181" i="71" s="1"/>
  <c r="AG182" i="71" s="1"/>
  <c r="AG183" i="71" s="1"/>
  <c r="AG184" i="71" s="1"/>
  <c r="AG185" i="71" s="1"/>
  <c r="AG186" i="71" s="1"/>
  <c r="AG187" i="71" s="1"/>
  <c r="AG188" i="71" s="1"/>
  <c r="AG189" i="71" s="1"/>
  <c r="AG190" i="71" s="1"/>
  <c r="AG191" i="71" s="1"/>
  <c r="AG192" i="71" s="1"/>
  <c r="AG193" i="71" s="1"/>
  <c r="AG194" i="71" s="1"/>
  <c r="AG195" i="71" s="1"/>
  <c r="AG196" i="71" s="1"/>
  <c r="AG197" i="71" s="1"/>
  <c r="AG198" i="71" s="1"/>
  <c r="AG199" i="71" s="1"/>
  <c r="AG200" i="71" s="1"/>
  <c r="AG201" i="71" s="1"/>
  <c r="AG202" i="71" s="1"/>
  <c r="AG203" i="71" s="1"/>
  <c r="AG204" i="71" s="1"/>
  <c r="AG205" i="71" s="1"/>
  <c r="AG206" i="71" s="1"/>
  <c r="AG207" i="71" s="1"/>
  <c r="AG208" i="71" s="1"/>
  <c r="AG209" i="71" s="1"/>
  <c r="AG210" i="71" s="1"/>
  <c r="AG211" i="71" s="1"/>
  <c r="AG212" i="71" s="1"/>
  <c r="AG213" i="71" s="1"/>
  <c r="AG214" i="71" s="1"/>
  <c r="AG215" i="71" s="1"/>
  <c r="AG216" i="71" s="1"/>
  <c r="AG217" i="71" s="1"/>
  <c r="AG218" i="71" s="1"/>
  <c r="AG219" i="71" s="1"/>
  <c r="AG220" i="71" s="1"/>
  <c r="AG221" i="71" s="1"/>
  <c r="AG222" i="71" s="1"/>
  <c r="AG223" i="71" s="1"/>
  <c r="AG224" i="71" s="1"/>
  <c r="AG225" i="71" s="1"/>
  <c r="AG226" i="71" s="1"/>
  <c r="AG227" i="71" s="1"/>
  <c r="AG228" i="71" s="1"/>
  <c r="AG229" i="71" s="1"/>
  <c r="AG230" i="71" s="1"/>
  <c r="AG231" i="71" s="1"/>
  <c r="AG232" i="71" s="1"/>
  <c r="AG233" i="71" s="1"/>
  <c r="AG234" i="71" s="1"/>
  <c r="AF12" i="71"/>
  <c r="AF13" i="71" s="1"/>
  <c r="AF14" i="71" s="1"/>
  <c r="AF15" i="71" s="1"/>
  <c r="AF16" i="71" s="1"/>
  <c r="AF17" i="71" s="1"/>
  <c r="AF18" i="71" s="1"/>
  <c r="AF19" i="71" s="1"/>
  <c r="AF20" i="71" s="1"/>
  <c r="AF21" i="71" s="1"/>
  <c r="AF22" i="71" s="1"/>
  <c r="AF23" i="71" s="1"/>
  <c r="AF24" i="71" s="1"/>
  <c r="AF25" i="71" s="1"/>
  <c r="AF26" i="71" s="1"/>
  <c r="AF27" i="71" s="1"/>
  <c r="AF28" i="71" s="1"/>
  <c r="AF29" i="71" s="1"/>
  <c r="AF30" i="71" s="1"/>
  <c r="AF31" i="71" s="1"/>
  <c r="AF32" i="71" s="1"/>
  <c r="AF33" i="71" s="1"/>
  <c r="AF34" i="71" s="1"/>
  <c r="AF35" i="71" s="1"/>
  <c r="AF36" i="71" s="1"/>
  <c r="AF37" i="71" s="1"/>
  <c r="AF38" i="71" s="1"/>
  <c r="AF39" i="71" s="1"/>
  <c r="AF40" i="71" s="1"/>
  <c r="AF41" i="71" s="1"/>
  <c r="AF42" i="71" s="1"/>
  <c r="AF43" i="71" s="1"/>
  <c r="AF44" i="71" s="1"/>
  <c r="AF45" i="71" s="1"/>
  <c r="AF46" i="71" s="1"/>
  <c r="AF47" i="71" s="1"/>
  <c r="AF48" i="71" s="1"/>
  <c r="AF49" i="71" s="1"/>
  <c r="AF50" i="71" s="1"/>
  <c r="AF51" i="71" s="1"/>
  <c r="AF52" i="71" s="1"/>
  <c r="AF53" i="71" s="1"/>
  <c r="AF54" i="71" s="1"/>
  <c r="AF55" i="71" s="1"/>
  <c r="AF56" i="71" s="1"/>
  <c r="AF57" i="71" s="1"/>
  <c r="AF58" i="71" s="1"/>
  <c r="AF59" i="71" s="1"/>
  <c r="AF60" i="71" s="1"/>
  <c r="AF61" i="71" s="1"/>
  <c r="AF62" i="71" s="1"/>
  <c r="AF63" i="71" s="1"/>
  <c r="AF64" i="71" s="1"/>
  <c r="AF65" i="71" s="1"/>
  <c r="AF66" i="71" s="1"/>
  <c r="AF67" i="71" s="1"/>
  <c r="AF68" i="71" s="1"/>
  <c r="AF69" i="71" s="1"/>
  <c r="AF70" i="71" s="1"/>
  <c r="AF71" i="71" s="1"/>
  <c r="AF72" i="71" s="1"/>
  <c r="AF73" i="71" s="1"/>
  <c r="AF74" i="71" s="1"/>
  <c r="AF75" i="71" s="1"/>
  <c r="AF76" i="71" s="1"/>
  <c r="AF77" i="71" s="1"/>
  <c r="AF78" i="71" s="1"/>
  <c r="AF79" i="71" s="1"/>
  <c r="AF80" i="71" s="1"/>
  <c r="AF81" i="71" s="1"/>
  <c r="AF82" i="71" s="1"/>
  <c r="AF83" i="71" s="1"/>
  <c r="AF84" i="71" s="1"/>
  <c r="AF85" i="71" s="1"/>
  <c r="AF86" i="71" s="1"/>
  <c r="AF87" i="71" s="1"/>
  <c r="AF88" i="71" s="1"/>
  <c r="AF89" i="71" s="1"/>
  <c r="AF90" i="71" s="1"/>
  <c r="AF91" i="71" s="1"/>
  <c r="AF92" i="71" s="1"/>
  <c r="AF93" i="71" s="1"/>
  <c r="AF94" i="71" s="1"/>
  <c r="AF95" i="71" s="1"/>
  <c r="AF96" i="71" s="1"/>
  <c r="AF97" i="71" s="1"/>
  <c r="AF98" i="71" s="1"/>
  <c r="AF99" i="71" s="1"/>
  <c r="AF100" i="71" s="1"/>
  <c r="AF101" i="71" s="1"/>
  <c r="AF102" i="71" s="1"/>
  <c r="AF103" i="71" s="1"/>
  <c r="AF104" i="71" s="1"/>
  <c r="AF105" i="71" s="1"/>
  <c r="AF106" i="71" s="1"/>
  <c r="AF107" i="71" s="1"/>
  <c r="AF108" i="71" s="1"/>
  <c r="AF109" i="71" s="1"/>
  <c r="AF110" i="71" s="1"/>
  <c r="AF111" i="71" s="1"/>
  <c r="AF112" i="71" s="1"/>
  <c r="AF113" i="71" s="1"/>
  <c r="AF114" i="71" s="1"/>
  <c r="AF115" i="71" s="1"/>
  <c r="AF116" i="71" s="1"/>
  <c r="AF117" i="71" s="1"/>
  <c r="AF118" i="71" s="1"/>
  <c r="AF119" i="71" s="1"/>
  <c r="AF120" i="71" s="1"/>
  <c r="AF121" i="71" s="1"/>
  <c r="AF122" i="71" s="1"/>
  <c r="AF123" i="71" s="1"/>
  <c r="AF124" i="71" s="1"/>
  <c r="AF125" i="71" s="1"/>
  <c r="AF126" i="71" s="1"/>
  <c r="AF127" i="71" s="1"/>
  <c r="AF128" i="71" s="1"/>
  <c r="AF129" i="71" s="1"/>
  <c r="AF130" i="71" s="1"/>
  <c r="AF131" i="71" s="1"/>
  <c r="AF132" i="71" s="1"/>
  <c r="AF133" i="71" s="1"/>
  <c r="AF134" i="71" s="1"/>
  <c r="AF135" i="71" s="1"/>
  <c r="AF136" i="71" s="1"/>
  <c r="AF137" i="71" s="1"/>
  <c r="AF138" i="71" s="1"/>
  <c r="AF139" i="71" s="1"/>
  <c r="AF140" i="71" s="1"/>
  <c r="AF141" i="71" s="1"/>
  <c r="AF142" i="71" s="1"/>
  <c r="AF143" i="71" s="1"/>
  <c r="AF144" i="71" s="1"/>
  <c r="AF145" i="71" s="1"/>
  <c r="AF146" i="71" s="1"/>
  <c r="AF147" i="71" s="1"/>
  <c r="AF148" i="71" s="1"/>
  <c r="AF149" i="71" s="1"/>
  <c r="AF150" i="71" s="1"/>
  <c r="AF151" i="71" s="1"/>
  <c r="AF152" i="71" s="1"/>
  <c r="AF153" i="71" s="1"/>
  <c r="AF154" i="71" s="1"/>
  <c r="AF155" i="71" s="1"/>
  <c r="AF156" i="71" s="1"/>
  <c r="AF157" i="71" s="1"/>
  <c r="AF158" i="71" s="1"/>
  <c r="AF159" i="71" s="1"/>
  <c r="AF160" i="71" s="1"/>
  <c r="AF161" i="71" s="1"/>
  <c r="AF162" i="71" s="1"/>
  <c r="AF163" i="71" s="1"/>
  <c r="AF164" i="71" s="1"/>
  <c r="AF165" i="71" s="1"/>
  <c r="AF166" i="71" s="1"/>
  <c r="AF167" i="71" s="1"/>
  <c r="AF168" i="71" s="1"/>
  <c r="AF169" i="71" s="1"/>
  <c r="AF170" i="71" s="1"/>
  <c r="AF171" i="71" s="1"/>
  <c r="AF172" i="71" s="1"/>
  <c r="AF173" i="71" s="1"/>
  <c r="AF174" i="71" s="1"/>
  <c r="AF175" i="71" s="1"/>
  <c r="AF176" i="71" s="1"/>
  <c r="AF177" i="71" s="1"/>
  <c r="AF178" i="71" s="1"/>
  <c r="AF179" i="71" s="1"/>
  <c r="AF180" i="71" s="1"/>
  <c r="AF181" i="71" s="1"/>
  <c r="AF182" i="71" s="1"/>
  <c r="AF183" i="71" s="1"/>
  <c r="AF184" i="71" s="1"/>
  <c r="AF185" i="71" s="1"/>
  <c r="AF186" i="71" s="1"/>
  <c r="AF187" i="71" s="1"/>
  <c r="AF188" i="71" s="1"/>
  <c r="AF189" i="71" s="1"/>
  <c r="AF190" i="71" s="1"/>
  <c r="AF191" i="71" s="1"/>
  <c r="AF192" i="71" s="1"/>
  <c r="AF193" i="71" s="1"/>
  <c r="AF194" i="71" s="1"/>
  <c r="AF195" i="71" s="1"/>
  <c r="AF196" i="71" s="1"/>
  <c r="AF197" i="71" s="1"/>
  <c r="AF198" i="71" s="1"/>
  <c r="AF199" i="71" s="1"/>
  <c r="AF200" i="71" s="1"/>
  <c r="AF201" i="71" s="1"/>
  <c r="AF202" i="71" s="1"/>
  <c r="AF203" i="71" s="1"/>
  <c r="AF204" i="71" s="1"/>
  <c r="AF205" i="71" s="1"/>
  <c r="AF206" i="71" s="1"/>
  <c r="AF207" i="71" s="1"/>
  <c r="AF208" i="71" s="1"/>
  <c r="AF209" i="71" s="1"/>
  <c r="AF210" i="71" s="1"/>
  <c r="AF211" i="71" s="1"/>
  <c r="AF212" i="71" s="1"/>
  <c r="AF213" i="71" s="1"/>
  <c r="AF214" i="71" s="1"/>
  <c r="AF215" i="71" s="1"/>
  <c r="AF216" i="71" s="1"/>
  <c r="AF217" i="71" s="1"/>
  <c r="AF218" i="71" s="1"/>
  <c r="AF219" i="71" s="1"/>
  <c r="AF220" i="71" s="1"/>
  <c r="AF221" i="71" s="1"/>
  <c r="AF222" i="71" s="1"/>
  <c r="AF223" i="71" s="1"/>
  <c r="AF224" i="71" s="1"/>
  <c r="AF225" i="71" s="1"/>
  <c r="AF226" i="71" s="1"/>
  <c r="AF227" i="71" s="1"/>
  <c r="AF228" i="71" s="1"/>
  <c r="AF229" i="71" s="1"/>
  <c r="AF230" i="71" s="1"/>
  <c r="AF231" i="71" s="1"/>
  <c r="AF232" i="71" s="1"/>
  <c r="AF233" i="71" s="1"/>
  <c r="AF234" i="71" s="1"/>
  <c r="AE12" i="71"/>
  <c r="AE13" i="71" s="1"/>
  <c r="AE14" i="71" s="1"/>
  <c r="AE15" i="71" s="1"/>
  <c r="AE16" i="71" s="1"/>
  <c r="AE17" i="71" s="1"/>
  <c r="AE18" i="71" s="1"/>
  <c r="AE19" i="71" s="1"/>
  <c r="AE20" i="71" s="1"/>
  <c r="AE21" i="71" s="1"/>
  <c r="AE22" i="71" s="1"/>
  <c r="AE23" i="71" s="1"/>
  <c r="AE24" i="71" s="1"/>
  <c r="AE25" i="71" s="1"/>
  <c r="AE26" i="71" s="1"/>
  <c r="AE27" i="71" s="1"/>
  <c r="AE28" i="71" s="1"/>
  <c r="AE29" i="71" s="1"/>
  <c r="AE30" i="71" s="1"/>
  <c r="AE31" i="71" s="1"/>
  <c r="AE32" i="71" s="1"/>
  <c r="AE33" i="71" s="1"/>
  <c r="AE34" i="71" s="1"/>
  <c r="AE35" i="71" s="1"/>
  <c r="AE36" i="71" s="1"/>
  <c r="AE37" i="71" s="1"/>
  <c r="AE38" i="71" s="1"/>
  <c r="AE39" i="71" s="1"/>
  <c r="AE40" i="71" s="1"/>
  <c r="AE41" i="71" s="1"/>
  <c r="AE42" i="71" s="1"/>
  <c r="AE43" i="71" s="1"/>
  <c r="AE44" i="71" s="1"/>
  <c r="AE45" i="71" s="1"/>
  <c r="AE46" i="71" s="1"/>
  <c r="AE47" i="71" s="1"/>
  <c r="AE48" i="71" s="1"/>
  <c r="AE49" i="71" s="1"/>
  <c r="AE50" i="71" s="1"/>
  <c r="AE51" i="71" s="1"/>
  <c r="AE52" i="71" s="1"/>
  <c r="AE53" i="71" s="1"/>
  <c r="AE54" i="71" s="1"/>
  <c r="AE55" i="71" s="1"/>
  <c r="AE56" i="71" s="1"/>
  <c r="AE57" i="71" s="1"/>
  <c r="AE58" i="71" s="1"/>
  <c r="AE59" i="71" s="1"/>
  <c r="AE60" i="71" s="1"/>
  <c r="AE62" i="71" s="1"/>
  <c r="AE63" i="71" s="1"/>
  <c r="AE64" i="71" s="1"/>
  <c r="AE65" i="71" s="1"/>
  <c r="AE66" i="71" s="1"/>
  <c r="AE67" i="71" s="1"/>
  <c r="AE68" i="71" s="1"/>
  <c r="AE69" i="71" s="1"/>
  <c r="AE70" i="71" s="1"/>
  <c r="AE71" i="71" s="1"/>
  <c r="AE72" i="71" s="1"/>
  <c r="AE73" i="71" s="1"/>
  <c r="AE74" i="71" s="1"/>
  <c r="AE75" i="71" s="1"/>
  <c r="AE76" i="71" s="1"/>
  <c r="AE77" i="71" s="1"/>
  <c r="AE78" i="71" s="1"/>
  <c r="AE79" i="71" s="1"/>
  <c r="AE80" i="71" s="1"/>
  <c r="AE81" i="71" s="1"/>
  <c r="AE82" i="71" s="1"/>
  <c r="AE83" i="71" s="1"/>
  <c r="AE84" i="71" s="1"/>
  <c r="AE85" i="71" s="1"/>
  <c r="AE86" i="71" s="1"/>
  <c r="AE87" i="71" s="1"/>
  <c r="AE88" i="71" s="1"/>
  <c r="AE89" i="71" s="1"/>
  <c r="AE90" i="71" s="1"/>
  <c r="AE91" i="71" s="1"/>
  <c r="AE92" i="71" s="1"/>
  <c r="AE93" i="71" s="1"/>
  <c r="AE94" i="71" s="1"/>
  <c r="AE95" i="71" s="1"/>
  <c r="AE96" i="71" s="1"/>
  <c r="AE97" i="71" s="1"/>
  <c r="AE98" i="71" s="1"/>
  <c r="AE99" i="71" s="1"/>
  <c r="AE100" i="71" s="1"/>
  <c r="AE101" i="71" s="1"/>
  <c r="AE102" i="71" s="1"/>
  <c r="AE103" i="71" s="1"/>
  <c r="AE104" i="71" s="1"/>
  <c r="AE105" i="71" s="1"/>
  <c r="AE106" i="71" s="1"/>
  <c r="AE107" i="71" s="1"/>
  <c r="AE108" i="71" s="1"/>
  <c r="AE109" i="71" s="1"/>
  <c r="AE110" i="71" s="1"/>
  <c r="AE111" i="71" s="1"/>
  <c r="AE112" i="71" s="1"/>
  <c r="AE113" i="71" s="1"/>
  <c r="AE114" i="71" s="1"/>
  <c r="AE115" i="71" s="1"/>
  <c r="AE116" i="71" s="1"/>
  <c r="AE117" i="71" s="1"/>
  <c r="AE118" i="71" s="1"/>
  <c r="AE119" i="71" s="1"/>
  <c r="AE120" i="71" s="1"/>
  <c r="AE121" i="71" s="1"/>
  <c r="AE122" i="71" s="1"/>
  <c r="AE123" i="71" s="1"/>
  <c r="AE124" i="71" s="1"/>
  <c r="AE125" i="71" s="1"/>
  <c r="AE126" i="71" s="1"/>
  <c r="AE127" i="71" s="1"/>
  <c r="AE128" i="71" s="1"/>
  <c r="AE129" i="71" s="1"/>
  <c r="AE130" i="71" s="1"/>
  <c r="AE131" i="71" s="1"/>
  <c r="AE132" i="71" s="1"/>
  <c r="AE133" i="71" s="1"/>
  <c r="AE134" i="71" s="1"/>
  <c r="AE135" i="71" s="1"/>
  <c r="AE136" i="71" s="1"/>
  <c r="AE137" i="71" s="1"/>
  <c r="AE138" i="71" s="1"/>
  <c r="AE139" i="71" s="1"/>
  <c r="AE140" i="71" s="1"/>
  <c r="AE141" i="71" s="1"/>
  <c r="AE142" i="71" s="1"/>
  <c r="AE143" i="71" s="1"/>
  <c r="AE144" i="71" s="1"/>
  <c r="AE145" i="71" s="1"/>
  <c r="AE146" i="71" s="1"/>
  <c r="AE147" i="71" s="1"/>
  <c r="AE148" i="71" s="1"/>
  <c r="AE149" i="71" s="1"/>
  <c r="AE150" i="71" s="1"/>
  <c r="AE151" i="71" s="1"/>
  <c r="AE152" i="71" s="1"/>
  <c r="AE153" i="71" s="1"/>
  <c r="AE154" i="71" s="1"/>
  <c r="AE155" i="71" s="1"/>
  <c r="AE156" i="71" s="1"/>
  <c r="AE157" i="71" s="1"/>
  <c r="AE158" i="71" s="1"/>
  <c r="AE159" i="71" s="1"/>
  <c r="AE160" i="71" s="1"/>
  <c r="AE161" i="71" s="1"/>
  <c r="AE162" i="71" s="1"/>
  <c r="AE163" i="71" s="1"/>
  <c r="AE164" i="71" s="1"/>
  <c r="AE165" i="71" s="1"/>
  <c r="AE166" i="71" s="1"/>
  <c r="AE167" i="71" s="1"/>
  <c r="AE168" i="71" s="1"/>
  <c r="AE169" i="71" s="1"/>
  <c r="AE170" i="71" s="1"/>
  <c r="AE171" i="71" s="1"/>
  <c r="AE172" i="71" s="1"/>
  <c r="AE173" i="71" s="1"/>
  <c r="AE174" i="71" s="1"/>
  <c r="AE175" i="71" s="1"/>
  <c r="AE176" i="71" s="1"/>
  <c r="AE177" i="71" s="1"/>
  <c r="AE178" i="71" s="1"/>
  <c r="AE179" i="71" s="1"/>
  <c r="AE180" i="71" s="1"/>
  <c r="AE181" i="71" s="1"/>
  <c r="AE182" i="71" s="1"/>
  <c r="Y12" i="71"/>
  <c r="Y13" i="71" s="1"/>
  <c r="Y14" i="71" s="1"/>
  <c r="Y15" i="71" s="1"/>
  <c r="Y16" i="71" s="1"/>
  <c r="Y17" i="71" s="1"/>
  <c r="Y18" i="71" s="1"/>
  <c r="Y19" i="71" s="1"/>
  <c r="Y20" i="71" s="1"/>
  <c r="Y21" i="71" s="1"/>
  <c r="Y22" i="71" s="1"/>
  <c r="Y23" i="71" s="1"/>
  <c r="Y24" i="71" s="1"/>
  <c r="Y25" i="71" s="1"/>
  <c r="Y26" i="71" s="1"/>
  <c r="Y27" i="71" s="1"/>
  <c r="Y28" i="71" s="1"/>
  <c r="Y29" i="71" s="1"/>
  <c r="Y30" i="71" s="1"/>
  <c r="Y31" i="71" s="1"/>
  <c r="Y32" i="71" s="1"/>
  <c r="Y33" i="71" s="1"/>
  <c r="Y34" i="71" s="1"/>
  <c r="Y35" i="71" s="1"/>
  <c r="Y36" i="71" s="1"/>
  <c r="Y37" i="71" s="1"/>
  <c r="Y38" i="71" s="1"/>
  <c r="Y39" i="71" s="1"/>
  <c r="Y40" i="71" s="1"/>
  <c r="Y41" i="71" s="1"/>
  <c r="Y42" i="71" s="1"/>
  <c r="Y43" i="71" s="1"/>
  <c r="Y44" i="71" s="1"/>
  <c r="Y45" i="71" s="1"/>
  <c r="Y46" i="71" s="1"/>
  <c r="Y47" i="71" s="1"/>
  <c r="Y48" i="71" s="1"/>
  <c r="Y49" i="71" s="1"/>
  <c r="Y50" i="71" s="1"/>
  <c r="Y51" i="71" s="1"/>
  <c r="Y52" i="71" s="1"/>
  <c r="Y53" i="71" s="1"/>
  <c r="Y54" i="71" s="1"/>
  <c r="Y55" i="71" s="1"/>
  <c r="Y56" i="71" s="1"/>
  <c r="Y57" i="71" s="1"/>
  <c r="Y58" i="71" s="1"/>
  <c r="Y59" i="71" s="1"/>
  <c r="Y60" i="71" s="1"/>
  <c r="Y61" i="71" s="1"/>
  <c r="Y62" i="71" s="1"/>
  <c r="Y63" i="71" s="1"/>
  <c r="Y64" i="71" s="1"/>
  <c r="Y65" i="71" s="1"/>
  <c r="Y66" i="71" s="1"/>
  <c r="Y67" i="71" s="1"/>
  <c r="Y68" i="71" s="1"/>
  <c r="Y69" i="71" s="1"/>
  <c r="Y70" i="71" s="1"/>
  <c r="Y71" i="71" s="1"/>
  <c r="Y72" i="71" s="1"/>
  <c r="Y73" i="71" s="1"/>
  <c r="Y74" i="71" s="1"/>
  <c r="Y75" i="71" s="1"/>
  <c r="Y76" i="71" s="1"/>
  <c r="Y77" i="71" s="1"/>
  <c r="Y78" i="71" s="1"/>
  <c r="Y79" i="71" s="1"/>
  <c r="Y80" i="71" s="1"/>
  <c r="Y81" i="71" s="1"/>
  <c r="Y82" i="71" s="1"/>
  <c r="Y83" i="71" s="1"/>
  <c r="Y84" i="71" s="1"/>
  <c r="Y85" i="71" s="1"/>
  <c r="Y86" i="71" s="1"/>
  <c r="Y87" i="71" s="1"/>
  <c r="Y88" i="71" s="1"/>
  <c r="Y89" i="71" s="1"/>
  <c r="Y90" i="71" s="1"/>
  <c r="Y91" i="71" s="1"/>
  <c r="Y92" i="71" s="1"/>
  <c r="Y93" i="71" s="1"/>
  <c r="Y94" i="71" s="1"/>
  <c r="Y95" i="71" s="1"/>
  <c r="Y96" i="71" s="1"/>
  <c r="Y97" i="71" s="1"/>
  <c r="Y98" i="71" s="1"/>
  <c r="Y99" i="71" s="1"/>
  <c r="Y100" i="71" s="1"/>
  <c r="Y101" i="71" s="1"/>
  <c r="Y102" i="71" s="1"/>
  <c r="Y103" i="71" s="1"/>
  <c r="Y104" i="71" s="1"/>
  <c r="Y105" i="71" s="1"/>
  <c r="Y106" i="71" s="1"/>
  <c r="Y107" i="71" s="1"/>
  <c r="Y108" i="71" s="1"/>
  <c r="Y109" i="71" s="1"/>
  <c r="Y110" i="71" s="1"/>
  <c r="Y111" i="71" s="1"/>
  <c r="Y112" i="71" s="1"/>
  <c r="Y113" i="71" s="1"/>
  <c r="Y114" i="71" s="1"/>
  <c r="Y115" i="71" s="1"/>
  <c r="Y116" i="71" s="1"/>
  <c r="Y117" i="71" s="1"/>
  <c r="Y118" i="71" s="1"/>
  <c r="Y119" i="71" s="1"/>
  <c r="Y120" i="71" s="1"/>
  <c r="Y121" i="71" s="1"/>
  <c r="Y122" i="71" s="1"/>
  <c r="Y123" i="71" s="1"/>
  <c r="Y124" i="71" s="1"/>
  <c r="Y125" i="71" s="1"/>
  <c r="Y126" i="71" s="1"/>
  <c r="Y127" i="71" s="1"/>
  <c r="Y128" i="71" s="1"/>
  <c r="Y129" i="71" s="1"/>
  <c r="Y130" i="71" s="1"/>
  <c r="Y131" i="71" s="1"/>
  <c r="Y132" i="71" s="1"/>
  <c r="Y133" i="71" s="1"/>
  <c r="Y134" i="71" s="1"/>
  <c r="Y135" i="71" s="1"/>
  <c r="Y136" i="71" s="1"/>
  <c r="Y137" i="71" s="1"/>
  <c r="Y138" i="71" s="1"/>
  <c r="Y139" i="71" s="1"/>
  <c r="Y140" i="71" s="1"/>
  <c r="Y141" i="71" s="1"/>
  <c r="Y142" i="71" s="1"/>
  <c r="Y143" i="71" s="1"/>
  <c r="Y144" i="71" s="1"/>
  <c r="Y145" i="71" s="1"/>
  <c r="Y146" i="71" s="1"/>
  <c r="Y147" i="71" s="1"/>
  <c r="Y148" i="71" s="1"/>
  <c r="Y149" i="71" s="1"/>
  <c r="Y150" i="71" s="1"/>
  <c r="Y151" i="71" s="1"/>
  <c r="Y152" i="71" s="1"/>
  <c r="Y153" i="71" s="1"/>
  <c r="Y154" i="71" s="1"/>
  <c r="Y155" i="71" s="1"/>
  <c r="Y156" i="71" s="1"/>
  <c r="Y157" i="71" s="1"/>
  <c r="Y158" i="71" s="1"/>
  <c r="Y159" i="71" s="1"/>
  <c r="Y160" i="71" s="1"/>
  <c r="Y161" i="71" s="1"/>
  <c r="Y162" i="71" s="1"/>
  <c r="Y163" i="71" s="1"/>
  <c r="Y164" i="71" s="1"/>
  <c r="Y165" i="71" s="1"/>
  <c r="Y166" i="71" s="1"/>
  <c r="Y167" i="71" s="1"/>
  <c r="Y168" i="71" s="1"/>
  <c r="Y169" i="71" s="1"/>
  <c r="Y170" i="71" s="1"/>
  <c r="Y171" i="71" s="1"/>
  <c r="Y172" i="71" s="1"/>
  <c r="Y173" i="71" s="1"/>
  <c r="Y174" i="71" s="1"/>
  <c r="Y175" i="71" s="1"/>
  <c r="Y176" i="71" s="1"/>
  <c r="Y177" i="71" s="1"/>
  <c r="Y178" i="71" s="1"/>
  <c r="Y179" i="71" s="1"/>
  <c r="Y180" i="71" s="1"/>
  <c r="Y181" i="71" s="1"/>
  <c r="Y182" i="71" s="1"/>
  <c r="X12" i="71"/>
  <c r="X13" i="71" s="1"/>
  <c r="X14" i="71" s="1"/>
  <c r="X15" i="71" s="1"/>
  <c r="X16" i="71" s="1"/>
  <c r="X17" i="71" s="1"/>
  <c r="X18" i="71" s="1"/>
  <c r="X19" i="71" s="1"/>
  <c r="X20" i="71" s="1"/>
  <c r="X21" i="71" s="1"/>
  <c r="X22" i="71" s="1"/>
  <c r="X23" i="71" s="1"/>
  <c r="X24" i="71" s="1"/>
  <c r="X25" i="71" s="1"/>
  <c r="X26" i="71" s="1"/>
  <c r="X27" i="71" s="1"/>
  <c r="X28" i="71" s="1"/>
  <c r="X29" i="71" s="1"/>
  <c r="X30" i="71" s="1"/>
  <c r="X31" i="71" s="1"/>
  <c r="X32" i="71" s="1"/>
  <c r="X33" i="71" s="1"/>
  <c r="X34" i="71" s="1"/>
  <c r="X35" i="71" s="1"/>
  <c r="X36" i="71" s="1"/>
  <c r="X37" i="71" s="1"/>
  <c r="X38" i="71" s="1"/>
  <c r="X39" i="71" s="1"/>
  <c r="X40" i="71" s="1"/>
  <c r="X41" i="71" s="1"/>
  <c r="X42" i="71" s="1"/>
  <c r="X43" i="71" s="1"/>
  <c r="X44" i="71" s="1"/>
  <c r="X45" i="71" s="1"/>
  <c r="X46" i="71" s="1"/>
  <c r="X47" i="71" s="1"/>
  <c r="X48" i="71" s="1"/>
  <c r="X49" i="71" s="1"/>
  <c r="X50" i="71" s="1"/>
  <c r="X51" i="71" s="1"/>
  <c r="X52" i="71" s="1"/>
  <c r="X53" i="71" s="1"/>
  <c r="X54" i="71" s="1"/>
  <c r="X55" i="71" s="1"/>
  <c r="X56" i="71" s="1"/>
  <c r="X57" i="71" s="1"/>
  <c r="X58" i="71" s="1"/>
  <c r="X59" i="71" s="1"/>
  <c r="X60" i="71" s="1"/>
  <c r="X61" i="71" s="1"/>
  <c r="X62" i="71" s="1"/>
  <c r="X63" i="71" s="1"/>
  <c r="X64" i="71" s="1"/>
  <c r="X65" i="71" s="1"/>
  <c r="X66" i="71" s="1"/>
  <c r="X67" i="71" s="1"/>
  <c r="X68" i="71" s="1"/>
  <c r="X69" i="71" s="1"/>
  <c r="X70" i="71" s="1"/>
  <c r="X71" i="71" s="1"/>
  <c r="X72" i="71" s="1"/>
  <c r="X73" i="71" s="1"/>
  <c r="X74" i="71" s="1"/>
  <c r="X75" i="71" s="1"/>
  <c r="X76" i="71" s="1"/>
  <c r="X77" i="71" s="1"/>
  <c r="X78" i="71" s="1"/>
  <c r="X79" i="71" s="1"/>
  <c r="X80" i="71" s="1"/>
  <c r="X81" i="71" s="1"/>
  <c r="X82" i="71" s="1"/>
  <c r="X83" i="71" s="1"/>
  <c r="X84" i="71" s="1"/>
  <c r="X85" i="71" s="1"/>
  <c r="X86" i="71" s="1"/>
  <c r="X87" i="71" s="1"/>
  <c r="X88" i="71" s="1"/>
  <c r="X89" i="71" s="1"/>
  <c r="X90" i="71" s="1"/>
  <c r="X91" i="71" s="1"/>
  <c r="X92" i="71" s="1"/>
  <c r="X93" i="71" s="1"/>
  <c r="X94" i="71" s="1"/>
  <c r="X95" i="71" s="1"/>
  <c r="X96" i="71" s="1"/>
  <c r="X97" i="71" s="1"/>
  <c r="X98" i="71" s="1"/>
  <c r="X99" i="71" s="1"/>
  <c r="X100" i="71" s="1"/>
  <c r="X101" i="71" s="1"/>
  <c r="X102" i="71" s="1"/>
  <c r="X103" i="71" s="1"/>
  <c r="X104" i="71" s="1"/>
  <c r="X105" i="71" s="1"/>
  <c r="X106" i="71" s="1"/>
  <c r="X107" i="71" s="1"/>
  <c r="X108" i="71" s="1"/>
  <c r="X109" i="71" s="1"/>
  <c r="X110" i="71" s="1"/>
  <c r="X111" i="71" s="1"/>
  <c r="X112" i="71" s="1"/>
  <c r="X113" i="71" s="1"/>
  <c r="X114" i="71" s="1"/>
  <c r="X115" i="71" s="1"/>
  <c r="X116" i="71" s="1"/>
  <c r="X117" i="71" s="1"/>
  <c r="X118" i="71" s="1"/>
  <c r="X119" i="71" s="1"/>
  <c r="X120" i="71" s="1"/>
  <c r="X121" i="71" s="1"/>
  <c r="X122" i="71" s="1"/>
  <c r="X123" i="71" s="1"/>
  <c r="X124" i="71" s="1"/>
  <c r="X125" i="71" s="1"/>
  <c r="X126" i="71" s="1"/>
  <c r="X127" i="71" s="1"/>
  <c r="X128" i="71" s="1"/>
  <c r="X129" i="71" s="1"/>
  <c r="X130" i="71" s="1"/>
  <c r="X131" i="71" s="1"/>
  <c r="X132" i="71" s="1"/>
  <c r="X133" i="71" s="1"/>
  <c r="X134" i="71" s="1"/>
  <c r="X135" i="71" s="1"/>
  <c r="X136" i="71" s="1"/>
  <c r="X137" i="71" s="1"/>
  <c r="X138" i="71" s="1"/>
  <c r="X139" i="71" s="1"/>
  <c r="X140" i="71" s="1"/>
  <c r="X141" i="71" s="1"/>
  <c r="X142" i="71" s="1"/>
  <c r="X143" i="71" s="1"/>
  <c r="X144" i="71" s="1"/>
  <c r="X145" i="71" s="1"/>
  <c r="X146" i="71" s="1"/>
  <c r="X147" i="71" s="1"/>
  <c r="X148" i="71" s="1"/>
  <c r="X149" i="71" s="1"/>
  <c r="X150" i="71" s="1"/>
  <c r="X151" i="71" s="1"/>
  <c r="X152" i="71" s="1"/>
  <c r="X153" i="71" s="1"/>
  <c r="X154" i="71" s="1"/>
  <c r="X155" i="71" s="1"/>
  <c r="X156" i="71" s="1"/>
  <c r="X157" i="71" s="1"/>
  <c r="X158" i="71" s="1"/>
  <c r="X159" i="71" s="1"/>
  <c r="X160" i="71" s="1"/>
  <c r="X161" i="71" s="1"/>
  <c r="X162" i="71" s="1"/>
  <c r="X163" i="71" s="1"/>
  <c r="X164" i="71" s="1"/>
  <c r="X165" i="71" s="1"/>
  <c r="X166" i="71" s="1"/>
  <c r="X167" i="71" s="1"/>
  <c r="X168" i="71" s="1"/>
  <c r="X169" i="71" s="1"/>
  <c r="X170" i="71" s="1"/>
  <c r="X171" i="71" s="1"/>
  <c r="X172" i="71" s="1"/>
  <c r="X173" i="71" s="1"/>
  <c r="X174" i="71" s="1"/>
  <c r="X175" i="71" s="1"/>
  <c r="X176" i="71" s="1"/>
  <c r="X177" i="71" s="1"/>
  <c r="X178" i="71" s="1"/>
  <c r="X179" i="71" s="1"/>
  <c r="X180" i="71" s="1"/>
  <c r="X181" i="71" s="1"/>
  <c r="X182" i="71" s="1"/>
  <c r="W12" i="71"/>
  <c r="W13" i="71" s="1"/>
  <c r="W14" i="71" s="1"/>
  <c r="W15" i="71" s="1"/>
  <c r="W16" i="71" s="1"/>
  <c r="W17" i="71" s="1"/>
  <c r="W18" i="71" s="1"/>
  <c r="W19" i="71" s="1"/>
  <c r="W20" i="71" s="1"/>
  <c r="W21" i="71" s="1"/>
  <c r="W22" i="71" s="1"/>
  <c r="W23" i="71" s="1"/>
  <c r="W24" i="71" s="1"/>
  <c r="W25" i="71" s="1"/>
  <c r="W26" i="71" s="1"/>
  <c r="W27" i="71" s="1"/>
  <c r="W28" i="71" s="1"/>
  <c r="W29" i="71" s="1"/>
  <c r="W30" i="71" s="1"/>
  <c r="W31" i="71" s="1"/>
  <c r="W32" i="71" s="1"/>
  <c r="W33" i="71" s="1"/>
  <c r="W34" i="71" s="1"/>
  <c r="W35" i="71" s="1"/>
  <c r="W36" i="71" s="1"/>
  <c r="W37" i="71" s="1"/>
  <c r="W38" i="71" s="1"/>
  <c r="W39" i="71" s="1"/>
  <c r="W40" i="71" s="1"/>
  <c r="W41" i="71" s="1"/>
  <c r="W42" i="71" s="1"/>
  <c r="W43" i="71" s="1"/>
  <c r="W44" i="71" s="1"/>
  <c r="W45" i="71" s="1"/>
  <c r="W46" i="71" s="1"/>
  <c r="W47" i="71" s="1"/>
  <c r="W48" i="71" s="1"/>
  <c r="W49" i="71" s="1"/>
  <c r="W50" i="71" s="1"/>
  <c r="W51" i="71" s="1"/>
  <c r="W52" i="71" s="1"/>
  <c r="W53" i="71" s="1"/>
  <c r="W54" i="71" s="1"/>
  <c r="W55" i="71" s="1"/>
  <c r="W56" i="71" s="1"/>
  <c r="W57" i="71" s="1"/>
  <c r="W58" i="71" s="1"/>
  <c r="W59" i="71" s="1"/>
  <c r="W60" i="71" s="1"/>
  <c r="W61" i="71" s="1"/>
  <c r="W62" i="71" s="1"/>
  <c r="W63" i="71" s="1"/>
  <c r="W64" i="71" s="1"/>
  <c r="W65" i="71" s="1"/>
  <c r="W66" i="71" s="1"/>
  <c r="W67" i="71" s="1"/>
  <c r="W68" i="71" s="1"/>
  <c r="W69" i="71" s="1"/>
  <c r="W70" i="71" s="1"/>
  <c r="W71" i="71" s="1"/>
  <c r="W72" i="71" s="1"/>
  <c r="W73" i="71" s="1"/>
  <c r="W74" i="71" s="1"/>
  <c r="W75" i="71" s="1"/>
  <c r="W76" i="71" s="1"/>
  <c r="W77" i="71" s="1"/>
  <c r="W78" i="71" s="1"/>
  <c r="W79" i="71" s="1"/>
  <c r="W80" i="71" s="1"/>
  <c r="W81" i="71" s="1"/>
  <c r="W82" i="71" s="1"/>
  <c r="W83" i="71" s="1"/>
  <c r="W84" i="71" s="1"/>
  <c r="W85" i="71" s="1"/>
  <c r="W86" i="71" s="1"/>
  <c r="W87" i="71" s="1"/>
  <c r="W88" i="71" s="1"/>
  <c r="W89" i="71" s="1"/>
  <c r="W90" i="71" s="1"/>
  <c r="W91" i="71" s="1"/>
  <c r="W92" i="71" s="1"/>
  <c r="W93" i="71" s="1"/>
  <c r="W94" i="71" s="1"/>
  <c r="W95" i="71" s="1"/>
  <c r="W96" i="71" s="1"/>
  <c r="W97" i="71" s="1"/>
  <c r="W98" i="71" s="1"/>
  <c r="W99" i="71" s="1"/>
  <c r="W100" i="71" s="1"/>
  <c r="W101" i="71" s="1"/>
  <c r="W102" i="71" s="1"/>
  <c r="W103" i="71" s="1"/>
  <c r="W104" i="71" s="1"/>
  <c r="W105" i="71" s="1"/>
  <c r="W106" i="71" s="1"/>
  <c r="W107" i="71" s="1"/>
  <c r="W108" i="71" s="1"/>
  <c r="W109" i="71" s="1"/>
  <c r="W110" i="71" s="1"/>
  <c r="W111" i="71" s="1"/>
  <c r="W112" i="71" s="1"/>
  <c r="W113" i="71" s="1"/>
  <c r="W114" i="71" s="1"/>
  <c r="W115" i="71" s="1"/>
  <c r="W116" i="71" s="1"/>
  <c r="W117" i="71" s="1"/>
  <c r="W118" i="71" s="1"/>
  <c r="W119" i="71" s="1"/>
  <c r="W120" i="71" s="1"/>
  <c r="W121" i="71" s="1"/>
  <c r="W122" i="71" s="1"/>
  <c r="W123" i="71" s="1"/>
  <c r="W124" i="71" s="1"/>
  <c r="W125" i="71" s="1"/>
  <c r="W126" i="71" s="1"/>
  <c r="W127" i="71" s="1"/>
  <c r="W128" i="71" s="1"/>
  <c r="W129" i="71" s="1"/>
  <c r="W130" i="71" s="1"/>
  <c r="W131" i="71" s="1"/>
  <c r="W132" i="71" s="1"/>
  <c r="W133" i="71" s="1"/>
  <c r="W134" i="71" s="1"/>
  <c r="W135" i="71" s="1"/>
  <c r="W136" i="71" s="1"/>
  <c r="W137" i="71" s="1"/>
  <c r="W138" i="71" s="1"/>
  <c r="W139" i="71" s="1"/>
  <c r="W140" i="71" s="1"/>
  <c r="W141" i="71" s="1"/>
  <c r="W142" i="71" s="1"/>
  <c r="W143" i="71" s="1"/>
  <c r="W144" i="71" s="1"/>
  <c r="W145" i="71" s="1"/>
  <c r="W146" i="71" s="1"/>
  <c r="W147" i="71" s="1"/>
  <c r="W148" i="71" s="1"/>
  <c r="W149" i="71" s="1"/>
  <c r="W150" i="71" s="1"/>
  <c r="W151" i="71" s="1"/>
  <c r="W152" i="71" s="1"/>
  <c r="W153" i="71" s="1"/>
  <c r="W154" i="71" s="1"/>
  <c r="W155" i="71" s="1"/>
  <c r="W156" i="71" s="1"/>
  <c r="W157" i="71" s="1"/>
  <c r="W158" i="71" s="1"/>
  <c r="W159" i="71" s="1"/>
  <c r="W160" i="71" s="1"/>
  <c r="W161" i="71" s="1"/>
  <c r="W162" i="71" s="1"/>
  <c r="W163" i="71" s="1"/>
  <c r="W164" i="71" s="1"/>
  <c r="W165" i="71" s="1"/>
  <c r="W166" i="71" s="1"/>
  <c r="W167" i="71" s="1"/>
  <c r="W168" i="71" s="1"/>
  <c r="W169" i="71" s="1"/>
  <c r="W170" i="71" s="1"/>
  <c r="W171" i="71" s="1"/>
  <c r="W172" i="71" s="1"/>
  <c r="W173" i="71" s="1"/>
  <c r="W174" i="71" s="1"/>
  <c r="W175" i="71" s="1"/>
  <c r="W176" i="71" s="1"/>
  <c r="W177" i="71" s="1"/>
  <c r="W178" i="71" s="1"/>
  <c r="W179" i="71" s="1"/>
  <c r="W180" i="71" s="1"/>
  <c r="W181" i="71" s="1"/>
  <c r="W182" i="71" s="1"/>
  <c r="V12" i="71"/>
  <c r="V13" i="71" s="1"/>
  <c r="V14" i="71" s="1"/>
  <c r="V15" i="71" s="1"/>
  <c r="V16" i="71" s="1"/>
  <c r="V17" i="71" s="1"/>
  <c r="V18" i="71" s="1"/>
  <c r="V19" i="71" s="1"/>
  <c r="V20" i="71" s="1"/>
  <c r="V21" i="71" s="1"/>
  <c r="V22" i="71" s="1"/>
  <c r="V23" i="71" s="1"/>
  <c r="V24" i="71" s="1"/>
  <c r="V25" i="71" s="1"/>
  <c r="V26" i="71" s="1"/>
  <c r="V27" i="71" s="1"/>
  <c r="V28" i="71" s="1"/>
  <c r="V29" i="71" s="1"/>
  <c r="V30" i="71" s="1"/>
  <c r="V31" i="71" s="1"/>
  <c r="V32" i="71" s="1"/>
  <c r="V33" i="71" s="1"/>
  <c r="V34" i="71" s="1"/>
  <c r="V35" i="71" s="1"/>
  <c r="V36" i="71" s="1"/>
  <c r="V37" i="71" s="1"/>
  <c r="V38" i="71" s="1"/>
  <c r="V39" i="71" s="1"/>
  <c r="V40" i="71" s="1"/>
  <c r="V41" i="71" s="1"/>
  <c r="V42" i="71" s="1"/>
  <c r="V43" i="71" s="1"/>
  <c r="V44" i="71" s="1"/>
  <c r="V45" i="71" s="1"/>
  <c r="V46" i="71" s="1"/>
  <c r="V47" i="71" s="1"/>
  <c r="V48" i="71" s="1"/>
  <c r="V49" i="71" s="1"/>
  <c r="V50" i="71" s="1"/>
  <c r="V51" i="71" s="1"/>
  <c r="V52" i="71" s="1"/>
  <c r="V53" i="71" s="1"/>
  <c r="V54" i="71" s="1"/>
  <c r="V55" i="71" s="1"/>
  <c r="V56" i="71" s="1"/>
  <c r="V57" i="71" s="1"/>
  <c r="V58" i="71" s="1"/>
  <c r="V59" i="71" s="1"/>
  <c r="V60" i="71" s="1"/>
  <c r="V61" i="71" s="1"/>
  <c r="V62" i="71" s="1"/>
  <c r="V63" i="71" s="1"/>
  <c r="V64" i="71" s="1"/>
  <c r="V65" i="71" s="1"/>
  <c r="V66" i="71" s="1"/>
  <c r="V67" i="71" s="1"/>
  <c r="V68" i="71" s="1"/>
  <c r="V69" i="71" s="1"/>
  <c r="V70" i="71" s="1"/>
  <c r="V71" i="71" s="1"/>
  <c r="V72" i="71" s="1"/>
  <c r="V73" i="71" s="1"/>
  <c r="V74" i="71" s="1"/>
  <c r="V75" i="71" s="1"/>
  <c r="V76" i="71" s="1"/>
  <c r="V77" i="71" s="1"/>
  <c r="V78" i="71" s="1"/>
  <c r="V79" i="71" s="1"/>
  <c r="V80" i="71" s="1"/>
  <c r="V81" i="71" s="1"/>
  <c r="V82" i="71" s="1"/>
  <c r="V83" i="71" s="1"/>
  <c r="V84" i="71" s="1"/>
  <c r="V85" i="71" s="1"/>
  <c r="V86" i="71" s="1"/>
  <c r="V87" i="71" s="1"/>
  <c r="V88" i="71" s="1"/>
  <c r="V89" i="71" s="1"/>
  <c r="V90" i="71" s="1"/>
  <c r="V91" i="71" s="1"/>
  <c r="V92" i="71" s="1"/>
  <c r="V93" i="71" s="1"/>
  <c r="V94" i="71" s="1"/>
  <c r="V95" i="71" s="1"/>
  <c r="V96" i="71" s="1"/>
  <c r="V97" i="71" s="1"/>
  <c r="V98" i="71" s="1"/>
  <c r="V99" i="71" s="1"/>
  <c r="V100" i="71" s="1"/>
  <c r="V101" i="71" s="1"/>
  <c r="V102" i="71" s="1"/>
  <c r="V103" i="71" s="1"/>
  <c r="V104" i="71" s="1"/>
  <c r="V105" i="71" s="1"/>
  <c r="V106" i="71" s="1"/>
  <c r="V107" i="71" s="1"/>
  <c r="V108" i="71" s="1"/>
  <c r="V109" i="71" s="1"/>
  <c r="V110" i="71" s="1"/>
  <c r="V111" i="71" s="1"/>
  <c r="V112" i="71" s="1"/>
  <c r="V113" i="71" s="1"/>
  <c r="V114" i="71" s="1"/>
  <c r="V115" i="71" s="1"/>
  <c r="V116" i="71" s="1"/>
  <c r="V117" i="71" s="1"/>
  <c r="V118" i="71" s="1"/>
  <c r="V119" i="71" s="1"/>
  <c r="V120" i="71" s="1"/>
  <c r="V121" i="71" s="1"/>
  <c r="V122" i="71" s="1"/>
  <c r="V123" i="71" s="1"/>
  <c r="V124" i="71" s="1"/>
  <c r="V125" i="71" s="1"/>
  <c r="V126" i="71" s="1"/>
  <c r="V127" i="71" s="1"/>
  <c r="V128" i="71" s="1"/>
  <c r="V129" i="71" s="1"/>
  <c r="V130" i="71" s="1"/>
  <c r="V131" i="71" s="1"/>
  <c r="V132" i="71" s="1"/>
  <c r="V133" i="71" s="1"/>
  <c r="V134" i="71" s="1"/>
  <c r="V135" i="71" s="1"/>
  <c r="V136" i="71" s="1"/>
  <c r="V137" i="71" s="1"/>
  <c r="V138" i="71" s="1"/>
  <c r="V139" i="71" s="1"/>
  <c r="V140" i="71" s="1"/>
  <c r="V141" i="71" s="1"/>
  <c r="V142" i="71" s="1"/>
  <c r="V143" i="71" s="1"/>
  <c r="V144" i="71" s="1"/>
  <c r="V145" i="71" s="1"/>
  <c r="V146" i="71" s="1"/>
  <c r="V147" i="71" s="1"/>
  <c r="V148" i="71" s="1"/>
  <c r="V149" i="71" s="1"/>
  <c r="V150" i="71" s="1"/>
  <c r="V151" i="71" s="1"/>
  <c r="V152" i="71" s="1"/>
  <c r="V153" i="71" s="1"/>
  <c r="V154" i="71" s="1"/>
  <c r="V155" i="71" s="1"/>
  <c r="V156" i="71" s="1"/>
  <c r="V157" i="71" s="1"/>
  <c r="V158" i="71" s="1"/>
  <c r="V159" i="71" s="1"/>
  <c r="V160" i="71" s="1"/>
  <c r="V161" i="71" s="1"/>
  <c r="V162" i="71" s="1"/>
  <c r="V163" i="71" s="1"/>
  <c r="V164" i="71" s="1"/>
  <c r="V165" i="71" s="1"/>
  <c r="V166" i="71" s="1"/>
  <c r="V167" i="71" s="1"/>
  <c r="V168" i="71" s="1"/>
  <c r="V169" i="71" s="1"/>
  <c r="V170" i="71" s="1"/>
  <c r="V171" i="71" s="1"/>
  <c r="V172" i="71" s="1"/>
  <c r="V173" i="71" s="1"/>
  <c r="V174" i="71" s="1"/>
  <c r="V175" i="71" s="1"/>
  <c r="V176" i="71" s="1"/>
  <c r="V177" i="71" s="1"/>
  <c r="V178" i="71" s="1"/>
  <c r="V179" i="71" s="1"/>
  <c r="V180" i="71" s="1"/>
  <c r="V181" i="71" s="1"/>
  <c r="V182" i="71" s="1"/>
  <c r="U12" i="71"/>
  <c r="U13" i="71" s="1"/>
  <c r="U14" i="71" s="1"/>
  <c r="U15" i="71" s="1"/>
  <c r="U16" i="71" s="1"/>
  <c r="U17" i="71" s="1"/>
  <c r="U18" i="71" s="1"/>
  <c r="U19" i="71" s="1"/>
  <c r="U20" i="71" s="1"/>
  <c r="U21" i="71" s="1"/>
  <c r="U22" i="71" s="1"/>
  <c r="U23" i="71" s="1"/>
  <c r="U24" i="71" s="1"/>
  <c r="U25" i="71" s="1"/>
  <c r="U26" i="71" s="1"/>
  <c r="U27" i="71" s="1"/>
  <c r="U28" i="71" s="1"/>
  <c r="U29" i="71" s="1"/>
  <c r="U30" i="71" s="1"/>
  <c r="U31" i="71" s="1"/>
  <c r="U32" i="71" s="1"/>
  <c r="U33" i="71" s="1"/>
  <c r="U34" i="71" s="1"/>
  <c r="U35" i="71" s="1"/>
  <c r="U36" i="71" s="1"/>
  <c r="U37" i="71" s="1"/>
  <c r="U38" i="71" s="1"/>
  <c r="U39" i="71" s="1"/>
  <c r="U40" i="71" s="1"/>
  <c r="U41" i="71" s="1"/>
  <c r="U42" i="71" s="1"/>
  <c r="U43" i="71" s="1"/>
  <c r="U44" i="71" s="1"/>
  <c r="U45" i="71" s="1"/>
  <c r="U46" i="71" s="1"/>
  <c r="U47" i="71" s="1"/>
  <c r="U48" i="71" s="1"/>
  <c r="U49" i="71" s="1"/>
  <c r="U50" i="71" s="1"/>
  <c r="U51" i="71" s="1"/>
  <c r="U52" i="71" s="1"/>
  <c r="U53" i="71" s="1"/>
  <c r="U54" i="71" s="1"/>
  <c r="U55" i="71" s="1"/>
  <c r="U56" i="71" s="1"/>
  <c r="U57" i="71" s="1"/>
  <c r="U58" i="71" s="1"/>
  <c r="U59" i="71" s="1"/>
  <c r="U60" i="71" s="1"/>
  <c r="U61" i="71" s="1"/>
  <c r="U62" i="71" s="1"/>
  <c r="U63" i="71" s="1"/>
  <c r="U64" i="71" s="1"/>
  <c r="U65" i="71" s="1"/>
  <c r="U66" i="71" s="1"/>
  <c r="U67" i="71" s="1"/>
  <c r="U68" i="71" s="1"/>
  <c r="U69" i="71" s="1"/>
  <c r="U70" i="71" s="1"/>
  <c r="U71" i="71" s="1"/>
  <c r="U72" i="71" s="1"/>
  <c r="U73" i="71" s="1"/>
  <c r="U74" i="71" s="1"/>
  <c r="U75" i="71" s="1"/>
  <c r="U76" i="71" s="1"/>
  <c r="U77" i="71" s="1"/>
  <c r="U78" i="71" s="1"/>
  <c r="U79" i="71" s="1"/>
  <c r="U80" i="71" s="1"/>
  <c r="U81" i="71" s="1"/>
  <c r="U82" i="71" s="1"/>
  <c r="U83" i="71" s="1"/>
  <c r="U84" i="71" s="1"/>
  <c r="U85" i="71" s="1"/>
  <c r="U86" i="71" s="1"/>
  <c r="U87" i="71" s="1"/>
  <c r="U88" i="71" s="1"/>
  <c r="U89" i="71" s="1"/>
  <c r="U90" i="71" s="1"/>
  <c r="U91" i="71" s="1"/>
  <c r="U92" i="71" s="1"/>
  <c r="U93" i="71" s="1"/>
  <c r="U94" i="71" s="1"/>
  <c r="U95" i="71" s="1"/>
  <c r="U96" i="71" s="1"/>
  <c r="U97" i="71" s="1"/>
  <c r="U98" i="71" s="1"/>
  <c r="U99" i="71" s="1"/>
  <c r="U100" i="71" s="1"/>
  <c r="U101" i="71" s="1"/>
  <c r="U102" i="71" s="1"/>
  <c r="U103" i="71" s="1"/>
  <c r="U104" i="71" s="1"/>
  <c r="U105" i="71" s="1"/>
  <c r="U106" i="71" s="1"/>
  <c r="U107" i="71" s="1"/>
  <c r="U108" i="71" s="1"/>
  <c r="U109" i="71" s="1"/>
  <c r="U110" i="71" s="1"/>
  <c r="U111" i="71" s="1"/>
  <c r="U112" i="71" s="1"/>
  <c r="U113" i="71" s="1"/>
  <c r="U114" i="71" s="1"/>
  <c r="U115" i="71" s="1"/>
  <c r="U116" i="71" s="1"/>
  <c r="U117" i="71" s="1"/>
  <c r="U118" i="71" s="1"/>
  <c r="U119" i="71" s="1"/>
  <c r="U120" i="71" s="1"/>
  <c r="U121" i="71" s="1"/>
  <c r="U122" i="71" s="1"/>
  <c r="U123" i="71" s="1"/>
  <c r="U124" i="71" s="1"/>
  <c r="U125" i="71" s="1"/>
  <c r="U126" i="71" s="1"/>
  <c r="U127" i="71" s="1"/>
  <c r="U128" i="71" s="1"/>
  <c r="U129" i="71" s="1"/>
  <c r="U130" i="71" s="1"/>
  <c r="U131" i="71" s="1"/>
  <c r="U132" i="71" s="1"/>
  <c r="U133" i="71" s="1"/>
  <c r="U134" i="71" s="1"/>
  <c r="U135" i="71" s="1"/>
  <c r="U136" i="71" s="1"/>
  <c r="U137" i="71" s="1"/>
  <c r="U138" i="71" s="1"/>
  <c r="U139" i="71" s="1"/>
  <c r="U140" i="71" s="1"/>
  <c r="U141" i="71" s="1"/>
  <c r="U142" i="71" s="1"/>
  <c r="U143" i="71" s="1"/>
  <c r="U144" i="71" s="1"/>
  <c r="U145" i="71" s="1"/>
  <c r="U146" i="71" s="1"/>
  <c r="U147" i="71" s="1"/>
  <c r="U148" i="71" s="1"/>
  <c r="U149" i="71" s="1"/>
  <c r="U150" i="71" s="1"/>
  <c r="U151" i="71" s="1"/>
  <c r="U152" i="71" s="1"/>
  <c r="U153" i="71" s="1"/>
  <c r="U154" i="71" s="1"/>
  <c r="U155" i="71" s="1"/>
  <c r="U156" i="71" s="1"/>
  <c r="U157" i="71" s="1"/>
  <c r="U158" i="71" s="1"/>
  <c r="U159" i="71" s="1"/>
  <c r="U160" i="71" s="1"/>
  <c r="U161" i="71" s="1"/>
  <c r="U162" i="71" s="1"/>
  <c r="U163" i="71" s="1"/>
  <c r="U164" i="71" s="1"/>
  <c r="U165" i="71" s="1"/>
  <c r="U166" i="71" s="1"/>
  <c r="U167" i="71" s="1"/>
  <c r="U168" i="71" s="1"/>
  <c r="U169" i="71" s="1"/>
  <c r="U170" i="71" s="1"/>
  <c r="U171" i="71" s="1"/>
  <c r="U172" i="71" s="1"/>
  <c r="U173" i="71" s="1"/>
  <c r="U174" i="71" s="1"/>
  <c r="U175" i="71" s="1"/>
  <c r="U176" i="71" s="1"/>
  <c r="U177" i="71" s="1"/>
  <c r="U178" i="71" s="1"/>
  <c r="U179" i="71" s="1"/>
  <c r="U180" i="71" s="1"/>
  <c r="U181" i="71" s="1"/>
  <c r="U182" i="71" s="1"/>
  <c r="T12" i="71"/>
  <c r="T13" i="71" s="1"/>
  <c r="S12" i="71"/>
  <c r="S13" i="71" s="1"/>
  <c r="R12" i="71"/>
  <c r="R13" i="71" s="1"/>
  <c r="Q12" i="71"/>
  <c r="Q13" i="71" s="1"/>
  <c r="P12" i="71"/>
  <c r="P13" i="71" s="1"/>
  <c r="D12" i="71"/>
  <c r="D13" i="71" s="1"/>
  <c r="D14" i="71" s="1"/>
  <c r="D15" i="71" s="1"/>
  <c r="D16" i="71" s="1"/>
  <c r="D17" i="71" s="1"/>
  <c r="D18" i="71" s="1"/>
  <c r="D19" i="71" s="1"/>
  <c r="D20" i="71" s="1"/>
  <c r="D21" i="71" s="1"/>
  <c r="D22" i="71" s="1"/>
  <c r="D23" i="71" s="1"/>
  <c r="D24" i="71" s="1"/>
  <c r="D25" i="71" s="1"/>
  <c r="D26" i="71" s="1"/>
  <c r="D27" i="71" s="1"/>
  <c r="D28" i="71" s="1"/>
  <c r="D29" i="71" s="1"/>
  <c r="D30" i="71" s="1"/>
  <c r="D31" i="71" s="1"/>
  <c r="D32" i="71" s="1"/>
  <c r="D33" i="71" s="1"/>
  <c r="D34" i="71" s="1"/>
  <c r="D35" i="71" s="1"/>
  <c r="D36" i="71" s="1"/>
  <c r="D37" i="71" s="1"/>
  <c r="D38" i="71" s="1"/>
  <c r="D39" i="71" s="1"/>
  <c r="D40" i="71" s="1"/>
  <c r="D41" i="71" s="1"/>
  <c r="D42" i="71" s="1"/>
  <c r="D43" i="71" s="1"/>
  <c r="D44" i="71" s="1"/>
  <c r="D45" i="71" s="1"/>
  <c r="D46" i="71" s="1"/>
  <c r="D47" i="71" s="1"/>
  <c r="D48" i="71" s="1"/>
  <c r="D49" i="71" s="1"/>
  <c r="D50" i="71" s="1"/>
  <c r="D51" i="71" s="1"/>
  <c r="D52" i="71" s="1"/>
  <c r="D53" i="71" s="1"/>
  <c r="D54" i="71" s="1"/>
  <c r="D55" i="71" s="1"/>
  <c r="C12" i="71"/>
  <c r="C13" i="71" s="1"/>
  <c r="B12" i="71"/>
  <c r="B13" i="71" s="1"/>
  <c r="B14" i="71" s="1"/>
  <c r="B15" i="71" s="1"/>
  <c r="B16" i="71" s="1"/>
  <c r="B17" i="71" s="1"/>
  <c r="B18" i="71" s="1"/>
  <c r="B19" i="71" s="1"/>
  <c r="B20" i="71" s="1"/>
  <c r="B21" i="71" s="1"/>
  <c r="B22" i="71" s="1"/>
  <c r="B23" i="71" s="1"/>
  <c r="B24" i="71" s="1"/>
  <c r="B25" i="71" s="1"/>
  <c r="B26" i="71" s="1"/>
  <c r="B27" i="71" s="1"/>
  <c r="B28" i="71" s="1"/>
  <c r="B29" i="71" s="1"/>
  <c r="B30" i="71" s="1"/>
  <c r="B31" i="71" s="1"/>
  <c r="B32" i="71" s="1"/>
  <c r="B33" i="71" s="1"/>
  <c r="B34" i="71" s="1"/>
  <c r="B35" i="71" s="1"/>
  <c r="B36" i="71" s="1"/>
  <c r="B37" i="71" s="1"/>
  <c r="B38" i="71" s="1"/>
  <c r="B39" i="71" s="1"/>
  <c r="B40" i="71" s="1"/>
  <c r="B41" i="71" s="1"/>
  <c r="B42" i="71" s="1"/>
  <c r="B43" i="71" s="1"/>
  <c r="B44" i="71" s="1"/>
  <c r="B45" i="71" s="1"/>
  <c r="B46" i="71" s="1"/>
  <c r="B47" i="71" s="1"/>
  <c r="B48" i="71" s="1"/>
  <c r="B49" i="71" s="1"/>
  <c r="B50" i="71" s="1"/>
  <c r="B51" i="71" s="1"/>
  <c r="B52" i="71" s="1"/>
  <c r="B53" i="71" s="1"/>
  <c r="B54" i="71" s="1"/>
  <c r="B55" i="71" s="1"/>
  <c r="B56" i="71" s="1"/>
  <c r="B57" i="71" s="1"/>
  <c r="B58" i="71" s="1"/>
  <c r="B59" i="71" s="1"/>
  <c r="B60" i="71" s="1"/>
  <c r="B61" i="71" s="1"/>
  <c r="B62" i="71" s="1"/>
  <c r="B63" i="71" s="1"/>
  <c r="B64" i="71" s="1"/>
  <c r="B65" i="71" s="1"/>
  <c r="B66" i="71" s="1"/>
  <c r="B67" i="71" s="1"/>
  <c r="B68" i="71" s="1"/>
  <c r="B69" i="71" s="1"/>
  <c r="B70" i="71" s="1"/>
  <c r="B71" i="71" s="1"/>
  <c r="B72" i="71" s="1"/>
  <c r="B73" i="71" s="1"/>
  <c r="B74" i="71" s="1"/>
  <c r="B75" i="71" s="1"/>
  <c r="B76" i="71" s="1"/>
  <c r="B77" i="71" s="1"/>
  <c r="B78" i="71" s="1"/>
  <c r="B79" i="71" s="1"/>
  <c r="B80" i="71" s="1"/>
  <c r="B81" i="71" s="1"/>
  <c r="B82" i="71" s="1"/>
  <c r="B83" i="71" s="1"/>
  <c r="B84" i="71" s="1"/>
  <c r="B85" i="71" s="1"/>
  <c r="B86" i="71" s="1"/>
  <c r="B87" i="71" s="1"/>
  <c r="B88" i="71" s="1"/>
  <c r="B89" i="71" s="1"/>
  <c r="B90" i="71" s="1"/>
  <c r="B91" i="71" s="1"/>
  <c r="B92" i="71" s="1"/>
  <c r="B93" i="71" s="1"/>
  <c r="B94" i="71" s="1"/>
  <c r="B95" i="71" s="1"/>
  <c r="B96" i="71" s="1"/>
  <c r="B97" i="71" s="1"/>
  <c r="B98" i="71" s="1"/>
  <c r="B99" i="71" s="1"/>
  <c r="B100" i="71" s="1"/>
  <c r="B101" i="71" s="1"/>
  <c r="B102" i="71" s="1"/>
  <c r="B103" i="71" s="1"/>
  <c r="B104" i="71" s="1"/>
  <c r="B105" i="71" s="1"/>
  <c r="B106" i="71" s="1"/>
  <c r="B107" i="71" s="1"/>
  <c r="B108" i="71" s="1"/>
  <c r="B109" i="71" s="1"/>
  <c r="B110" i="71" s="1"/>
  <c r="B111" i="71" s="1"/>
  <c r="B112" i="71" s="1"/>
  <c r="B113" i="71" s="1"/>
  <c r="B114" i="71" s="1"/>
  <c r="B115" i="71" s="1"/>
  <c r="B116" i="71" s="1"/>
  <c r="B117" i="71" s="1"/>
  <c r="B118" i="71" s="1"/>
  <c r="B119" i="71" s="1"/>
  <c r="B120" i="71" s="1"/>
  <c r="B121" i="71" s="1"/>
  <c r="B122" i="71" s="1"/>
  <c r="B123" i="71" s="1"/>
  <c r="B124" i="71" s="1"/>
  <c r="B125" i="71" s="1"/>
  <c r="B126" i="71" s="1"/>
  <c r="B127" i="71" s="1"/>
  <c r="B128" i="71" s="1"/>
  <c r="B129" i="71" s="1"/>
  <c r="B130" i="71" s="1"/>
  <c r="B131" i="71" s="1"/>
  <c r="B132" i="71" s="1"/>
  <c r="B133" i="71" s="1"/>
  <c r="B134" i="71" s="1"/>
  <c r="B135" i="71" s="1"/>
  <c r="B136" i="71" s="1"/>
  <c r="B137" i="71" s="1"/>
  <c r="B138" i="71" s="1"/>
  <c r="B139" i="71" s="1"/>
  <c r="B140" i="71" s="1"/>
  <c r="B141" i="71" s="1"/>
  <c r="B142" i="71" s="1"/>
  <c r="B143" i="71" s="1"/>
  <c r="B144" i="71" s="1"/>
  <c r="B145" i="71" s="1"/>
  <c r="B146" i="71" s="1"/>
  <c r="B147" i="71" s="1"/>
  <c r="B148" i="71" s="1"/>
  <c r="B149" i="71" s="1"/>
  <c r="B150" i="71" s="1"/>
  <c r="B151" i="71" s="1"/>
  <c r="B152" i="71" s="1"/>
  <c r="B153" i="71" s="1"/>
  <c r="B154" i="71" s="1"/>
  <c r="B155" i="71" s="1"/>
  <c r="B156" i="71" s="1"/>
  <c r="B157" i="71" s="1"/>
  <c r="B158" i="71" s="1"/>
  <c r="B159" i="71" s="1"/>
  <c r="B160" i="71" s="1"/>
  <c r="B161" i="71" s="1"/>
  <c r="B162" i="71" s="1"/>
  <c r="B163" i="71" s="1"/>
  <c r="B164" i="71" s="1"/>
  <c r="B165" i="71" s="1"/>
  <c r="B166" i="71" s="1"/>
  <c r="B167" i="71" s="1"/>
  <c r="B168" i="71" s="1"/>
  <c r="B169" i="71" s="1"/>
  <c r="B170" i="71" s="1"/>
  <c r="B171" i="71" s="1"/>
  <c r="B172" i="71" s="1"/>
  <c r="B173" i="71" s="1"/>
  <c r="B174" i="71" s="1"/>
  <c r="B175" i="71" s="1"/>
  <c r="B176" i="71" s="1"/>
  <c r="B177" i="71" s="1"/>
  <c r="B178" i="71" s="1"/>
  <c r="B179" i="71" s="1"/>
  <c r="B180" i="71" s="1"/>
  <c r="B181" i="71" s="1"/>
  <c r="B182" i="71" s="1"/>
  <c r="B183" i="71" s="1"/>
  <c r="B184" i="71" s="1"/>
  <c r="B185" i="71" s="1"/>
  <c r="B186" i="71" s="1"/>
  <c r="B187" i="71" s="1"/>
  <c r="B188" i="71" s="1"/>
  <c r="B189" i="71" s="1"/>
  <c r="B190" i="71" s="1"/>
  <c r="B191" i="71" s="1"/>
  <c r="B192" i="71" s="1"/>
  <c r="B193" i="71" s="1"/>
  <c r="B194" i="71" s="1"/>
  <c r="B195" i="71" s="1"/>
  <c r="B196" i="71" s="1"/>
  <c r="B197" i="71" s="1"/>
  <c r="B198" i="71" s="1"/>
  <c r="B199" i="71" s="1"/>
  <c r="B200" i="71" s="1"/>
  <c r="B201" i="71" s="1"/>
  <c r="B202" i="71" s="1"/>
  <c r="B203" i="71" s="1"/>
  <c r="B204" i="71" s="1"/>
  <c r="B205" i="71" s="1"/>
  <c r="B206" i="71" s="1"/>
  <c r="B207" i="71" s="1"/>
  <c r="B208" i="71" s="1"/>
  <c r="B209" i="71" s="1"/>
  <c r="B210" i="71" s="1"/>
  <c r="B211" i="71" s="1"/>
  <c r="B212" i="71" s="1"/>
  <c r="B213" i="71" s="1"/>
  <c r="B214" i="71" s="1"/>
  <c r="B215" i="71" s="1"/>
  <c r="B216" i="71" s="1"/>
  <c r="B217" i="71" s="1"/>
  <c r="B218" i="71" s="1"/>
  <c r="B219" i="71" s="1"/>
  <c r="B220" i="71" s="1"/>
  <c r="B221" i="71" s="1"/>
  <c r="B222" i="71" s="1"/>
  <c r="B223" i="71" s="1"/>
  <c r="B224" i="71" s="1"/>
  <c r="B225" i="71" s="1"/>
  <c r="B226" i="71" s="1"/>
  <c r="B227" i="71" s="1"/>
  <c r="B228" i="71" s="1"/>
  <c r="B229" i="71" s="1"/>
  <c r="B230" i="71" s="1"/>
  <c r="B231" i="71" s="1"/>
  <c r="B232" i="71" s="1"/>
  <c r="B233" i="71" s="1"/>
  <c r="B234" i="71" s="1"/>
  <c r="AL11" i="71"/>
  <c r="AL12" i="71" s="1"/>
  <c r="AL13" i="71" s="1"/>
  <c r="AL14" i="71" s="1"/>
  <c r="AL15" i="71" s="1"/>
  <c r="AL16" i="71" s="1"/>
  <c r="AL17" i="71" s="1"/>
  <c r="AL18" i="71" s="1"/>
  <c r="AL19" i="71" s="1"/>
  <c r="AL20" i="71" s="1"/>
  <c r="AL21" i="71" s="1"/>
  <c r="AL22" i="71" s="1"/>
  <c r="AL23" i="71" s="1"/>
  <c r="AL24" i="71" s="1"/>
  <c r="AL25" i="71" s="1"/>
  <c r="AL26" i="71" s="1"/>
  <c r="AL27" i="71" s="1"/>
  <c r="AL28" i="71" s="1"/>
  <c r="AL29" i="71" s="1"/>
  <c r="AL30" i="71" s="1"/>
  <c r="AL31" i="71" s="1"/>
  <c r="AL32" i="71" s="1"/>
  <c r="AL33" i="71" s="1"/>
  <c r="AL34" i="71" s="1"/>
  <c r="AL35" i="71" s="1"/>
  <c r="AL36" i="71" s="1"/>
  <c r="AL37" i="71" s="1"/>
  <c r="AL38" i="71" s="1"/>
  <c r="AL39" i="71" s="1"/>
  <c r="AL40" i="71" s="1"/>
  <c r="AL41" i="71" s="1"/>
  <c r="AL42" i="71" s="1"/>
  <c r="AL43" i="71" s="1"/>
  <c r="AL44" i="71" s="1"/>
  <c r="AL45" i="71" s="1"/>
  <c r="AL46" i="71" s="1"/>
  <c r="AL47" i="71" s="1"/>
  <c r="AL48" i="71" s="1"/>
  <c r="AL49" i="71" s="1"/>
  <c r="AL50" i="71" s="1"/>
  <c r="AL51" i="71" s="1"/>
  <c r="AL52" i="71" s="1"/>
  <c r="AL53" i="71" s="1"/>
  <c r="AL54" i="71" s="1"/>
  <c r="AL55" i="71" s="1"/>
  <c r="AL56" i="71" s="1"/>
  <c r="AL57" i="71" s="1"/>
  <c r="AL58" i="71" s="1"/>
  <c r="AL59" i="71" s="1"/>
  <c r="AL60" i="71" s="1"/>
  <c r="AL61" i="71" s="1"/>
  <c r="AL62" i="71" s="1"/>
  <c r="AL63" i="71" s="1"/>
  <c r="AL64" i="71" s="1"/>
  <c r="AL65" i="71" s="1"/>
  <c r="AL66" i="71" s="1"/>
  <c r="AL67" i="71" s="1"/>
  <c r="AL68" i="71" s="1"/>
  <c r="AL69" i="71" s="1"/>
  <c r="AL70" i="71" s="1"/>
  <c r="AL71" i="71" s="1"/>
  <c r="AL72" i="71" s="1"/>
  <c r="AL73" i="71" s="1"/>
  <c r="AL74" i="71" s="1"/>
  <c r="AL75" i="71" s="1"/>
  <c r="AL76" i="71" s="1"/>
  <c r="AL77" i="71" s="1"/>
  <c r="AL78" i="71" s="1"/>
  <c r="AL79" i="71" s="1"/>
  <c r="AL80" i="71" s="1"/>
  <c r="AL81" i="71" s="1"/>
  <c r="AL82" i="71" s="1"/>
  <c r="AL83" i="71" s="1"/>
  <c r="AL84" i="71" s="1"/>
  <c r="AL85" i="71" s="1"/>
  <c r="AL86" i="71" s="1"/>
  <c r="AL87" i="71" s="1"/>
  <c r="AL88" i="71" s="1"/>
  <c r="AL89" i="71" s="1"/>
  <c r="AL90" i="71" s="1"/>
  <c r="AL91" i="71" s="1"/>
  <c r="AL92" i="71" s="1"/>
  <c r="AL93" i="71" s="1"/>
  <c r="AL94" i="71" s="1"/>
  <c r="AL95" i="71" s="1"/>
  <c r="AL96" i="71" s="1"/>
  <c r="AL97" i="71" s="1"/>
  <c r="AL98" i="71" s="1"/>
  <c r="AL99" i="71" s="1"/>
  <c r="AL100" i="71" s="1"/>
  <c r="AL101" i="71" s="1"/>
  <c r="AL102" i="71" s="1"/>
  <c r="AL103" i="71" s="1"/>
  <c r="AL104" i="71" s="1"/>
  <c r="AL105" i="71" s="1"/>
  <c r="AL106" i="71" s="1"/>
  <c r="AL107" i="71" s="1"/>
  <c r="AL108" i="71" s="1"/>
  <c r="AL109" i="71" s="1"/>
  <c r="AL110" i="71" s="1"/>
  <c r="AL111" i="71" s="1"/>
  <c r="AL112" i="71" s="1"/>
  <c r="AL113" i="71" s="1"/>
  <c r="AL114" i="71" s="1"/>
  <c r="AL115" i="71" s="1"/>
  <c r="AL116" i="71" s="1"/>
  <c r="AL117" i="71" s="1"/>
  <c r="AL118" i="71" s="1"/>
  <c r="AL119" i="71" s="1"/>
  <c r="AL120" i="71" s="1"/>
  <c r="AL121" i="71" s="1"/>
  <c r="AL122" i="71" s="1"/>
  <c r="AL123" i="71" s="1"/>
  <c r="AL124" i="71" s="1"/>
  <c r="AL125" i="71" s="1"/>
  <c r="AL126" i="71" s="1"/>
  <c r="AL127" i="71" s="1"/>
  <c r="AL128" i="71" s="1"/>
  <c r="AL129" i="71" s="1"/>
  <c r="AL130" i="71" s="1"/>
  <c r="AL131" i="71" s="1"/>
  <c r="AL132" i="71" s="1"/>
  <c r="AL133" i="71" s="1"/>
  <c r="AL134" i="71" s="1"/>
  <c r="AL135" i="71" s="1"/>
  <c r="AL136" i="71" s="1"/>
  <c r="AL137" i="71" s="1"/>
  <c r="AL138" i="71" s="1"/>
  <c r="AL139" i="71" s="1"/>
  <c r="AL140" i="71" s="1"/>
  <c r="AL141" i="71" s="1"/>
  <c r="AL142" i="71" s="1"/>
  <c r="AL143" i="71" s="1"/>
  <c r="AL144" i="71" s="1"/>
  <c r="AL145" i="71" s="1"/>
  <c r="AL146" i="71" s="1"/>
  <c r="AL147" i="71" s="1"/>
  <c r="AL148" i="71" s="1"/>
  <c r="AL149" i="71" s="1"/>
  <c r="AL150" i="71" s="1"/>
  <c r="AL151" i="71" s="1"/>
  <c r="AL152" i="71" s="1"/>
  <c r="AL153" i="71" s="1"/>
  <c r="AL154" i="71" s="1"/>
  <c r="AL155" i="71" s="1"/>
  <c r="AL156" i="71" s="1"/>
  <c r="AL157" i="71" s="1"/>
  <c r="AL158" i="71" s="1"/>
  <c r="AL159" i="71" s="1"/>
  <c r="AL160" i="71" s="1"/>
  <c r="AL161" i="71" s="1"/>
  <c r="AL162" i="71" s="1"/>
  <c r="AL163" i="71" s="1"/>
  <c r="AL164" i="71" s="1"/>
  <c r="AL165" i="71" s="1"/>
  <c r="AL166" i="71" s="1"/>
  <c r="AL167" i="71" s="1"/>
  <c r="AL168" i="71" s="1"/>
  <c r="AL169" i="71" s="1"/>
  <c r="AL170" i="71" s="1"/>
  <c r="AL171" i="71" s="1"/>
  <c r="AL172" i="71" s="1"/>
  <c r="AL173" i="71" s="1"/>
  <c r="AL174" i="71" s="1"/>
  <c r="AL175" i="71" s="1"/>
  <c r="AL176" i="71" s="1"/>
  <c r="AL177" i="71" s="1"/>
  <c r="AL178" i="71" s="1"/>
  <c r="AL179" i="71" s="1"/>
  <c r="AL180" i="71" s="1"/>
  <c r="AL181" i="71" s="1"/>
  <c r="AL182" i="71" s="1"/>
  <c r="AJ11" i="71"/>
  <c r="AJ12" i="71" s="1"/>
  <c r="AJ13" i="71" s="1"/>
  <c r="AJ14" i="71" s="1"/>
  <c r="AJ15" i="71" s="1"/>
  <c r="AJ16" i="71" s="1"/>
  <c r="AJ17" i="71" s="1"/>
  <c r="AJ18" i="71" s="1"/>
  <c r="AJ19" i="71" s="1"/>
  <c r="AJ20" i="71" s="1"/>
  <c r="AJ21" i="71" s="1"/>
  <c r="AJ22" i="71" s="1"/>
  <c r="AJ23" i="71" s="1"/>
  <c r="AJ24" i="71" s="1"/>
  <c r="AJ25" i="71" s="1"/>
  <c r="AJ26" i="71" s="1"/>
  <c r="AJ27" i="71" s="1"/>
  <c r="AJ28" i="71" s="1"/>
  <c r="AJ29" i="71" s="1"/>
  <c r="AJ30" i="71" s="1"/>
  <c r="AJ31" i="71" s="1"/>
  <c r="AJ32" i="71" s="1"/>
  <c r="AJ33" i="71" s="1"/>
  <c r="AJ34" i="71" s="1"/>
  <c r="AJ35" i="71" s="1"/>
  <c r="AJ36" i="71" s="1"/>
  <c r="AJ37" i="71" s="1"/>
  <c r="AJ38" i="71" s="1"/>
  <c r="AJ39" i="71" s="1"/>
  <c r="AJ40" i="71" s="1"/>
  <c r="AJ41" i="71" s="1"/>
  <c r="AJ42" i="71" s="1"/>
  <c r="AJ43" i="71" s="1"/>
  <c r="AJ44" i="71" s="1"/>
  <c r="AJ45" i="71" s="1"/>
  <c r="AJ46" i="71" s="1"/>
  <c r="AJ47" i="71" s="1"/>
  <c r="AJ48" i="71" s="1"/>
  <c r="AJ49" i="71" s="1"/>
  <c r="AJ50" i="71" s="1"/>
  <c r="AJ51" i="71" s="1"/>
  <c r="AJ52" i="71" s="1"/>
  <c r="AJ53" i="71" s="1"/>
  <c r="AJ54" i="71" s="1"/>
  <c r="AJ55" i="71" s="1"/>
  <c r="AJ56" i="71" s="1"/>
  <c r="AJ57" i="71" s="1"/>
  <c r="AJ58" i="71" s="1"/>
  <c r="AJ59" i="71" s="1"/>
  <c r="AJ60" i="71" s="1"/>
  <c r="AJ61" i="71" s="1"/>
  <c r="AJ62" i="71" s="1"/>
  <c r="AJ63" i="71" s="1"/>
  <c r="AJ64" i="71" s="1"/>
  <c r="AJ65" i="71" s="1"/>
  <c r="AJ66" i="71" s="1"/>
  <c r="AJ67" i="71" s="1"/>
  <c r="AJ68" i="71" s="1"/>
  <c r="AJ69" i="71" s="1"/>
  <c r="AJ70" i="71" s="1"/>
  <c r="AJ71" i="71" s="1"/>
  <c r="AJ72" i="71" s="1"/>
  <c r="AJ73" i="71" s="1"/>
  <c r="AJ74" i="71" s="1"/>
  <c r="AJ75" i="71" s="1"/>
  <c r="AJ76" i="71" s="1"/>
  <c r="AJ77" i="71" s="1"/>
  <c r="AJ78" i="71" s="1"/>
  <c r="AJ79" i="71" s="1"/>
  <c r="AJ80" i="71" s="1"/>
  <c r="AJ81" i="71" s="1"/>
  <c r="AJ82" i="71" s="1"/>
  <c r="AJ83" i="71" s="1"/>
  <c r="AJ84" i="71" s="1"/>
  <c r="AJ85" i="71" s="1"/>
  <c r="AJ86" i="71" s="1"/>
  <c r="AJ87" i="71" s="1"/>
  <c r="AJ88" i="71" s="1"/>
  <c r="AJ89" i="71" s="1"/>
  <c r="AJ90" i="71" s="1"/>
  <c r="AJ91" i="71" s="1"/>
  <c r="AJ92" i="71" s="1"/>
  <c r="AJ93" i="71" s="1"/>
  <c r="AJ94" i="71" s="1"/>
  <c r="AJ95" i="71" s="1"/>
  <c r="AJ96" i="71" s="1"/>
  <c r="AJ97" i="71" s="1"/>
  <c r="AJ98" i="71" s="1"/>
  <c r="AJ99" i="71" s="1"/>
  <c r="AJ100" i="71" s="1"/>
  <c r="AJ101" i="71" s="1"/>
  <c r="AJ102" i="71" s="1"/>
  <c r="AJ103" i="71" s="1"/>
  <c r="AJ104" i="71" s="1"/>
  <c r="AJ105" i="71" s="1"/>
  <c r="AJ106" i="71" s="1"/>
  <c r="AJ107" i="71" s="1"/>
  <c r="AJ108" i="71" s="1"/>
  <c r="AJ109" i="71" s="1"/>
  <c r="AJ110" i="71" s="1"/>
  <c r="AJ111" i="71" s="1"/>
  <c r="AJ112" i="71" s="1"/>
  <c r="AJ113" i="71" s="1"/>
  <c r="AJ114" i="71" s="1"/>
  <c r="AJ115" i="71" s="1"/>
  <c r="AJ116" i="71" s="1"/>
  <c r="AJ117" i="71" s="1"/>
  <c r="AJ118" i="71" s="1"/>
  <c r="AJ119" i="71" s="1"/>
  <c r="AJ120" i="71" s="1"/>
  <c r="AJ121" i="71" s="1"/>
  <c r="AJ122" i="71" s="1"/>
  <c r="AJ123" i="71" s="1"/>
  <c r="AJ124" i="71" s="1"/>
  <c r="AJ125" i="71" s="1"/>
  <c r="AJ126" i="71" s="1"/>
  <c r="AJ127" i="71" s="1"/>
  <c r="AJ128" i="71" s="1"/>
  <c r="AJ129" i="71" s="1"/>
  <c r="AJ130" i="71" s="1"/>
  <c r="AJ131" i="71" s="1"/>
  <c r="AJ132" i="71" s="1"/>
  <c r="AJ133" i="71" s="1"/>
  <c r="AJ134" i="71" s="1"/>
  <c r="AJ135" i="71" s="1"/>
  <c r="AJ136" i="71" s="1"/>
  <c r="AJ137" i="71" s="1"/>
  <c r="AJ138" i="71" s="1"/>
  <c r="AJ139" i="71" s="1"/>
  <c r="AJ140" i="71" s="1"/>
  <c r="AJ141" i="71" s="1"/>
  <c r="AJ142" i="71" s="1"/>
  <c r="AJ143" i="71" s="1"/>
  <c r="AJ144" i="71" s="1"/>
  <c r="AJ145" i="71" s="1"/>
  <c r="AJ146" i="71" s="1"/>
  <c r="AJ147" i="71" s="1"/>
  <c r="AJ148" i="71" s="1"/>
  <c r="AJ149" i="71" s="1"/>
  <c r="AJ150" i="71" s="1"/>
  <c r="AJ151" i="71" s="1"/>
  <c r="AJ152" i="71" s="1"/>
  <c r="AJ153" i="71" s="1"/>
  <c r="AJ154" i="71" s="1"/>
  <c r="AJ155" i="71" s="1"/>
  <c r="AJ156" i="71" s="1"/>
  <c r="AJ157" i="71" s="1"/>
  <c r="AJ158" i="71" s="1"/>
  <c r="AJ159" i="71" s="1"/>
  <c r="AJ160" i="71" s="1"/>
  <c r="AJ161" i="71" s="1"/>
  <c r="AJ162" i="71" s="1"/>
  <c r="AJ163" i="71" s="1"/>
  <c r="AJ164" i="71" s="1"/>
  <c r="AJ165" i="71" s="1"/>
  <c r="AJ166" i="71" s="1"/>
  <c r="AJ167" i="71" s="1"/>
  <c r="AJ168" i="71" s="1"/>
  <c r="AJ169" i="71" s="1"/>
  <c r="AJ170" i="71" s="1"/>
  <c r="AJ171" i="71" s="1"/>
  <c r="AJ172" i="71" s="1"/>
  <c r="AJ173" i="71" s="1"/>
  <c r="AJ174" i="71" s="1"/>
  <c r="AJ175" i="71" s="1"/>
  <c r="AJ176" i="71" s="1"/>
  <c r="AJ177" i="71" s="1"/>
  <c r="AJ178" i="71" s="1"/>
  <c r="AJ179" i="71" s="1"/>
  <c r="AJ180" i="71" s="1"/>
  <c r="AJ181" i="71" s="1"/>
  <c r="AJ182" i="71" s="1"/>
  <c r="AJ183" i="71" s="1"/>
  <c r="AJ184" i="71" s="1"/>
  <c r="AJ185" i="71" s="1"/>
  <c r="AJ186" i="71" s="1"/>
  <c r="AJ187" i="71" s="1"/>
  <c r="AJ188" i="71" s="1"/>
  <c r="AJ189" i="71" s="1"/>
  <c r="AJ190" i="71" s="1"/>
  <c r="AJ191" i="71" s="1"/>
  <c r="AJ192" i="71" s="1"/>
  <c r="AJ193" i="71" s="1"/>
  <c r="AJ194" i="71" s="1"/>
  <c r="AJ195" i="71" s="1"/>
  <c r="AJ196" i="71" s="1"/>
  <c r="AJ197" i="71" s="1"/>
  <c r="AJ198" i="71" s="1"/>
  <c r="AJ199" i="71" s="1"/>
  <c r="AJ200" i="71" s="1"/>
  <c r="AJ201" i="71" s="1"/>
  <c r="AJ202" i="71" s="1"/>
  <c r="AJ203" i="71" s="1"/>
  <c r="AJ204" i="71" s="1"/>
  <c r="AJ205" i="71" s="1"/>
  <c r="AJ206" i="71" s="1"/>
  <c r="AJ207" i="71" s="1"/>
  <c r="AJ208" i="71" s="1"/>
  <c r="AJ209" i="71" s="1"/>
  <c r="AJ210" i="71" s="1"/>
  <c r="AJ211" i="71" s="1"/>
  <c r="AJ212" i="71" s="1"/>
  <c r="AJ213" i="71" s="1"/>
  <c r="AJ214" i="71" s="1"/>
  <c r="AJ215" i="71" s="1"/>
  <c r="AJ216" i="71" s="1"/>
  <c r="AJ217" i="71" s="1"/>
  <c r="AJ218" i="71" s="1"/>
  <c r="AJ219" i="71" s="1"/>
  <c r="AJ220" i="71" s="1"/>
  <c r="AJ221" i="71" s="1"/>
  <c r="AJ222" i="71" s="1"/>
  <c r="AJ223" i="71" s="1"/>
  <c r="AJ224" i="71" s="1"/>
  <c r="AJ225" i="71" s="1"/>
  <c r="AJ226" i="71" s="1"/>
  <c r="AJ227" i="71" s="1"/>
  <c r="AJ228" i="71" s="1"/>
  <c r="AJ229" i="71" s="1"/>
  <c r="AJ230" i="71" s="1"/>
  <c r="AJ231" i="71" s="1"/>
  <c r="AJ232" i="71" s="1"/>
  <c r="AJ233" i="71" s="1"/>
  <c r="AJ234" i="71" s="1"/>
  <c r="O11" i="71"/>
  <c r="J11" i="71" s="1"/>
  <c r="K11" i="71"/>
  <c r="F11" i="71" s="1"/>
  <c r="AC7" i="71"/>
  <c r="AC6" i="71"/>
  <c r="AD237" i="70"/>
  <c r="AD241" i="70" s="1"/>
  <c r="AC237" i="70"/>
  <c r="AC241" i="70" s="1"/>
  <c r="AB237" i="70"/>
  <c r="AB241" i="70" s="1"/>
  <c r="AA237" i="70"/>
  <c r="AA241" i="70" s="1"/>
  <c r="Z237" i="70"/>
  <c r="Z241" i="70" s="1"/>
  <c r="D161" i="70"/>
  <c r="D162" i="70" s="1"/>
  <c r="D163" i="70" s="1"/>
  <c r="D164" i="70" s="1"/>
  <c r="D165" i="70" s="1"/>
  <c r="D166" i="70" s="1"/>
  <c r="D167" i="70" s="1"/>
  <c r="D168" i="70" s="1"/>
  <c r="D169" i="70" s="1"/>
  <c r="D170" i="70" s="1"/>
  <c r="D171" i="70" s="1"/>
  <c r="D172" i="70" s="1"/>
  <c r="D173" i="70" s="1"/>
  <c r="D174" i="70" s="1"/>
  <c r="D175" i="70" s="1"/>
  <c r="D176" i="70" s="1"/>
  <c r="D177" i="70" s="1"/>
  <c r="D178" i="70" s="1"/>
  <c r="D179" i="70" s="1"/>
  <c r="D180" i="70" s="1"/>
  <c r="D181" i="70" s="1"/>
  <c r="D182" i="70" s="1"/>
  <c r="D184" i="70" s="1"/>
  <c r="D185" i="70" s="1"/>
  <c r="D186" i="70" s="1"/>
  <c r="D187" i="70" s="1"/>
  <c r="D188" i="70" s="1"/>
  <c r="D189" i="70" s="1"/>
  <c r="D190" i="70" s="1"/>
  <c r="D191" i="70" s="1"/>
  <c r="D192" i="70" s="1"/>
  <c r="D193" i="70" s="1"/>
  <c r="D194" i="70" s="1"/>
  <c r="D195" i="70" s="1"/>
  <c r="D196" i="70" s="1"/>
  <c r="D197" i="70" s="1"/>
  <c r="D198" i="70" s="1"/>
  <c r="D199" i="70" s="1"/>
  <c r="D200" i="70" s="1"/>
  <c r="D201" i="70" s="1"/>
  <c r="D202" i="70" s="1"/>
  <c r="D203" i="70" s="1"/>
  <c r="D204" i="70" s="1"/>
  <c r="D205" i="70" s="1"/>
  <c r="D206" i="70" s="1"/>
  <c r="D207" i="70" s="1"/>
  <c r="D208" i="70" s="1"/>
  <c r="D209" i="70" s="1"/>
  <c r="D210" i="70" s="1"/>
  <c r="D211" i="70" s="1"/>
  <c r="D212" i="70" s="1"/>
  <c r="D213" i="70" s="1"/>
  <c r="D214" i="70" s="1"/>
  <c r="D215" i="70" s="1"/>
  <c r="D216" i="70" s="1"/>
  <c r="D57" i="70"/>
  <c r="D58" i="70" s="1"/>
  <c r="D59" i="70" s="1"/>
  <c r="D60" i="70" s="1"/>
  <c r="D61" i="70" s="1"/>
  <c r="D62" i="70" s="1"/>
  <c r="D63" i="70" s="1"/>
  <c r="D64" i="70" s="1"/>
  <c r="D65" i="70" s="1"/>
  <c r="D66" i="70" s="1"/>
  <c r="D67" i="70" s="1"/>
  <c r="D68" i="70" s="1"/>
  <c r="D69" i="70" s="1"/>
  <c r="D70" i="70" s="1"/>
  <c r="D71" i="70" s="1"/>
  <c r="D72" i="70" s="1"/>
  <c r="D73" i="70" s="1"/>
  <c r="D74" i="70" s="1"/>
  <c r="D75" i="70" s="1"/>
  <c r="D76" i="70" s="1"/>
  <c r="D77" i="70" s="1"/>
  <c r="D78" i="70" s="1"/>
  <c r="D79" i="70" s="1"/>
  <c r="D80" i="70" s="1"/>
  <c r="D81" i="70" s="1"/>
  <c r="D82" i="70" s="1"/>
  <c r="D83" i="70" s="1"/>
  <c r="D84" i="70" s="1"/>
  <c r="D85" i="70" s="1"/>
  <c r="D86" i="70" s="1"/>
  <c r="D87" i="70" s="1"/>
  <c r="D88" i="70" s="1"/>
  <c r="D89" i="70" s="1"/>
  <c r="D90" i="70" s="1"/>
  <c r="D91" i="70" s="1"/>
  <c r="D92" i="70" s="1"/>
  <c r="D93" i="70" s="1"/>
  <c r="D94" i="70" s="1"/>
  <c r="D95" i="70" s="1"/>
  <c r="D96" i="70" s="1"/>
  <c r="D97" i="70" s="1"/>
  <c r="D98" i="70" s="1"/>
  <c r="D99" i="70" s="1"/>
  <c r="D100" i="70" s="1"/>
  <c r="D101" i="70" s="1"/>
  <c r="D102" i="70" s="1"/>
  <c r="D103" i="70" s="1"/>
  <c r="D104" i="70" s="1"/>
  <c r="D105" i="70" s="1"/>
  <c r="D106" i="70" s="1"/>
  <c r="D107" i="70" s="1"/>
  <c r="D108" i="70" s="1"/>
  <c r="D109" i="70" s="1"/>
  <c r="D110" i="70" s="1"/>
  <c r="D111" i="70" s="1"/>
  <c r="D112" i="70" s="1"/>
  <c r="D113" i="70" s="1"/>
  <c r="D114" i="70" s="1"/>
  <c r="D115" i="70" s="1"/>
  <c r="D116" i="70" s="1"/>
  <c r="D117" i="70" s="1"/>
  <c r="D118" i="70" s="1"/>
  <c r="D119" i="70" s="1"/>
  <c r="D120" i="70" s="1"/>
  <c r="D121" i="70" s="1"/>
  <c r="D122" i="70" s="1"/>
  <c r="D123" i="70" s="1"/>
  <c r="D124" i="70" s="1"/>
  <c r="D125" i="70" s="1"/>
  <c r="D126" i="70" s="1"/>
  <c r="D127" i="70" s="1"/>
  <c r="D128" i="70" s="1"/>
  <c r="D129" i="70" s="1"/>
  <c r="D130" i="70" s="1"/>
  <c r="D131" i="70" s="1"/>
  <c r="D132" i="70" s="1"/>
  <c r="D133" i="70" s="1"/>
  <c r="D134" i="70" s="1"/>
  <c r="D135" i="70" s="1"/>
  <c r="D136" i="70" s="1"/>
  <c r="D137" i="70" s="1"/>
  <c r="D138" i="70" s="1"/>
  <c r="D139" i="70" s="1"/>
  <c r="D140" i="70" s="1"/>
  <c r="D141" i="70" s="1"/>
  <c r="D142" i="70" s="1"/>
  <c r="D143" i="70" s="1"/>
  <c r="D144" i="70" s="1"/>
  <c r="D145" i="70" s="1"/>
  <c r="D146" i="70" s="1"/>
  <c r="D147" i="70" s="1"/>
  <c r="D148" i="70" s="1"/>
  <c r="D149" i="70" s="1"/>
  <c r="D150" i="70" s="1"/>
  <c r="D151" i="70" s="1"/>
  <c r="D152" i="70" s="1"/>
  <c r="D153" i="70" s="1"/>
  <c r="D154" i="70" s="1"/>
  <c r="D155" i="70" s="1"/>
  <c r="D156" i="70" s="1"/>
  <c r="D157" i="70" s="1"/>
  <c r="D158" i="70" s="1"/>
  <c r="D159" i="70" s="1"/>
  <c r="AI12" i="70"/>
  <c r="AI13" i="70" s="1"/>
  <c r="AI14" i="70" s="1"/>
  <c r="AI15" i="70" s="1"/>
  <c r="AI16" i="70" s="1"/>
  <c r="AI17" i="70" s="1"/>
  <c r="AI18" i="70" s="1"/>
  <c r="AI19" i="70" s="1"/>
  <c r="AI20" i="70" s="1"/>
  <c r="AI21" i="70" s="1"/>
  <c r="AI22" i="70" s="1"/>
  <c r="AI23" i="70" s="1"/>
  <c r="AI24" i="70" s="1"/>
  <c r="AI25" i="70" s="1"/>
  <c r="AI26" i="70" s="1"/>
  <c r="AI27" i="70" s="1"/>
  <c r="AI28" i="70" s="1"/>
  <c r="AI29" i="70" s="1"/>
  <c r="AI30" i="70" s="1"/>
  <c r="AI31" i="70" s="1"/>
  <c r="AI32" i="70" s="1"/>
  <c r="AI33" i="70" s="1"/>
  <c r="AI34" i="70" s="1"/>
  <c r="AI35" i="70" s="1"/>
  <c r="AI36" i="70" s="1"/>
  <c r="AI37" i="70" s="1"/>
  <c r="AI38" i="70" s="1"/>
  <c r="AI39" i="70" s="1"/>
  <c r="AI40" i="70" s="1"/>
  <c r="AI41" i="70" s="1"/>
  <c r="AI42" i="70" s="1"/>
  <c r="AI43" i="70" s="1"/>
  <c r="AI44" i="70" s="1"/>
  <c r="AI45" i="70" s="1"/>
  <c r="AI46" i="70" s="1"/>
  <c r="AI47" i="70" s="1"/>
  <c r="AI48" i="70" s="1"/>
  <c r="AI49" i="70" s="1"/>
  <c r="AI50" i="70" s="1"/>
  <c r="AI51" i="70" s="1"/>
  <c r="AI52" i="70" s="1"/>
  <c r="AI53" i="70" s="1"/>
  <c r="AI54" i="70" s="1"/>
  <c r="AI55" i="70" s="1"/>
  <c r="AI56" i="70" s="1"/>
  <c r="AI57" i="70" s="1"/>
  <c r="AI58" i="70" s="1"/>
  <c r="AI59" i="70" s="1"/>
  <c r="AI60" i="70" s="1"/>
  <c r="AI61" i="70" s="1"/>
  <c r="AI62" i="70" s="1"/>
  <c r="AI63" i="70" s="1"/>
  <c r="AI64" i="70" s="1"/>
  <c r="AI65" i="70" s="1"/>
  <c r="AI66" i="70" s="1"/>
  <c r="AI67" i="70" s="1"/>
  <c r="AI68" i="70" s="1"/>
  <c r="AI69" i="70" s="1"/>
  <c r="AI70" i="70" s="1"/>
  <c r="AI71" i="70" s="1"/>
  <c r="AI72" i="70" s="1"/>
  <c r="AI73" i="70" s="1"/>
  <c r="AI74" i="70" s="1"/>
  <c r="AI75" i="70" s="1"/>
  <c r="AI76" i="70" s="1"/>
  <c r="AI77" i="70" s="1"/>
  <c r="AI78" i="70" s="1"/>
  <c r="AI79" i="70" s="1"/>
  <c r="AI80" i="70" s="1"/>
  <c r="AI81" i="70" s="1"/>
  <c r="AI82" i="70" s="1"/>
  <c r="AI83" i="70" s="1"/>
  <c r="AI84" i="70" s="1"/>
  <c r="AI85" i="70" s="1"/>
  <c r="AI86" i="70" s="1"/>
  <c r="AI87" i="70" s="1"/>
  <c r="AI88" i="70" s="1"/>
  <c r="AI89" i="70" s="1"/>
  <c r="AI90" i="70" s="1"/>
  <c r="AI91" i="70" s="1"/>
  <c r="AI92" i="70" s="1"/>
  <c r="AI93" i="70" s="1"/>
  <c r="AI94" i="70" s="1"/>
  <c r="AI95" i="70" s="1"/>
  <c r="AI96" i="70" s="1"/>
  <c r="AI97" i="70" s="1"/>
  <c r="AI98" i="70" s="1"/>
  <c r="AI99" i="70" s="1"/>
  <c r="AI100" i="70" s="1"/>
  <c r="AI101" i="70" s="1"/>
  <c r="AI102" i="70" s="1"/>
  <c r="AI103" i="70" s="1"/>
  <c r="AI104" i="70" s="1"/>
  <c r="AI105" i="70" s="1"/>
  <c r="AI106" i="70" s="1"/>
  <c r="AI107" i="70" s="1"/>
  <c r="AI108" i="70" s="1"/>
  <c r="AI109" i="70" s="1"/>
  <c r="AI110" i="70" s="1"/>
  <c r="AI111" i="70" s="1"/>
  <c r="AI112" i="70" s="1"/>
  <c r="AI113" i="70" s="1"/>
  <c r="AI114" i="70" s="1"/>
  <c r="AI115" i="70" s="1"/>
  <c r="AI116" i="70" s="1"/>
  <c r="AI117" i="70" s="1"/>
  <c r="AI118" i="70" s="1"/>
  <c r="AI119" i="70" s="1"/>
  <c r="AI120" i="70" s="1"/>
  <c r="AI121" i="70" s="1"/>
  <c r="AI122" i="70" s="1"/>
  <c r="AI123" i="70" s="1"/>
  <c r="AI124" i="70" s="1"/>
  <c r="AI125" i="70" s="1"/>
  <c r="AI126" i="70" s="1"/>
  <c r="AI127" i="70" s="1"/>
  <c r="AI128" i="70" s="1"/>
  <c r="AI129" i="70" s="1"/>
  <c r="AI130" i="70" s="1"/>
  <c r="AI131" i="70" s="1"/>
  <c r="AI132" i="70" s="1"/>
  <c r="AI133" i="70" s="1"/>
  <c r="AI134" i="70" s="1"/>
  <c r="AI135" i="70" s="1"/>
  <c r="AI136" i="70" s="1"/>
  <c r="AI137" i="70" s="1"/>
  <c r="AI138" i="70" s="1"/>
  <c r="AI139" i="70" s="1"/>
  <c r="AI140" i="70" s="1"/>
  <c r="AI141" i="70" s="1"/>
  <c r="AI142" i="70" s="1"/>
  <c r="AI143" i="70" s="1"/>
  <c r="AI144" i="70" s="1"/>
  <c r="AI145" i="70" s="1"/>
  <c r="AI146" i="70" s="1"/>
  <c r="AI147" i="70" s="1"/>
  <c r="AI148" i="70" s="1"/>
  <c r="AI149" i="70" s="1"/>
  <c r="AI150" i="70" s="1"/>
  <c r="AI151" i="70" s="1"/>
  <c r="AI152" i="70" s="1"/>
  <c r="AI153" i="70" s="1"/>
  <c r="AI154" i="70" s="1"/>
  <c r="AI155" i="70" s="1"/>
  <c r="AI156" i="70" s="1"/>
  <c r="AI157" i="70" s="1"/>
  <c r="AI158" i="70" s="1"/>
  <c r="AI159" i="70" s="1"/>
  <c r="AI160" i="70" s="1"/>
  <c r="AI161" i="70" s="1"/>
  <c r="AI162" i="70" s="1"/>
  <c r="AI163" i="70" s="1"/>
  <c r="AI164" i="70" s="1"/>
  <c r="AI165" i="70" s="1"/>
  <c r="AI166" i="70" s="1"/>
  <c r="AI167" i="70" s="1"/>
  <c r="AI168" i="70" s="1"/>
  <c r="AI169" i="70" s="1"/>
  <c r="AI170" i="70" s="1"/>
  <c r="AI171" i="70" s="1"/>
  <c r="AI172" i="70" s="1"/>
  <c r="AI173" i="70" s="1"/>
  <c r="AI174" i="70" s="1"/>
  <c r="AI175" i="70" s="1"/>
  <c r="AI176" i="70" s="1"/>
  <c r="AI177" i="70" s="1"/>
  <c r="AI178" i="70" s="1"/>
  <c r="AI179" i="70" s="1"/>
  <c r="AI180" i="70" s="1"/>
  <c r="AI181" i="70" s="1"/>
  <c r="AI182" i="70" s="1"/>
  <c r="AI183" i="70" s="1"/>
  <c r="AI184" i="70" s="1"/>
  <c r="AI185" i="70" s="1"/>
  <c r="AI186" i="70" s="1"/>
  <c r="AI187" i="70" s="1"/>
  <c r="AI188" i="70" s="1"/>
  <c r="AI189" i="70" s="1"/>
  <c r="AI190" i="70" s="1"/>
  <c r="AI191" i="70" s="1"/>
  <c r="AI192" i="70" s="1"/>
  <c r="AI193" i="70" s="1"/>
  <c r="AI194" i="70" s="1"/>
  <c r="AI195" i="70" s="1"/>
  <c r="AI196" i="70" s="1"/>
  <c r="AI197" i="70" s="1"/>
  <c r="AI198" i="70" s="1"/>
  <c r="AI199" i="70" s="1"/>
  <c r="AI200" i="70" s="1"/>
  <c r="AI201" i="70" s="1"/>
  <c r="AI202" i="70" s="1"/>
  <c r="AI203" i="70" s="1"/>
  <c r="AI204" i="70" s="1"/>
  <c r="AI205" i="70" s="1"/>
  <c r="AI206" i="70" s="1"/>
  <c r="AI207" i="70" s="1"/>
  <c r="AI208" i="70" s="1"/>
  <c r="AI209" i="70" s="1"/>
  <c r="AI210" i="70" s="1"/>
  <c r="AI211" i="70" s="1"/>
  <c r="AI212" i="70" s="1"/>
  <c r="AI213" i="70" s="1"/>
  <c r="AI214" i="70" s="1"/>
  <c r="AI215" i="70" s="1"/>
  <c r="AI216" i="70" s="1"/>
  <c r="AH12" i="70"/>
  <c r="AH13" i="70" s="1"/>
  <c r="AH14" i="70" s="1"/>
  <c r="AH15" i="70" s="1"/>
  <c r="AH16" i="70" s="1"/>
  <c r="AH17" i="70" s="1"/>
  <c r="AH18" i="70" s="1"/>
  <c r="AH19" i="70" s="1"/>
  <c r="AH20" i="70" s="1"/>
  <c r="AH21" i="70" s="1"/>
  <c r="AH22" i="70" s="1"/>
  <c r="AH23" i="70" s="1"/>
  <c r="AH24" i="70" s="1"/>
  <c r="AH25" i="70" s="1"/>
  <c r="AH26" i="70" s="1"/>
  <c r="AH27" i="70" s="1"/>
  <c r="AH28" i="70" s="1"/>
  <c r="AH29" i="70" s="1"/>
  <c r="AH30" i="70" s="1"/>
  <c r="AH31" i="70" s="1"/>
  <c r="AH32" i="70" s="1"/>
  <c r="AH33" i="70" s="1"/>
  <c r="AH34" i="70" s="1"/>
  <c r="AH35" i="70" s="1"/>
  <c r="AH36" i="70" s="1"/>
  <c r="AH37" i="70" s="1"/>
  <c r="AH38" i="70" s="1"/>
  <c r="AH39" i="70" s="1"/>
  <c r="AH40" i="70" s="1"/>
  <c r="AH41" i="70" s="1"/>
  <c r="AH42" i="70" s="1"/>
  <c r="AH43" i="70" s="1"/>
  <c r="AH44" i="70" s="1"/>
  <c r="AH45" i="70" s="1"/>
  <c r="AH46" i="70" s="1"/>
  <c r="AH47" i="70" s="1"/>
  <c r="AH48" i="70" s="1"/>
  <c r="AH49" i="70" s="1"/>
  <c r="AH50" i="70" s="1"/>
  <c r="AH51" i="70" s="1"/>
  <c r="AH52" i="70" s="1"/>
  <c r="AH53" i="70" s="1"/>
  <c r="AH54" i="70" s="1"/>
  <c r="AH55" i="70" s="1"/>
  <c r="AH56" i="70" s="1"/>
  <c r="AH57" i="70" s="1"/>
  <c r="AH58" i="70" s="1"/>
  <c r="AH59" i="70" s="1"/>
  <c r="AH60" i="70" s="1"/>
  <c r="AH61" i="70" s="1"/>
  <c r="AH62" i="70" s="1"/>
  <c r="AH63" i="70" s="1"/>
  <c r="AH64" i="70" s="1"/>
  <c r="AH65" i="70" s="1"/>
  <c r="AH66" i="70" s="1"/>
  <c r="AH67" i="70" s="1"/>
  <c r="AH68" i="70" s="1"/>
  <c r="AH69" i="70" s="1"/>
  <c r="AH70" i="70" s="1"/>
  <c r="AH71" i="70" s="1"/>
  <c r="AH72" i="70" s="1"/>
  <c r="AH73" i="70" s="1"/>
  <c r="AH74" i="70" s="1"/>
  <c r="AH75" i="70" s="1"/>
  <c r="AH76" i="70" s="1"/>
  <c r="AH77" i="70" s="1"/>
  <c r="AH78" i="70" s="1"/>
  <c r="AH79" i="70" s="1"/>
  <c r="AH80" i="70" s="1"/>
  <c r="AH81" i="70" s="1"/>
  <c r="AH82" i="70" s="1"/>
  <c r="AH83" i="70" s="1"/>
  <c r="AH84" i="70" s="1"/>
  <c r="AH85" i="70" s="1"/>
  <c r="AH86" i="70" s="1"/>
  <c r="AH87" i="70" s="1"/>
  <c r="AH88" i="70" s="1"/>
  <c r="AH89" i="70" s="1"/>
  <c r="AH90" i="70" s="1"/>
  <c r="AH91" i="70" s="1"/>
  <c r="AH92" i="70" s="1"/>
  <c r="AH93" i="70" s="1"/>
  <c r="AH94" i="70" s="1"/>
  <c r="AH95" i="70" s="1"/>
  <c r="AH96" i="70" s="1"/>
  <c r="AH97" i="70" s="1"/>
  <c r="AH98" i="70" s="1"/>
  <c r="AH99" i="70" s="1"/>
  <c r="AH100" i="70" s="1"/>
  <c r="AH101" i="70" s="1"/>
  <c r="AH102" i="70" s="1"/>
  <c r="AH103" i="70" s="1"/>
  <c r="AH104" i="70" s="1"/>
  <c r="AH105" i="70" s="1"/>
  <c r="AH106" i="70" s="1"/>
  <c r="AH107" i="70" s="1"/>
  <c r="AH108" i="70" s="1"/>
  <c r="AH109" i="70" s="1"/>
  <c r="AH110" i="70" s="1"/>
  <c r="AH111" i="70" s="1"/>
  <c r="AH112" i="70" s="1"/>
  <c r="AH113" i="70" s="1"/>
  <c r="AH114" i="70" s="1"/>
  <c r="AH115" i="70" s="1"/>
  <c r="AH116" i="70" s="1"/>
  <c r="AH117" i="70" s="1"/>
  <c r="AH118" i="70" s="1"/>
  <c r="AH119" i="70" s="1"/>
  <c r="AH120" i="70" s="1"/>
  <c r="AH121" i="70" s="1"/>
  <c r="AH122" i="70" s="1"/>
  <c r="AH123" i="70" s="1"/>
  <c r="AH124" i="70" s="1"/>
  <c r="AH125" i="70" s="1"/>
  <c r="AH126" i="70" s="1"/>
  <c r="AH127" i="70" s="1"/>
  <c r="AH128" i="70" s="1"/>
  <c r="AH129" i="70" s="1"/>
  <c r="AH130" i="70" s="1"/>
  <c r="AH131" i="70" s="1"/>
  <c r="AH132" i="70" s="1"/>
  <c r="AH133" i="70" s="1"/>
  <c r="AH134" i="70" s="1"/>
  <c r="AH135" i="70" s="1"/>
  <c r="AH136" i="70" s="1"/>
  <c r="AH137" i="70" s="1"/>
  <c r="AH138" i="70" s="1"/>
  <c r="AH139" i="70" s="1"/>
  <c r="AH140" i="70" s="1"/>
  <c r="AH141" i="70" s="1"/>
  <c r="AH142" i="70" s="1"/>
  <c r="AH143" i="70" s="1"/>
  <c r="AH144" i="70" s="1"/>
  <c r="AH145" i="70" s="1"/>
  <c r="AH146" i="70" s="1"/>
  <c r="AH147" i="70" s="1"/>
  <c r="AH148" i="70" s="1"/>
  <c r="AH149" i="70" s="1"/>
  <c r="AH150" i="70" s="1"/>
  <c r="AH151" i="70" s="1"/>
  <c r="AH152" i="70" s="1"/>
  <c r="AH153" i="70" s="1"/>
  <c r="AH154" i="70" s="1"/>
  <c r="AH155" i="70" s="1"/>
  <c r="AH156" i="70" s="1"/>
  <c r="AH157" i="70" s="1"/>
  <c r="AH158" i="70" s="1"/>
  <c r="AH159" i="70" s="1"/>
  <c r="AH160" i="70" s="1"/>
  <c r="AH161" i="70" s="1"/>
  <c r="AH162" i="70" s="1"/>
  <c r="AH163" i="70" s="1"/>
  <c r="AH164" i="70" s="1"/>
  <c r="AH165" i="70" s="1"/>
  <c r="AH166" i="70" s="1"/>
  <c r="AH167" i="70" s="1"/>
  <c r="AH168" i="70" s="1"/>
  <c r="AH169" i="70" s="1"/>
  <c r="AH170" i="70" s="1"/>
  <c r="AH171" i="70" s="1"/>
  <c r="AH172" i="70" s="1"/>
  <c r="AH173" i="70" s="1"/>
  <c r="AH174" i="70" s="1"/>
  <c r="AH175" i="70" s="1"/>
  <c r="AH176" i="70" s="1"/>
  <c r="AH177" i="70" s="1"/>
  <c r="AH178" i="70" s="1"/>
  <c r="AH179" i="70" s="1"/>
  <c r="AH180" i="70" s="1"/>
  <c r="AH181" i="70" s="1"/>
  <c r="AH182" i="70" s="1"/>
  <c r="AH183" i="70" s="1"/>
  <c r="AH184" i="70" s="1"/>
  <c r="AH185" i="70" s="1"/>
  <c r="AH186" i="70" s="1"/>
  <c r="AH187" i="70" s="1"/>
  <c r="AH188" i="70" s="1"/>
  <c r="AH189" i="70" s="1"/>
  <c r="AH190" i="70" s="1"/>
  <c r="AH191" i="70" s="1"/>
  <c r="AH192" i="70" s="1"/>
  <c r="AH193" i="70" s="1"/>
  <c r="AH194" i="70" s="1"/>
  <c r="AH195" i="70" s="1"/>
  <c r="AH196" i="70" s="1"/>
  <c r="AH197" i="70" s="1"/>
  <c r="AH198" i="70" s="1"/>
  <c r="AH199" i="70" s="1"/>
  <c r="AH200" i="70" s="1"/>
  <c r="AH201" i="70" s="1"/>
  <c r="AH202" i="70" s="1"/>
  <c r="AH203" i="70" s="1"/>
  <c r="AH204" i="70" s="1"/>
  <c r="AH205" i="70" s="1"/>
  <c r="AH206" i="70" s="1"/>
  <c r="AH207" i="70" s="1"/>
  <c r="AH208" i="70" s="1"/>
  <c r="AH209" i="70" s="1"/>
  <c r="AH210" i="70" s="1"/>
  <c r="AH211" i="70" s="1"/>
  <c r="AH212" i="70" s="1"/>
  <c r="AH213" i="70" s="1"/>
  <c r="AH214" i="70" s="1"/>
  <c r="AH215" i="70" s="1"/>
  <c r="AH216" i="70" s="1"/>
  <c r="AH217" i="70" s="1"/>
  <c r="AH218" i="70" s="1"/>
  <c r="AH219" i="70" s="1"/>
  <c r="AH220" i="70" s="1"/>
  <c r="AH221" i="70" s="1"/>
  <c r="AH222" i="70" s="1"/>
  <c r="AH223" i="70" s="1"/>
  <c r="AH224" i="70" s="1"/>
  <c r="AH225" i="70" s="1"/>
  <c r="AH226" i="70" s="1"/>
  <c r="AH227" i="70" s="1"/>
  <c r="AH228" i="70" s="1"/>
  <c r="AH229" i="70" s="1"/>
  <c r="AH230" i="70" s="1"/>
  <c r="AH231" i="70" s="1"/>
  <c r="AH232" i="70" s="1"/>
  <c r="AH233" i="70" s="1"/>
  <c r="AH234" i="70" s="1"/>
  <c r="AG12" i="70"/>
  <c r="AG13" i="70" s="1"/>
  <c r="AG14" i="70" s="1"/>
  <c r="AG15" i="70" s="1"/>
  <c r="AG16" i="70" s="1"/>
  <c r="AG17" i="70" s="1"/>
  <c r="AG18" i="70" s="1"/>
  <c r="AG19" i="70" s="1"/>
  <c r="AG20" i="70" s="1"/>
  <c r="AG21" i="70" s="1"/>
  <c r="AG22" i="70" s="1"/>
  <c r="AG23" i="70" s="1"/>
  <c r="AG24" i="70" s="1"/>
  <c r="AG25" i="70" s="1"/>
  <c r="AG26" i="70" s="1"/>
  <c r="AG27" i="70" s="1"/>
  <c r="AG28" i="70" s="1"/>
  <c r="AG29" i="70" s="1"/>
  <c r="AG30" i="70" s="1"/>
  <c r="AG31" i="70" s="1"/>
  <c r="AG32" i="70" s="1"/>
  <c r="AG33" i="70" s="1"/>
  <c r="AG34" i="70" s="1"/>
  <c r="AG35" i="70" s="1"/>
  <c r="AG36" i="70" s="1"/>
  <c r="AG37" i="70" s="1"/>
  <c r="AG38" i="70" s="1"/>
  <c r="AG39" i="70" s="1"/>
  <c r="AG40" i="70" s="1"/>
  <c r="AG41" i="70" s="1"/>
  <c r="AG42" i="70" s="1"/>
  <c r="AG43" i="70" s="1"/>
  <c r="AG44" i="70" s="1"/>
  <c r="AG45" i="70" s="1"/>
  <c r="AG46" i="70" s="1"/>
  <c r="AG47" i="70" s="1"/>
  <c r="AG48" i="70" s="1"/>
  <c r="AG49" i="70" s="1"/>
  <c r="AG50" i="70" s="1"/>
  <c r="AG51" i="70" s="1"/>
  <c r="AG52" i="70" s="1"/>
  <c r="AG53" i="70" s="1"/>
  <c r="AG54" i="70" s="1"/>
  <c r="AG55" i="70" s="1"/>
  <c r="AG56" i="70" s="1"/>
  <c r="AG57" i="70" s="1"/>
  <c r="AG58" i="70" s="1"/>
  <c r="AG59" i="70" s="1"/>
  <c r="AG60" i="70" s="1"/>
  <c r="AG61" i="70" s="1"/>
  <c r="AG62" i="70" s="1"/>
  <c r="AG63" i="70" s="1"/>
  <c r="AG64" i="70" s="1"/>
  <c r="AG65" i="70" s="1"/>
  <c r="AG66" i="70" s="1"/>
  <c r="AG67" i="70" s="1"/>
  <c r="AG68" i="70" s="1"/>
  <c r="AG69" i="70" s="1"/>
  <c r="AG70" i="70" s="1"/>
  <c r="AG71" i="70" s="1"/>
  <c r="AG72" i="70" s="1"/>
  <c r="AG73" i="70" s="1"/>
  <c r="AG74" i="70" s="1"/>
  <c r="AG75" i="70" s="1"/>
  <c r="AG76" i="70" s="1"/>
  <c r="AG77" i="70" s="1"/>
  <c r="AG78" i="70" s="1"/>
  <c r="AG79" i="70" s="1"/>
  <c r="AG80" i="70" s="1"/>
  <c r="AG81" i="70" s="1"/>
  <c r="AG82" i="70" s="1"/>
  <c r="AG83" i="70" s="1"/>
  <c r="AG84" i="70" s="1"/>
  <c r="AG85" i="70" s="1"/>
  <c r="AG86" i="70" s="1"/>
  <c r="AG87" i="70" s="1"/>
  <c r="AG88" i="70" s="1"/>
  <c r="AG89" i="70" s="1"/>
  <c r="AG90" i="70" s="1"/>
  <c r="AG91" i="70" s="1"/>
  <c r="AG92" i="70" s="1"/>
  <c r="AG93" i="70" s="1"/>
  <c r="AG94" i="70" s="1"/>
  <c r="AG95" i="70" s="1"/>
  <c r="AG96" i="70" s="1"/>
  <c r="AG97" i="70" s="1"/>
  <c r="AG98" i="70" s="1"/>
  <c r="AG99" i="70" s="1"/>
  <c r="AG100" i="70" s="1"/>
  <c r="AG101" i="70" s="1"/>
  <c r="AG102" i="70" s="1"/>
  <c r="AG103" i="70" s="1"/>
  <c r="AG104" i="70" s="1"/>
  <c r="AG105" i="70" s="1"/>
  <c r="AG106" i="70" s="1"/>
  <c r="AG107" i="70" s="1"/>
  <c r="AG108" i="70" s="1"/>
  <c r="AG109" i="70" s="1"/>
  <c r="AG110" i="70" s="1"/>
  <c r="AG111" i="70" s="1"/>
  <c r="AG112" i="70" s="1"/>
  <c r="AG113" i="70" s="1"/>
  <c r="AG114" i="70" s="1"/>
  <c r="AG115" i="70" s="1"/>
  <c r="AG116" i="70" s="1"/>
  <c r="AG117" i="70" s="1"/>
  <c r="AG118" i="70" s="1"/>
  <c r="AG119" i="70" s="1"/>
  <c r="AG120" i="70" s="1"/>
  <c r="AG121" i="70" s="1"/>
  <c r="AG122" i="70" s="1"/>
  <c r="AG123" i="70" s="1"/>
  <c r="AG124" i="70" s="1"/>
  <c r="AG125" i="70" s="1"/>
  <c r="AG126" i="70" s="1"/>
  <c r="AG127" i="70" s="1"/>
  <c r="AG128" i="70" s="1"/>
  <c r="AG129" i="70" s="1"/>
  <c r="AG130" i="70" s="1"/>
  <c r="AG131" i="70" s="1"/>
  <c r="AG132" i="70" s="1"/>
  <c r="AG133" i="70" s="1"/>
  <c r="AG134" i="70" s="1"/>
  <c r="AG135" i="70" s="1"/>
  <c r="AG136" i="70" s="1"/>
  <c r="AG137" i="70" s="1"/>
  <c r="AG138" i="70" s="1"/>
  <c r="AG139" i="70" s="1"/>
  <c r="AG140" i="70" s="1"/>
  <c r="AG141" i="70" s="1"/>
  <c r="AG142" i="70" s="1"/>
  <c r="AG143" i="70" s="1"/>
  <c r="AG144" i="70" s="1"/>
  <c r="AG145" i="70" s="1"/>
  <c r="AG146" i="70" s="1"/>
  <c r="AG147" i="70" s="1"/>
  <c r="AG148" i="70" s="1"/>
  <c r="AG149" i="70" s="1"/>
  <c r="AG150" i="70" s="1"/>
  <c r="AG151" i="70" s="1"/>
  <c r="AG152" i="70" s="1"/>
  <c r="AG153" i="70" s="1"/>
  <c r="AG154" i="70" s="1"/>
  <c r="AG155" i="70" s="1"/>
  <c r="AG156" i="70" s="1"/>
  <c r="AG157" i="70" s="1"/>
  <c r="AG158" i="70" s="1"/>
  <c r="AG159" i="70" s="1"/>
  <c r="AG160" i="70" s="1"/>
  <c r="AG161" i="70" s="1"/>
  <c r="AG162" i="70" s="1"/>
  <c r="AG163" i="70" s="1"/>
  <c r="AG164" i="70" s="1"/>
  <c r="AG165" i="70" s="1"/>
  <c r="AG166" i="70" s="1"/>
  <c r="AG167" i="70" s="1"/>
  <c r="AG168" i="70" s="1"/>
  <c r="AG169" i="70" s="1"/>
  <c r="AG170" i="70" s="1"/>
  <c r="AG171" i="70" s="1"/>
  <c r="AG172" i="70" s="1"/>
  <c r="AG173" i="70" s="1"/>
  <c r="AG174" i="70" s="1"/>
  <c r="AG175" i="70" s="1"/>
  <c r="AG176" i="70" s="1"/>
  <c r="AG177" i="70" s="1"/>
  <c r="AG178" i="70" s="1"/>
  <c r="AG179" i="70" s="1"/>
  <c r="AG180" i="70" s="1"/>
  <c r="AG181" i="70" s="1"/>
  <c r="AG182" i="70" s="1"/>
  <c r="AG183" i="70" s="1"/>
  <c r="AG184" i="70" s="1"/>
  <c r="AG185" i="70" s="1"/>
  <c r="AG186" i="70" s="1"/>
  <c r="AG187" i="70" s="1"/>
  <c r="AG188" i="70" s="1"/>
  <c r="AG189" i="70" s="1"/>
  <c r="AG190" i="70" s="1"/>
  <c r="AG191" i="70" s="1"/>
  <c r="AG192" i="70" s="1"/>
  <c r="AG193" i="70" s="1"/>
  <c r="AG194" i="70" s="1"/>
  <c r="AG195" i="70" s="1"/>
  <c r="AG196" i="70" s="1"/>
  <c r="AG197" i="70" s="1"/>
  <c r="AG198" i="70" s="1"/>
  <c r="AG199" i="70" s="1"/>
  <c r="AG200" i="70" s="1"/>
  <c r="AG201" i="70" s="1"/>
  <c r="AG202" i="70" s="1"/>
  <c r="AG203" i="70" s="1"/>
  <c r="AG204" i="70" s="1"/>
  <c r="AG205" i="70" s="1"/>
  <c r="AG206" i="70" s="1"/>
  <c r="AG207" i="70" s="1"/>
  <c r="AG208" i="70" s="1"/>
  <c r="AG209" i="70" s="1"/>
  <c r="AG210" i="70" s="1"/>
  <c r="AG211" i="70" s="1"/>
  <c r="AG212" i="70" s="1"/>
  <c r="AG213" i="70" s="1"/>
  <c r="AG214" i="70" s="1"/>
  <c r="AG215" i="70" s="1"/>
  <c r="AG216" i="70" s="1"/>
  <c r="AG217" i="70" s="1"/>
  <c r="AG218" i="70" s="1"/>
  <c r="AG219" i="70" s="1"/>
  <c r="AG220" i="70" s="1"/>
  <c r="AG221" i="70" s="1"/>
  <c r="AG222" i="70" s="1"/>
  <c r="AG223" i="70" s="1"/>
  <c r="AG224" i="70" s="1"/>
  <c r="AG225" i="70" s="1"/>
  <c r="AG226" i="70" s="1"/>
  <c r="AG227" i="70" s="1"/>
  <c r="AG228" i="70" s="1"/>
  <c r="AG229" i="70" s="1"/>
  <c r="AG230" i="70" s="1"/>
  <c r="AG231" i="70" s="1"/>
  <c r="AG232" i="70" s="1"/>
  <c r="AG233" i="70" s="1"/>
  <c r="AG234" i="70" s="1"/>
  <c r="AF12" i="70"/>
  <c r="AF13" i="70" s="1"/>
  <c r="AF14" i="70" s="1"/>
  <c r="AF15" i="70" s="1"/>
  <c r="AF16" i="70" s="1"/>
  <c r="AF17" i="70" s="1"/>
  <c r="AF18" i="70" s="1"/>
  <c r="AF19" i="70" s="1"/>
  <c r="AF20" i="70" s="1"/>
  <c r="AF21" i="70" s="1"/>
  <c r="AF22" i="70" s="1"/>
  <c r="AF23" i="70" s="1"/>
  <c r="AF24" i="70" s="1"/>
  <c r="AF25" i="70" s="1"/>
  <c r="AF26" i="70" s="1"/>
  <c r="AF27" i="70" s="1"/>
  <c r="AF28" i="70" s="1"/>
  <c r="AF29" i="70" s="1"/>
  <c r="AF30" i="70" s="1"/>
  <c r="AF31" i="70" s="1"/>
  <c r="AF32" i="70" s="1"/>
  <c r="AF33" i="70" s="1"/>
  <c r="AF34" i="70" s="1"/>
  <c r="AF35" i="70" s="1"/>
  <c r="AF36" i="70" s="1"/>
  <c r="AF37" i="70" s="1"/>
  <c r="AF38" i="70" s="1"/>
  <c r="AF39" i="70" s="1"/>
  <c r="AF40" i="70" s="1"/>
  <c r="AF41" i="70" s="1"/>
  <c r="AF42" i="70" s="1"/>
  <c r="AF43" i="70" s="1"/>
  <c r="AF44" i="70" s="1"/>
  <c r="AF45" i="70" s="1"/>
  <c r="AF46" i="70" s="1"/>
  <c r="AF47" i="70" s="1"/>
  <c r="AF48" i="70" s="1"/>
  <c r="AF49" i="70" s="1"/>
  <c r="AF50" i="70" s="1"/>
  <c r="AF51" i="70" s="1"/>
  <c r="AF52" i="70" s="1"/>
  <c r="AF53" i="70" s="1"/>
  <c r="AF54" i="70" s="1"/>
  <c r="AF55" i="70" s="1"/>
  <c r="AF56" i="70" s="1"/>
  <c r="AF57" i="70" s="1"/>
  <c r="AF58" i="70" s="1"/>
  <c r="AF59" i="70" s="1"/>
  <c r="AF60" i="70" s="1"/>
  <c r="AF61" i="70" s="1"/>
  <c r="AF62" i="70" s="1"/>
  <c r="AF63" i="70" s="1"/>
  <c r="AF64" i="70" s="1"/>
  <c r="AF65" i="70" s="1"/>
  <c r="AF66" i="70" s="1"/>
  <c r="AF67" i="70" s="1"/>
  <c r="AF68" i="70" s="1"/>
  <c r="AF69" i="70" s="1"/>
  <c r="AF70" i="70" s="1"/>
  <c r="AF71" i="70" s="1"/>
  <c r="AF72" i="70" s="1"/>
  <c r="AF73" i="70" s="1"/>
  <c r="AF74" i="70" s="1"/>
  <c r="AF75" i="70" s="1"/>
  <c r="AF76" i="70" s="1"/>
  <c r="AF77" i="70" s="1"/>
  <c r="AF78" i="70" s="1"/>
  <c r="AF79" i="70" s="1"/>
  <c r="AF80" i="70" s="1"/>
  <c r="AF81" i="70" s="1"/>
  <c r="AF82" i="70" s="1"/>
  <c r="AF83" i="70" s="1"/>
  <c r="AF84" i="70" s="1"/>
  <c r="AF85" i="70" s="1"/>
  <c r="AF86" i="70" s="1"/>
  <c r="AF87" i="70" s="1"/>
  <c r="AF88" i="70" s="1"/>
  <c r="AF89" i="70" s="1"/>
  <c r="AF90" i="70" s="1"/>
  <c r="AF91" i="70" s="1"/>
  <c r="AF92" i="70" s="1"/>
  <c r="AF93" i="70" s="1"/>
  <c r="AF94" i="70" s="1"/>
  <c r="AF95" i="70" s="1"/>
  <c r="AF96" i="70" s="1"/>
  <c r="AF97" i="70" s="1"/>
  <c r="AF98" i="70" s="1"/>
  <c r="AF99" i="70" s="1"/>
  <c r="AF100" i="70" s="1"/>
  <c r="AF101" i="70" s="1"/>
  <c r="AF102" i="70" s="1"/>
  <c r="AF103" i="70" s="1"/>
  <c r="AF104" i="70" s="1"/>
  <c r="AF105" i="70" s="1"/>
  <c r="AF106" i="70" s="1"/>
  <c r="AF107" i="70" s="1"/>
  <c r="AF108" i="70" s="1"/>
  <c r="AF109" i="70" s="1"/>
  <c r="AF110" i="70" s="1"/>
  <c r="AF111" i="70" s="1"/>
  <c r="AF112" i="70" s="1"/>
  <c r="AF113" i="70" s="1"/>
  <c r="AF114" i="70" s="1"/>
  <c r="AF115" i="70" s="1"/>
  <c r="AF116" i="70" s="1"/>
  <c r="AF117" i="70" s="1"/>
  <c r="AF118" i="70" s="1"/>
  <c r="AF119" i="70" s="1"/>
  <c r="AF120" i="70" s="1"/>
  <c r="AF121" i="70" s="1"/>
  <c r="AF122" i="70" s="1"/>
  <c r="AF123" i="70" s="1"/>
  <c r="AF124" i="70" s="1"/>
  <c r="AF125" i="70" s="1"/>
  <c r="AF126" i="70" s="1"/>
  <c r="AF127" i="70" s="1"/>
  <c r="AF128" i="70" s="1"/>
  <c r="AF129" i="70" s="1"/>
  <c r="AF130" i="70" s="1"/>
  <c r="AF131" i="70" s="1"/>
  <c r="AF132" i="70" s="1"/>
  <c r="AF133" i="70" s="1"/>
  <c r="AF134" i="70" s="1"/>
  <c r="AF135" i="70" s="1"/>
  <c r="AF136" i="70" s="1"/>
  <c r="AF137" i="70" s="1"/>
  <c r="AF138" i="70" s="1"/>
  <c r="AF139" i="70" s="1"/>
  <c r="AF140" i="70" s="1"/>
  <c r="AF141" i="70" s="1"/>
  <c r="AF142" i="70" s="1"/>
  <c r="AF143" i="70" s="1"/>
  <c r="AF144" i="70" s="1"/>
  <c r="AF145" i="70" s="1"/>
  <c r="AF146" i="70" s="1"/>
  <c r="AF147" i="70" s="1"/>
  <c r="AF148" i="70" s="1"/>
  <c r="AF149" i="70" s="1"/>
  <c r="AF150" i="70" s="1"/>
  <c r="AF151" i="70" s="1"/>
  <c r="AF152" i="70" s="1"/>
  <c r="AF153" i="70" s="1"/>
  <c r="AF154" i="70" s="1"/>
  <c r="AF155" i="70" s="1"/>
  <c r="AF156" i="70" s="1"/>
  <c r="AF157" i="70" s="1"/>
  <c r="AF158" i="70" s="1"/>
  <c r="AF159" i="70" s="1"/>
  <c r="AF160" i="70" s="1"/>
  <c r="AF161" i="70" s="1"/>
  <c r="AF162" i="70" s="1"/>
  <c r="AF163" i="70" s="1"/>
  <c r="AF164" i="70" s="1"/>
  <c r="AF165" i="70" s="1"/>
  <c r="AF166" i="70" s="1"/>
  <c r="AF167" i="70" s="1"/>
  <c r="AF168" i="70" s="1"/>
  <c r="AF169" i="70" s="1"/>
  <c r="AF170" i="70" s="1"/>
  <c r="AF171" i="70" s="1"/>
  <c r="AF172" i="70" s="1"/>
  <c r="AF173" i="70" s="1"/>
  <c r="AF174" i="70" s="1"/>
  <c r="AF175" i="70" s="1"/>
  <c r="AF176" i="70" s="1"/>
  <c r="AF177" i="70" s="1"/>
  <c r="AF178" i="70" s="1"/>
  <c r="AF179" i="70" s="1"/>
  <c r="AF180" i="70" s="1"/>
  <c r="AF181" i="70" s="1"/>
  <c r="AF182" i="70" s="1"/>
  <c r="AF183" i="70" s="1"/>
  <c r="AF184" i="70" s="1"/>
  <c r="AF185" i="70" s="1"/>
  <c r="AF186" i="70" s="1"/>
  <c r="AF187" i="70" s="1"/>
  <c r="AF188" i="70" s="1"/>
  <c r="AF189" i="70" s="1"/>
  <c r="AF190" i="70" s="1"/>
  <c r="AF191" i="70" s="1"/>
  <c r="AF192" i="70" s="1"/>
  <c r="AF193" i="70" s="1"/>
  <c r="AF194" i="70" s="1"/>
  <c r="AF195" i="70" s="1"/>
  <c r="AF196" i="70" s="1"/>
  <c r="AF197" i="70" s="1"/>
  <c r="AF198" i="70" s="1"/>
  <c r="AF199" i="70" s="1"/>
  <c r="AF200" i="70" s="1"/>
  <c r="AF201" i="70" s="1"/>
  <c r="AF202" i="70" s="1"/>
  <c r="AF203" i="70" s="1"/>
  <c r="AF204" i="70" s="1"/>
  <c r="AF205" i="70" s="1"/>
  <c r="AF206" i="70" s="1"/>
  <c r="AF207" i="70" s="1"/>
  <c r="AF208" i="70" s="1"/>
  <c r="AF209" i="70" s="1"/>
  <c r="AF210" i="70" s="1"/>
  <c r="AF211" i="70" s="1"/>
  <c r="AF212" i="70" s="1"/>
  <c r="AF213" i="70" s="1"/>
  <c r="AF214" i="70" s="1"/>
  <c r="AF215" i="70" s="1"/>
  <c r="AF216" i="70" s="1"/>
  <c r="AF217" i="70" s="1"/>
  <c r="AF218" i="70" s="1"/>
  <c r="AF219" i="70" s="1"/>
  <c r="AF220" i="70" s="1"/>
  <c r="AF221" i="70" s="1"/>
  <c r="AF222" i="70" s="1"/>
  <c r="AF223" i="70" s="1"/>
  <c r="AF224" i="70" s="1"/>
  <c r="AF225" i="70" s="1"/>
  <c r="AF226" i="70" s="1"/>
  <c r="AF227" i="70" s="1"/>
  <c r="AF228" i="70" s="1"/>
  <c r="AF229" i="70" s="1"/>
  <c r="AF230" i="70" s="1"/>
  <c r="AF231" i="70" s="1"/>
  <c r="AF232" i="70" s="1"/>
  <c r="AF233" i="70" s="1"/>
  <c r="AF234" i="70" s="1"/>
  <c r="AE12" i="70"/>
  <c r="AE13" i="70" s="1"/>
  <c r="AE14" i="70" s="1"/>
  <c r="AE15" i="70" s="1"/>
  <c r="AE16" i="70" s="1"/>
  <c r="AE17" i="70" s="1"/>
  <c r="AE18" i="70" s="1"/>
  <c r="AE19" i="70" s="1"/>
  <c r="AE20" i="70" s="1"/>
  <c r="AE21" i="70" s="1"/>
  <c r="AE22" i="70" s="1"/>
  <c r="AE23" i="70" s="1"/>
  <c r="AE24" i="70" s="1"/>
  <c r="AE25" i="70" s="1"/>
  <c r="AE26" i="70" s="1"/>
  <c r="AE27" i="70" s="1"/>
  <c r="AE28" i="70" s="1"/>
  <c r="AE29" i="70" s="1"/>
  <c r="AE30" i="70" s="1"/>
  <c r="AE31" i="70" s="1"/>
  <c r="AE32" i="70" s="1"/>
  <c r="AE33" i="70" s="1"/>
  <c r="AE34" i="70" s="1"/>
  <c r="AE35" i="70" s="1"/>
  <c r="AE36" i="70" s="1"/>
  <c r="AE37" i="70" s="1"/>
  <c r="AE38" i="70" s="1"/>
  <c r="AE39" i="70" s="1"/>
  <c r="AE40" i="70" s="1"/>
  <c r="AE41" i="70" s="1"/>
  <c r="AE42" i="70" s="1"/>
  <c r="AE43" i="70" s="1"/>
  <c r="AE44" i="70" s="1"/>
  <c r="AE45" i="70" s="1"/>
  <c r="AE46" i="70" s="1"/>
  <c r="AE47" i="70" s="1"/>
  <c r="AE48" i="70" s="1"/>
  <c r="AE49" i="70" s="1"/>
  <c r="AE50" i="70" s="1"/>
  <c r="AE51" i="70" s="1"/>
  <c r="AE52" i="70" s="1"/>
  <c r="AE53" i="70" s="1"/>
  <c r="AE54" i="70" s="1"/>
  <c r="AE55" i="70" s="1"/>
  <c r="AE56" i="70" s="1"/>
  <c r="AE57" i="70" s="1"/>
  <c r="AE58" i="70" s="1"/>
  <c r="AE59" i="70" s="1"/>
  <c r="AE60" i="70" s="1"/>
  <c r="AE61" i="70" s="1"/>
  <c r="AE62" i="70" s="1"/>
  <c r="AE63" i="70" s="1"/>
  <c r="AE64" i="70" s="1"/>
  <c r="AE65" i="70" s="1"/>
  <c r="AE66" i="70" s="1"/>
  <c r="AE67" i="70" s="1"/>
  <c r="AE68" i="70" s="1"/>
  <c r="AE69" i="70" s="1"/>
  <c r="AE70" i="70" s="1"/>
  <c r="AE71" i="70" s="1"/>
  <c r="AE72" i="70" s="1"/>
  <c r="AE73" i="70" s="1"/>
  <c r="AE74" i="70" s="1"/>
  <c r="AE75" i="70" s="1"/>
  <c r="AE76" i="70" s="1"/>
  <c r="AE77" i="70" s="1"/>
  <c r="AE78" i="70" s="1"/>
  <c r="AE79" i="70" s="1"/>
  <c r="AE80" i="70" s="1"/>
  <c r="AE81" i="70" s="1"/>
  <c r="AE82" i="70" s="1"/>
  <c r="AE83" i="70" s="1"/>
  <c r="AE84" i="70" s="1"/>
  <c r="AE85" i="70" s="1"/>
  <c r="AE86" i="70" s="1"/>
  <c r="AE87" i="70" s="1"/>
  <c r="AE88" i="70" s="1"/>
  <c r="AE89" i="70" s="1"/>
  <c r="AE90" i="70" s="1"/>
  <c r="AE91" i="70" s="1"/>
  <c r="AE92" i="70" s="1"/>
  <c r="AE93" i="70" s="1"/>
  <c r="AE94" i="70" s="1"/>
  <c r="AE95" i="70" s="1"/>
  <c r="AE96" i="70" s="1"/>
  <c r="AE97" i="70" s="1"/>
  <c r="AE98" i="70" s="1"/>
  <c r="AE99" i="70" s="1"/>
  <c r="AE100" i="70" s="1"/>
  <c r="AE101" i="70" s="1"/>
  <c r="AE102" i="70" s="1"/>
  <c r="AE103" i="70" s="1"/>
  <c r="AE104" i="70" s="1"/>
  <c r="AE105" i="70" s="1"/>
  <c r="AE106" i="70" s="1"/>
  <c r="AE107" i="70" s="1"/>
  <c r="AE108" i="70" s="1"/>
  <c r="AE109" i="70" s="1"/>
  <c r="AE110" i="70" s="1"/>
  <c r="AE111" i="70" s="1"/>
  <c r="AE112" i="70" s="1"/>
  <c r="AE113" i="70" s="1"/>
  <c r="AE114" i="70" s="1"/>
  <c r="AE115" i="70" s="1"/>
  <c r="AE116" i="70" s="1"/>
  <c r="AE117" i="70" s="1"/>
  <c r="AE118" i="70" s="1"/>
  <c r="AE119" i="70" s="1"/>
  <c r="AE120" i="70" s="1"/>
  <c r="AE121" i="70" s="1"/>
  <c r="AE122" i="70" s="1"/>
  <c r="AE123" i="70" s="1"/>
  <c r="AE124" i="70" s="1"/>
  <c r="AE125" i="70" s="1"/>
  <c r="AE126" i="70" s="1"/>
  <c r="AE127" i="70" s="1"/>
  <c r="AE128" i="70" s="1"/>
  <c r="AE129" i="70" s="1"/>
  <c r="AE130" i="70" s="1"/>
  <c r="AE131" i="70" s="1"/>
  <c r="AE132" i="70" s="1"/>
  <c r="AE133" i="70" s="1"/>
  <c r="AE134" i="70" s="1"/>
  <c r="AE135" i="70" s="1"/>
  <c r="AE136" i="70" s="1"/>
  <c r="AE137" i="70" s="1"/>
  <c r="AE138" i="70" s="1"/>
  <c r="AE139" i="70" s="1"/>
  <c r="AE140" i="70" s="1"/>
  <c r="AE141" i="70" s="1"/>
  <c r="AE142" i="70" s="1"/>
  <c r="AE143" i="70" s="1"/>
  <c r="AE144" i="70" s="1"/>
  <c r="AE145" i="70" s="1"/>
  <c r="AE146" i="70" s="1"/>
  <c r="AE147" i="70" s="1"/>
  <c r="AE148" i="70" s="1"/>
  <c r="AE149" i="70" s="1"/>
  <c r="AE150" i="70" s="1"/>
  <c r="AE151" i="70" s="1"/>
  <c r="AE152" i="70" s="1"/>
  <c r="AE153" i="70" s="1"/>
  <c r="AE154" i="70" s="1"/>
  <c r="AE155" i="70" s="1"/>
  <c r="AE156" i="70" s="1"/>
  <c r="AE157" i="70" s="1"/>
  <c r="AE158" i="70" s="1"/>
  <c r="AE159" i="70" s="1"/>
  <c r="AE160" i="70" s="1"/>
  <c r="AE161" i="70" s="1"/>
  <c r="AE162" i="70" s="1"/>
  <c r="AE163" i="70" s="1"/>
  <c r="AE164" i="70" s="1"/>
  <c r="AE165" i="70" s="1"/>
  <c r="AE166" i="70" s="1"/>
  <c r="AE167" i="70" s="1"/>
  <c r="AE168" i="70" s="1"/>
  <c r="AE169" i="70" s="1"/>
  <c r="AE170" i="70" s="1"/>
  <c r="AE171" i="70" s="1"/>
  <c r="AE172" i="70" s="1"/>
  <c r="AE173" i="70" s="1"/>
  <c r="AE174" i="70" s="1"/>
  <c r="AE175" i="70" s="1"/>
  <c r="AE176" i="70" s="1"/>
  <c r="AE177" i="70" s="1"/>
  <c r="AE178" i="70" s="1"/>
  <c r="AE179" i="70" s="1"/>
  <c r="AE180" i="70" s="1"/>
  <c r="AE181" i="70" s="1"/>
  <c r="AE182" i="70" s="1"/>
  <c r="AE184" i="70" s="1"/>
  <c r="AE185" i="70" s="1"/>
  <c r="AE186" i="70" s="1"/>
  <c r="AE187" i="70" s="1"/>
  <c r="AE188" i="70" s="1"/>
  <c r="AE189" i="70" s="1"/>
  <c r="AE190" i="70" s="1"/>
  <c r="AE191" i="70" s="1"/>
  <c r="AE192" i="70" s="1"/>
  <c r="AE193" i="70" s="1"/>
  <c r="AE194" i="70" s="1"/>
  <c r="AE195" i="70" s="1"/>
  <c r="AE196" i="70" s="1"/>
  <c r="AE197" i="70" s="1"/>
  <c r="AE198" i="70" s="1"/>
  <c r="AE199" i="70" s="1"/>
  <c r="AE200" i="70" s="1"/>
  <c r="AE201" i="70" s="1"/>
  <c r="AE202" i="70" s="1"/>
  <c r="AE203" i="70" s="1"/>
  <c r="AE204" i="70" s="1"/>
  <c r="AE205" i="70" s="1"/>
  <c r="AE206" i="70" s="1"/>
  <c r="AE207" i="70" s="1"/>
  <c r="AE208" i="70" s="1"/>
  <c r="AE209" i="70" s="1"/>
  <c r="AE210" i="70" s="1"/>
  <c r="AE211" i="70" s="1"/>
  <c r="AE212" i="70" s="1"/>
  <c r="AE213" i="70" s="1"/>
  <c r="AE214" i="70" s="1"/>
  <c r="AE215" i="70" s="1"/>
  <c r="AE216" i="70" s="1"/>
  <c r="Y12" i="70"/>
  <c r="Y13" i="70" s="1"/>
  <c r="Y14" i="70" s="1"/>
  <c r="Y15" i="70" s="1"/>
  <c r="Y16" i="70" s="1"/>
  <c r="Y17" i="70" s="1"/>
  <c r="Y18" i="70" s="1"/>
  <c r="Y19" i="70" s="1"/>
  <c r="Y20" i="70" s="1"/>
  <c r="Y21" i="70" s="1"/>
  <c r="Y22" i="70" s="1"/>
  <c r="Y23" i="70" s="1"/>
  <c r="Y24" i="70" s="1"/>
  <c r="Y25" i="70" s="1"/>
  <c r="Y26" i="70" s="1"/>
  <c r="Y27" i="70" s="1"/>
  <c r="Y28" i="70" s="1"/>
  <c r="Y29" i="70" s="1"/>
  <c r="Y30" i="70" s="1"/>
  <c r="Y31" i="70" s="1"/>
  <c r="Y32" i="70" s="1"/>
  <c r="Y33" i="70" s="1"/>
  <c r="Y34" i="70" s="1"/>
  <c r="Y35" i="70" s="1"/>
  <c r="Y36" i="70" s="1"/>
  <c r="Y37" i="70" s="1"/>
  <c r="Y38" i="70" s="1"/>
  <c r="Y39" i="70" s="1"/>
  <c r="Y40" i="70" s="1"/>
  <c r="Y41" i="70" s="1"/>
  <c r="Y42" i="70" s="1"/>
  <c r="Y43" i="70" s="1"/>
  <c r="Y44" i="70" s="1"/>
  <c r="Y45" i="70" s="1"/>
  <c r="Y46" i="70" s="1"/>
  <c r="Y47" i="70" s="1"/>
  <c r="Y48" i="70" s="1"/>
  <c r="Y49" i="70" s="1"/>
  <c r="Y50" i="70" s="1"/>
  <c r="Y51" i="70" s="1"/>
  <c r="Y52" i="70" s="1"/>
  <c r="Y53" i="70" s="1"/>
  <c r="Y54" i="70" s="1"/>
  <c r="Y55" i="70" s="1"/>
  <c r="Y56" i="70" s="1"/>
  <c r="Y57" i="70" s="1"/>
  <c r="Y58" i="70" s="1"/>
  <c r="Y59" i="70" s="1"/>
  <c r="Y60" i="70" s="1"/>
  <c r="Y61" i="70" s="1"/>
  <c r="Y62" i="70" s="1"/>
  <c r="Y63" i="70" s="1"/>
  <c r="Y64" i="70" s="1"/>
  <c r="Y65" i="70" s="1"/>
  <c r="Y66" i="70" s="1"/>
  <c r="Y67" i="70" s="1"/>
  <c r="Y68" i="70" s="1"/>
  <c r="Y69" i="70" s="1"/>
  <c r="Y70" i="70" s="1"/>
  <c r="Y71" i="70" s="1"/>
  <c r="Y72" i="70" s="1"/>
  <c r="Y73" i="70" s="1"/>
  <c r="Y74" i="70" s="1"/>
  <c r="Y75" i="70" s="1"/>
  <c r="Y76" i="70" s="1"/>
  <c r="Y77" i="70" s="1"/>
  <c r="Y78" i="70" s="1"/>
  <c r="Y79" i="70" s="1"/>
  <c r="Y80" i="70" s="1"/>
  <c r="Y81" i="70" s="1"/>
  <c r="Y82" i="70" s="1"/>
  <c r="Y83" i="70" s="1"/>
  <c r="Y84" i="70" s="1"/>
  <c r="Y85" i="70" s="1"/>
  <c r="Y86" i="70" s="1"/>
  <c r="Y87" i="70" s="1"/>
  <c r="Y88" i="70" s="1"/>
  <c r="Y89" i="70" s="1"/>
  <c r="Y90" i="70" s="1"/>
  <c r="Y91" i="70" s="1"/>
  <c r="Y92" i="70" s="1"/>
  <c r="Y93" i="70" s="1"/>
  <c r="Y94" i="70" s="1"/>
  <c r="Y95" i="70" s="1"/>
  <c r="Y96" i="70" s="1"/>
  <c r="Y97" i="70" s="1"/>
  <c r="Y98" i="70" s="1"/>
  <c r="Y99" i="70" s="1"/>
  <c r="Y100" i="70" s="1"/>
  <c r="Y101" i="70" s="1"/>
  <c r="Y102" i="70" s="1"/>
  <c r="Y103" i="70" s="1"/>
  <c r="Y104" i="70" s="1"/>
  <c r="Y105" i="70" s="1"/>
  <c r="Y106" i="70" s="1"/>
  <c r="Y107" i="70" s="1"/>
  <c r="Y108" i="70" s="1"/>
  <c r="Y109" i="70" s="1"/>
  <c r="Y110" i="70" s="1"/>
  <c r="Y111" i="70" s="1"/>
  <c r="Y112" i="70" s="1"/>
  <c r="Y113" i="70" s="1"/>
  <c r="Y114" i="70" s="1"/>
  <c r="Y115" i="70" s="1"/>
  <c r="Y116" i="70" s="1"/>
  <c r="Y117" i="70" s="1"/>
  <c r="Y118" i="70" s="1"/>
  <c r="Y119" i="70" s="1"/>
  <c r="Y120" i="70" s="1"/>
  <c r="Y121" i="70" s="1"/>
  <c r="Y122" i="70" s="1"/>
  <c r="Y123" i="70" s="1"/>
  <c r="Y124" i="70" s="1"/>
  <c r="Y125" i="70" s="1"/>
  <c r="Y126" i="70" s="1"/>
  <c r="Y127" i="70" s="1"/>
  <c r="Y128" i="70" s="1"/>
  <c r="Y129" i="70" s="1"/>
  <c r="Y130" i="70" s="1"/>
  <c r="Y131" i="70" s="1"/>
  <c r="Y132" i="70" s="1"/>
  <c r="Y133" i="70" s="1"/>
  <c r="Y134" i="70" s="1"/>
  <c r="Y135" i="70" s="1"/>
  <c r="Y136" i="70" s="1"/>
  <c r="Y137" i="70" s="1"/>
  <c r="Y138" i="70" s="1"/>
  <c r="Y139" i="70" s="1"/>
  <c r="Y140" i="70" s="1"/>
  <c r="Y141" i="70" s="1"/>
  <c r="Y142" i="70" s="1"/>
  <c r="Y143" i="70" s="1"/>
  <c r="Y144" i="70" s="1"/>
  <c r="Y145" i="70" s="1"/>
  <c r="Y146" i="70" s="1"/>
  <c r="Y147" i="70" s="1"/>
  <c r="Y148" i="70" s="1"/>
  <c r="Y149" i="70" s="1"/>
  <c r="Y150" i="70" s="1"/>
  <c r="Y151" i="70" s="1"/>
  <c r="Y152" i="70" s="1"/>
  <c r="Y153" i="70" s="1"/>
  <c r="Y154" i="70" s="1"/>
  <c r="Y155" i="70" s="1"/>
  <c r="Y156" i="70" s="1"/>
  <c r="Y157" i="70" s="1"/>
  <c r="Y158" i="70" s="1"/>
  <c r="Y159" i="70" s="1"/>
  <c r="Y160" i="70" s="1"/>
  <c r="Y161" i="70" s="1"/>
  <c r="Y162" i="70" s="1"/>
  <c r="Y163" i="70" s="1"/>
  <c r="Y164" i="70" s="1"/>
  <c r="Y165" i="70" s="1"/>
  <c r="Y166" i="70" s="1"/>
  <c r="Y167" i="70" s="1"/>
  <c r="Y168" i="70" s="1"/>
  <c r="Y169" i="70" s="1"/>
  <c r="Y170" i="70" s="1"/>
  <c r="Y171" i="70" s="1"/>
  <c r="Y172" i="70" s="1"/>
  <c r="Y173" i="70" s="1"/>
  <c r="Y174" i="70" s="1"/>
  <c r="Y175" i="70" s="1"/>
  <c r="Y176" i="70" s="1"/>
  <c r="Y177" i="70" s="1"/>
  <c r="Y178" i="70" s="1"/>
  <c r="Y179" i="70" s="1"/>
  <c r="Y180" i="70" s="1"/>
  <c r="Y181" i="70" s="1"/>
  <c r="Y182" i="70" s="1"/>
  <c r="Y184" i="70" s="1"/>
  <c r="Y185" i="70" s="1"/>
  <c r="Y186" i="70" s="1"/>
  <c r="Y187" i="70" s="1"/>
  <c r="Y188" i="70" s="1"/>
  <c r="Y189" i="70" s="1"/>
  <c r="Y190" i="70" s="1"/>
  <c r="Y191" i="70" s="1"/>
  <c r="Y192" i="70" s="1"/>
  <c r="Y193" i="70" s="1"/>
  <c r="Y194" i="70" s="1"/>
  <c r="Y195" i="70" s="1"/>
  <c r="Y196" i="70" s="1"/>
  <c r="Y197" i="70" s="1"/>
  <c r="Y198" i="70" s="1"/>
  <c r="Y199" i="70" s="1"/>
  <c r="Y200" i="70" s="1"/>
  <c r="Y201" i="70" s="1"/>
  <c r="Y202" i="70" s="1"/>
  <c r="Y203" i="70" s="1"/>
  <c r="Y204" i="70" s="1"/>
  <c r="Y205" i="70" s="1"/>
  <c r="Y206" i="70" s="1"/>
  <c r="Y207" i="70" s="1"/>
  <c r="Y208" i="70" s="1"/>
  <c r="Y209" i="70" s="1"/>
  <c r="Y210" i="70" s="1"/>
  <c r="Y211" i="70" s="1"/>
  <c r="Y212" i="70" s="1"/>
  <c r="Y213" i="70" s="1"/>
  <c r="Y214" i="70" s="1"/>
  <c r="Y215" i="70" s="1"/>
  <c r="Y216" i="70" s="1"/>
  <c r="X12" i="70"/>
  <c r="X13" i="70" s="1"/>
  <c r="X14" i="70" s="1"/>
  <c r="X15" i="70" s="1"/>
  <c r="X16" i="70" s="1"/>
  <c r="X17" i="70" s="1"/>
  <c r="X18" i="70" s="1"/>
  <c r="X19" i="70" s="1"/>
  <c r="X20" i="70" s="1"/>
  <c r="X21" i="70" s="1"/>
  <c r="X22" i="70" s="1"/>
  <c r="X23" i="70" s="1"/>
  <c r="X24" i="70" s="1"/>
  <c r="X25" i="70" s="1"/>
  <c r="X26" i="70" s="1"/>
  <c r="X27" i="70" s="1"/>
  <c r="X28" i="70" s="1"/>
  <c r="X29" i="70" s="1"/>
  <c r="X30" i="70" s="1"/>
  <c r="X31" i="70" s="1"/>
  <c r="X32" i="70" s="1"/>
  <c r="X33" i="70" s="1"/>
  <c r="X34" i="70" s="1"/>
  <c r="X35" i="70" s="1"/>
  <c r="X36" i="70" s="1"/>
  <c r="X37" i="70" s="1"/>
  <c r="X38" i="70" s="1"/>
  <c r="X39" i="70" s="1"/>
  <c r="X40" i="70" s="1"/>
  <c r="X41" i="70" s="1"/>
  <c r="X42" i="70" s="1"/>
  <c r="X43" i="70" s="1"/>
  <c r="X44" i="70" s="1"/>
  <c r="X45" i="70" s="1"/>
  <c r="X46" i="70" s="1"/>
  <c r="X47" i="70" s="1"/>
  <c r="X48" i="70" s="1"/>
  <c r="X49" i="70" s="1"/>
  <c r="X50" i="70" s="1"/>
  <c r="X51" i="70" s="1"/>
  <c r="X52" i="70" s="1"/>
  <c r="X53" i="70" s="1"/>
  <c r="X54" i="70" s="1"/>
  <c r="X55" i="70" s="1"/>
  <c r="X56" i="70" s="1"/>
  <c r="X57" i="70" s="1"/>
  <c r="X58" i="70" s="1"/>
  <c r="X59" i="70" s="1"/>
  <c r="X60" i="70" s="1"/>
  <c r="X61" i="70" s="1"/>
  <c r="X62" i="70" s="1"/>
  <c r="X63" i="70" s="1"/>
  <c r="X64" i="70" s="1"/>
  <c r="X65" i="70" s="1"/>
  <c r="X66" i="70" s="1"/>
  <c r="X67" i="70" s="1"/>
  <c r="X68" i="70" s="1"/>
  <c r="X69" i="70" s="1"/>
  <c r="X70" i="70" s="1"/>
  <c r="X71" i="70" s="1"/>
  <c r="X72" i="70" s="1"/>
  <c r="X73" i="70" s="1"/>
  <c r="X74" i="70" s="1"/>
  <c r="X75" i="70" s="1"/>
  <c r="X76" i="70" s="1"/>
  <c r="X77" i="70" s="1"/>
  <c r="X78" i="70" s="1"/>
  <c r="X79" i="70" s="1"/>
  <c r="X80" i="70" s="1"/>
  <c r="X81" i="70" s="1"/>
  <c r="X82" i="70" s="1"/>
  <c r="X83" i="70" s="1"/>
  <c r="X84" i="70" s="1"/>
  <c r="X85" i="70" s="1"/>
  <c r="X86" i="70" s="1"/>
  <c r="X87" i="70" s="1"/>
  <c r="X88" i="70" s="1"/>
  <c r="X89" i="70" s="1"/>
  <c r="X90" i="70" s="1"/>
  <c r="X91" i="70" s="1"/>
  <c r="X92" i="70" s="1"/>
  <c r="X93" i="70" s="1"/>
  <c r="X94" i="70" s="1"/>
  <c r="X95" i="70" s="1"/>
  <c r="X96" i="70" s="1"/>
  <c r="X97" i="70" s="1"/>
  <c r="X98" i="70" s="1"/>
  <c r="X99" i="70" s="1"/>
  <c r="X100" i="70" s="1"/>
  <c r="X101" i="70" s="1"/>
  <c r="X102" i="70" s="1"/>
  <c r="X103" i="70" s="1"/>
  <c r="X104" i="70" s="1"/>
  <c r="X105" i="70" s="1"/>
  <c r="X106" i="70" s="1"/>
  <c r="X107" i="70" s="1"/>
  <c r="X108" i="70" s="1"/>
  <c r="X109" i="70" s="1"/>
  <c r="X110" i="70" s="1"/>
  <c r="X111" i="70" s="1"/>
  <c r="X112" i="70" s="1"/>
  <c r="X113" i="70" s="1"/>
  <c r="X114" i="70" s="1"/>
  <c r="X115" i="70" s="1"/>
  <c r="X116" i="70" s="1"/>
  <c r="X117" i="70" s="1"/>
  <c r="X118" i="70" s="1"/>
  <c r="X119" i="70" s="1"/>
  <c r="X120" i="70" s="1"/>
  <c r="X121" i="70" s="1"/>
  <c r="X122" i="70" s="1"/>
  <c r="X123" i="70" s="1"/>
  <c r="X124" i="70" s="1"/>
  <c r="X125" i="70" s="1"/>
  <c r="X126" i="70" s="1"/>
  <c r="X127" i="70" s="1"/>
  <c r="X128" i="70" s="1"/>
  <c r="X129" i="70" s="1"/>
  <c r="X130" i="70" s="1"/>
  <c r="X131" i="70" s="1"/>
  <c r="X132" i="70" s="1"/>
  <c r="X133" i="70" s="1"/>
  <c r="X134" i="70" s="1"/>
  <c r="X135" i="70" s="1"/>
  <c r="X136" i="70" s="1"/>
  <c r="X137" i="70" s="1"/>
  <c r="X138" i="70" s="1"/>
  <c r="X139" i="70" s="1"/>
  <c r="X140" i="70" s="1"/>
  <c r="X141" i="70" s="1"/>
  <c r="X142" i="70" s="1"/>
  <c r="X143" i="70" s="1"/>
  <c r="X144" i="70" s="1"/>
  <c r="X145" i="70" s="1"/>
  <c r="X146" i="70" s="1"/>
  <c r="X147" i="70" s="1"/>
  <c r="X148" i="70" s="1"/>
  <c r="X149" i="70" s="1"/>
  <c r="X150" i="70" s="1"/>
  <c r="X151" i="70" s="1"/>
  <c r="X152" i="70" s="1"/>
  <c r="X153" i="70" s="1"/>
  <c r="X154" i="70" s="1"/>
  <c r="X155" i="70" s="1"/>
  <c r="X156" i="70" s="1"/>
  <c r="X157" i="70" s="1"/>
  <c r="X158" i="70" s="1"/>
  <c r="X159" i="70" s="1"/>
  <c r="X160" i="70" s="1"/>
  <c r="X161" i="70" s="1"/>
  <c r="X162" i="70" s="1"/>
  <c r="X163" i="70" s="1"/>
  <c r="X164" i="70" s="1"/>
  <c r="X165" i="70" s="1"/>
  <c r="X166" i="70" s="1"/>
  <c r="X167" i="70" s="1"/>
  <c r="X168" i="70" s="1"/>
  <c r="X169" i="70" s="1"/>
  <c r="X170" i="70" s="1"/>
  <c r="X171" i="70" s="1"/>
  <c r="X172" i="70" s="1"/>
  <c r="X173" i="70" s="1"/>
  <c r="X174" i="70" s="1"/>
  <c r="X175" i="70" s="1"/>
  <c r="X176" i="70" s="1"/>
  <c r="X177" i="70" s="1"/>
  <c r="X178" i="70" s="1"/>
  <c r="X179" i="70" s="1"/>
  <c r="X180" i="70" s="1"/>
  <c r="X181" i="70" s="1"/>
  <c r="X182" i="70" s="1"/>
  <c r="X184" i="70" s="1"/>
  <c r="X185" i="70" s="1"/>
  <c r="X186" i="70" s="1"/>
  <c r="X187" i="70" s="1"/>
  <c r="X188" i="70" s="1"/>
  <c r="X189" i="70" s="1"/>
  <c r="X190" i="70" s="1"/>
  <c r="X191" i="70" s="1"/>
  <c r="X192" i="70" s="1"/>
  <c r="X193" i="70" s="1"/>
  <c r="X194" i="70" s="1"/>
  <c r="X195" i="70" s="1"/>
  <c r="X196" i="70" s="1"/>
  <c r="X197" i="70" s="1"/>
  <c r="X198" i="70" s="1"/>
  <c r="X199" i="70" s="1"/>
  <c r="X200" i="70" s="1"/>
  <c r="X201" i="70" s="1"/>
  <c r="X202" i="70" s="1"/>
  <c r="X203" i="70" s="1"/>
  <c r="X204" i="70" s="1"/>
  <c r="X205" i="70" s="1"/>
  <c r="X206" i="70" s="1"/>
  <c r="X207" i="70" s="1"/>
  <c r="X208" i="70" s="1"/>
  <c r="X209" i="70" s="1"/>
  <c r="X210" i="70" s="1"/>
  <c r="X211" i="70" s="1"/>
  <c r="X212" i="70" s="1"/>
  <c r="X213" i="70" s="1"/>
  <c r="X214" i="70" s="1"/>
  <c r="X215" i="70" s="1"/>
  <c r="X216" i="70" s="1"/>
  <c r="X217" i="70" s="1"/>
  <c r="W12" i="70"/>
  <c r="W13" i="70" s="1"/>
  <c r="W14" i="70" s="1"/>
  <c r="W15" i="70" s="1"/>
  <c r="W16" i="70" s="1"/>
  <c r="W17" i="70" s="1"/>
  <c r="W18" i="70" s="1"/>
  <c r="W19" i="70" s="1"/>
  <c r="W20" i="70" s="1"/>
  <c r="W21" i="70" s="1"/>
  <c r="W22" i="70" s="1"/>
  <c r="W23" i="70" s="1"/>
  <c r="W24" i="70" s="1"/>
  <c r="W25" i="70" s="1"/>
  <c r="W26" i="70" s="1"/>
  <c r="W27" i="70" s="1"/>
  <c r="W28" i="70" s="1"/>
  <c r="W29" i="70" s="1"/>
  <c r="W30" i="70" s="1"/>
  <c r="W31" i="70" s="1"/>
  <c r="W32" i="70" s="1"/>
  <c r="W33" i="70" s="1"/>
  <c r="W34" i="70" s="1"/>
  <c r="W35" i="70" s="1"/>
  <c r="W36" i="70" s="1"/>
  <c r="W37" i="70" s="1"/>
  <c r="W38" i="70" s="1"/>
  <c r="W39" i="70" s="1"/>
  <c r="W40" i="70" s="1"/>
  <c r="W41" i="70" s="1"/>
  <c r="W42" i="70" s="1"/>
  <c r="W43" i="70" s="1"/>
  <c r="W44" i="70" s="1"/>
  <c r="W45" i="70" s="1"/>
  <c r="W46" i="70" s="1"/>
  <c r="W47" i="70" s="1"/>
  <c r="W48" i="70" s="1"/>
  <c r="W49" i="70" s="1"/>
  <c r="W50" i="70" s="1"/>
  <c r="W51" i="70" s="1"/>
  <c r="W52" i="70" s="1"/>
  <c r="W53" i="70" s="1"/>
  <c r="W54" i="70" s="1"/>
  <c r="W55" i="70" s="1"/>
  <c r="W56" i="70" s="1"/>
  <c r="W57" i="70" s="1"/>
  <c r="W58" i="70" s="1"/>
  <c r="W59" i="70" s="1"/>
  <c r="W60" i="70" s="1"/>
  <c r="W61" i="70" s="1"/>
  <c r="W62" i="70" s="1"/>
  <c r="W63" i="70" s="1"/>
  <c r="W64" i="70" s="1"/>
  <c r="W65" i="70" s="1"/>
  <c r="W66" i="70" s="1"/>
  <c r="W67" i="70" s="1"/>
  <c r="W68" i="70" s="1"/>
  <c r="W69" i="70" s="1"/>
  <c r="W70" i="70" s="1"/>
  <c r="W71" i="70" s="1"/>
  <c r="W72" i="70" s="1"/>
  <c r="W73" i="70" s="1"/>
  <c r="W74" i="70" s="1"/>
  <c r="W75" i="70" s="1"/>
  <c r="W76" i="70" s="1"/>
  <c r="W77" i="70" s="1"/>
  <c r="W78" i="70" s="1"/>
  <c r="W79" i="70" s="1"/>
  <c r="W80" i="70" s="1"/>
  <c r="W81" i="70" s="1"/>
  <c r="W82" i="70" s="1"/>
  <c r="W83" i="70" s="1"/>
  <c r="W84" i="70" s="1"/>
  <c r="W85" i="70" s="1"/>
  <c r="W86" i="70" s="1"/>
  <c r="W87" i="70" s="1"/>
  <c r="W88" i="70" s="1"/>
  <c r="W89" i="70" s="1"/>
  <c r="W90" i="70" s="1"/>
  <c r="W91" i="70" s="1"/>
  <c r="W92" i="70" s="1"/>
  <c r="W93" i="70" s="1"/>
  <c r="W94" i="70" s="1"/>
  <c r="W95" i="70" s="1"/>
  <c r="W96" i="70" s="1"/>
  <c r="W97" i="70" s="1"/>
  <c r="W98" i="70" s="1"/>
  <c r="W99" i="70" s="1"/>
  <c r="W100" i="70" s="1"/>
  <c r="W101" i="70" s="1"/>
  <c r="W102" i="70" s="1"/>
  <c r="W103" i="70" s="1"/>
  <c r="W104" i="70" s="1"/>
  <c r="W105" i="70" s="1"/>
  <c r="W106" i="70" s="1"/>
  <c r="W107" i="70" s="1"/>
  <c r="W108" i="70" s="1"/>
  <c r="W109" i="70" s="1"/>
  <c r="W110" i="70" s="1"/>
  <c r="W111" i="70" s="1"/>
  <c r="W112" i="70" s="1"/>
  <c r="W113" i="70" s="1"/>
  <c r="W114" i="70" s="1"/>
  <c r="W115" i="70" s="1"/>
  <c r="W116" i="70" s="1"/>
  <c r="W117" i="70" s="1"/>
  <c r="W118" i="70" s="1"/>
  <c r="W119" i="70" s="1"/>
  <c r="W120" i="70" s="1"/>
  <c r="W121" i="70" s="1"/>
  <c r="W122" i="70" s="1"/>
  <c r="W123" i="70" s="1"/>
  <c r="W124" i="70" s="1"/>
  <c r="W125" i="70" s="1"/>
  <c r="W126" i="70" s="1"/>
  <c r="W127" i="70" s="1"/>
  <c r="W128" i="70" s="1"/>
  <c r="W129" i="70" s="1"/>
  <c r="W130" i="70" s="1"/>
  <c r="W131" i="70" s="1"/>
  <c r="W132" i="70" s="1"/>
  <c r="W133" i="70" s="1"/>
  <c r="W134" i="70" s="1"/>
  <c r="W135" i="70" s="1"/>
  <c r="W136" i="70" s="1"/>
  <c r="W137" i="70" s="1"/>
  <c r="W138" i="70" s="1"/>
  <c r="W139" i="70" s="1"/>
  <c r="W140" i="70" s="1"/>
  <c r="W141" i="70" s="1"/>
  <c r="W142" i="70" s="1"/>
  <c r="W143" i="70" s="1"/>
  <c r="W144" i="70" s="1"/>
  <c r="W145" i="70" s="1"/>
  <c r="W146" i="70" s="1"/>
  <c r="W147" i="70" s="1"/>
  <c r="W148" i="70" s="1"/>
  <c r="W149" i="70" s="1"/>
  <c r="W150" i="70" s="1"/>
  <c r="W151" i="70" s="1"/>
  <c r="W152" i="70" s="1"/>
  <c r="W153" i="70" s="1"/>
  <c r="W154" i="70" s="1"/>
  <c r="W155" i="70" s="1"/>
  <c r="W156" i="70" s="1"/>
  <c r="W157" i="70" s="1"/>
  <c r="W158" i="70" s="1"/>
  <c r="W159" i="70" s="1"/>
  <c r="W160" i="70" s="1"/>
  <c r="W161" i="70" s="1"/>
  <c r="W162" i="70" s="1"/>
  <c r="W163" i="70" s="1"/>
  <c r="W164" i="70" s="1"/>
  <c r="W165" i="70" s="1"/>
  <c r="W166" i="70" s="1"/>
  <c r="W167" i="70" s="1"/>
  <c r="W168" i="70" s="1"/>
  <c r="W169" i="70" s="1"/>
  <c r="W170" i="70" s="1"/>
  <c r="W171" i="70" s="1"/>
  <c r="W172" i="70" s="1"/>
  <c r="W173" i="70" s="1"/>
  <c r="W174" i="70" s="1"/>
  <c r="W175" i="70" s="1"/>
  <c r="W176" i="70" s="1"/>
  <c r="W177" i="70" s="1"/>
  <c r="W178" i="70" s="1"/>
  <c r="W179" i="70" s="1"/>
  <c r="W180" i="70" s="1"/>
  <c r="W181" i="70" s="1"/>
  <c r="W182" i="70" s="1"/>
  <c r="W184" i="70" s="1"/>
  <c r="W185" i="70" s="1"/>
  <c r="W186" i="70" s="1"/>
  <c r="W187" i="70" s="1"/>
  <c r="W188" i="70" s="1"/>
  <c r="W189" i="70" s="1"/>
  <c r="W190" i="70" s="1"/>
  <c r="W191" i="70" s="1"/>
  <c r="W192" i="70" s="1"/>
  <c r="W193" i="70" s="1"/>
  <c r="W194" i="70" s="1"/>
  <c r="W195" i="70" s="1"/>
  <c r="W196" i="70" s="1"/>
  <c r="W197" i="70" s="1"/>
  <c r="W198" i="70" s="1"/>
  <c r="W199" i="70" s="1"/>
  <c r="W200" i="70" s="1"/>
  <c r="W201" i="70" s="1"/>
  <c r="W202" i="70" s="1"/>
  <c r="W203" i="70" s="1"/>
  <c r="W204" i="70" s="1"/>
  <c r="W205" i="70" s="1"/>
  <c r="W206" i="70" s="1"/>
  <c r="W207" i="70" s="1"/>
  <c r="W208" i="70" s="1"/>
  <c r="W209" i="70" s="1"/>
  <c r="W210" i="70" s="1"/>
  <c r="W211" i="70" s="1"/>
  <c r="W212" i="70" s="1"/>
  <c r="W213" i="70" s="1"/>
  <c r="W214" i="70" s="1"/>
  <c r="W215" i="70" s="1"/>
  <c r="W216" i="70" s="1"/>
  <c r="W217" i="70" s="1"/>
  <c r="V12" i="70"/>
  <c r="V13" i="70" s="1"/>
  <c r="V14" i="70" s="1"/>
  <c r="V15" i="70" s="1"/>
  <c r="V16" i="70" s="1"/>
  <c r="V17" i="70" s="1"/>
  <c r="V18" i="70" s="1"/>
  <c r="V19" i="70" s="1"/>
  <c r="V20" i="70" s="1"/>
  <c r="V21" i="70" s="1"/>
  <c r="V22" i="70" s="1"/>
  <c r="V23" i="70" s="1"/>
  <c r="V24" i="70" s="1"/>
  <c r="V25" i="70" s="1"/>
  <c r="V26" i="70" s="1"/>
  <c r="V27" i="70" s="1"/>
  <c r="V28" i="70" s="1"/>
  <c r="V29" i="70" s="1"/>
  <c r="V30" i="70" s="1"/>
  <c r="V31" i="70" s="1"/>
  <c r="V32" i="70" s="1"/>
  <c r="V33" i="70" s="1"/>
  <c r="V34" i="70" s="1"/>
  <c r="V35" i="70" s="1"/>
  <c r="V36" i="70" s="1"/>
  <c r="V37" i="70" s="1"/>
  <c r="V38" i="70" s="1"/>
  <c r="V39" i="70" s="1"/>
  <c r="V40" i="70" s="1"/>
  <c r="V41" i="70" s="1"/>
  <c r="V42" i="70" s="1"/>
  <c r="V43" i="70" s="1"/>
  <c r="V44" i="70" s="1"/>
  <c r="V45" i="70" s="1"/>
  <c r="V46" i="70" s="1"/>
  <c r="V47" i="70" s="1"/>
  <c r="V48" i="70" s="1"/>
  <c r="V49" i="70" s="1"/>
  <c r="V50" i="70" s="1"/>
  <c r="V51" i="70" s="1"/>
  <c r="V52" i="70" s="1"/>
  <c r="V53" i="70" s="1"/>
  <c r="V54" i="70" s="1"/>
  <c r="V55" i="70" s="1"/>
  <c r="V56" i="70" s="1"/>
  <c r="V57" i="70" s="1"/>
  <c r="V58" i="70" s="1"/>
  <c r="V59" i="70" s="1"/>
  <c r="V60" i="70" s="1"/>
  <c r="V61" i="70" s="1"/>
  <c r="V62" i="70" s="1"/>
  <c r="V63" i="70" s="1"/>
  <c r="V64" i="70" s="1"/>
  <c r="V65" i="70" s="1"/>
  <c r="V66" i="70" s="1"/>
  <c r="V67" i="70" s="1"/>
  <c r="V68" i="70" s="1"/>
  <c r="V69" i="70" s="1"/>
  <c r="V70" i="70" s="1"/>
  <c r="V71" i="70" s="1"/>
  <c r="V72" i="70" s="1"/>
  <c r="V73" i="70" s="1"/>
  <c r="V74" i="70" s="1"/>
  <c r="V75" i="70" s="1"/>
  <c r="V76" i="70" s="1"/>
  <c r="V77" i="70" s="1"/>
  <c r="V78" i="70" s="1"/>
  <c r="V79" i="70" s="1"/>
  <c r="V80" i="70" s="1"/>
  <c r="V81" i="70" s="1"/>
  <c r="V82" i="70" s="1"/>
  <c r="V83" i="70" s="1"/>
  <c r="V84" i="70" s="1"/>
  <c r="V85" i="70" s="1"/>
  <c r="V86" i="70" s="1"/>
  <c r="V87" i="70" s="1"/>
  <c r="V88" i="70" s="1"/>
  <c r="V89" i="70" s="1"/>
  <c r="V90" i="70" s="1"/>
  <c r="V91" i="70" s="1"/>
  <c r="V92" i="70" s="1"/>
  <c r="V93" i="70" s="1"/>
  <c r="V94" i="70" s="1"/>
  <c r="V95" i="70" s="1"/>
  <c r="V96" i="70" s="1"/>
  <c r="V97" i="70" s="1"/>
  <c r="V98" i="70" s="1"/>
  <c r="V99" i="70" s="1"/>
  <c r="V100" i="70" s="1"/>
  <c r="V101" i="70" s="1"/>
  <c r="V102" i="70" s="1"/>
  <c r="V103" i="70" s="1"/>
  <c r="V104" i="70" s="1"/>
  <c r="V105" i="70" s="1"/>
  <c r="V106" i="70" s="1"/>
  <c r="V107" i="70" s="1"/>
  <c r="V108" i="70" s="1"/>
  <c r="V109" i="70" s="1"/>
  <c r="V110" i="70" s="1"/>
  <c r="V111" i="70" s="1"/>
  <c r="V112" i="70" s="1"/>
  <c r="V113" i="70" s="1"/>
  <c r="V114" i="70" s="1"/>
  <c r="V115" i="70" s="1"/>
  <c r="V116" i="70" s="1"/>
  <c r="V117" i="70" s="1"/>
  <c r="V118" i="70" s="1"/>
  <c r="V119" i="70" s="1"/>
  <c r="V120" i="70" s="1"/>
  <c r="V121" i="70" s="1"/>
  <c r="V122" i="70" s="1"/>
  <c r="V123" i="70" s="1"/>
  <c r="V124" i="70" s="1"/>
  <c r="V125" i="70" s="1"/>
  <c r="V126" i="70" s="1"/>
  <c r="V127" i="70" s="1"/>
  <c r="V128" i="70" s="1"/>
  <c r="V129" i="70" s="1"/>
  <c r="V130" i="70" s="1"/>
  <c r="V131" i="70" s="1"/>
  <c r="V132" i="70" s="1"/>
  <c r="V133" i="70" s="1"/>
  <c r="V134" i="70" s="1"/>
  <c r="V135" i="70" s="1"/>
  <c r="V136" i="70" s="1"/>
  <c r="V137" i="70" s="1"/>
  <c r="V138" i="70" s="1"/>
  <c r="V139" i="70" s="1"/>
  <c r="V140" i="70" s="1"/>
  <c r="V141" i="70" s="1"/>
  <c r="V142" i="70" s="1"/>
  <c r="V143" i="70" s="1"/>
  <c r="V144" i="70" s="1"/>
  <c r="V145" i="70" s="1"/>
  <c r="V146" i="70" s="1"/>
  <c r="V147" i="70" s="1"/>
  <c r="V148" i="70" s="1"/>
  <c r="V149" i="70" s="1"/>
  <c r="V150" i="70" s="1"/>
  <c r="V151" i="70" s="1"/>
  <c r="V152" i="70" s="1"/>
  <c r="V153" i="70" s="1"/>
  <c r="V154" i="70" s="1"/>
  <c r="V155" i="70" s="1"/>
  <c r="V156" i="70" s="1"/>
  <c r="V157" i="70" s="1"/>
  <c r="V158" i="70" s="1"/>
  <c r="V159" i="70" s="1"/>
  <c r="V160" i="70" s="1"/>
  <c r="V161" i="70" s="1"/>
  <c r="V162" i="70" s="1"/>
  <c r="V163" i="70" s="1"/>
  <c r="V164" i="70" s="1"/>
  <c r="V165" i="70" s="1"/>
  <c r="V166" i="70" s="1"/>
  <c r="V167" i="70" s="1"/>
  <c r="V168" i="70" s="1"/>
  <c r="V169" i="70" s="1"/>
  <c r="V170" i="70" s="1"/>
  <c r="V171" i="70" s="1"/>
  <c r="V172" i="70" s="1"/>
  <c r="V173" i="70" s="1"/>
  <c r="V174" i="70" s="1"/>
  <c r="V175" i="70" s="1"/>
  <c r="V176" i="70" s="1"/>
  <c r="V177" i="70" s="1"/>
  <c r="V178" i="70" s="1"/>
  <c r="V179" i="70" s="1"/>
  <c r="V180" i="70" s="1"/>
  <c r="V181" i="70" s="1"/>
  <c r="V182" i="70" s="1"/>
  <c r="V184" i="70" s="1"/>
  <c r="V185" i="70" s="1"/>
  <c r="V186" i="70" s="1"/>
  <c r="V187" i="70" s="1"/>
  <c r="V188" i="70" s="1"/>
  <c r="V189" i="70" s="1"/>
  <c r="V190" i="70" s="1"/>
  <c r="V191" i="70" s="1"/>
  <c r="V192" i="70" s="1"/>
  <c r="V193" i="70" s="1"/>
  <c r="V194" i="70" s="1"/>
  <c r="V195" i="70" s="1"/>
  <c r="V196" i="70" s="1"/>
  <c r="V197" i="70" s="1"/>
  <c r="V198" i="70" s="1"/>
  <c r="V199" i="70" s="1"/>
  <c r="V200" i="70" s="1"/>
  <c r="V201" i="70" s="1"/>
  <c r="V202" i="70" s="1"/>
  <c r="V203" i="70" s="1"/>
  <c r="V204" i="70" s="1"/>
  <c r="V205" i="70" s="1"/>
  <c r="V206" i="70" s="1"/>
  <c r="V207" i="70" s="1"/>
  <c r="V208" i="70" s="1"/>
  <c r="V209" i="70" s="1"/>
  <c r="V210" i="70" s="1"/>
  <c r="V211" i="70" s="1"/>
  <c r="V212" i="70" s="1"/>
  <c r="V213" i="70" s="1"/>
  <c r="V214" i="70" s="1"/>
  <c r="V215" i="70" s="1"/>
  <c r="V216" i="70" s="1"/>
  <c r="V217" i="70" s="1"/>
  <c r="U12" i="70"/>
  <c r="U13" i="70" s="1"/>
  <c r="U14" i="70" s="1"/>
  <c r="U15" i="70" s="1"/>
  <c r="U16" i="70" s="1"/>
  <c r="U17" i="70" s="1"/>
  <c r="U18" i="70" s="1"/>
  <c r="U19" i="70" s="1"/>
  <c r="U20" i="70" s="1"/>
  <c r="U21" i="70" s="1"/>
  <c r="U22" i="70" s="1"/>
  <c r="U23" i="70" s="1"/>
  <c r="U24" i="70" s="1"/>
  <c r="U25" i="70" s="1"/>
  <c r="U26" i="70" s="1"/>
  <c r="U27" i="70" s="1"/>
  <c r="U28" i="70" s="1"/>
  <c r="U29" i="70" s="1"/>
  <c r="U30" i="70" s="1"/>
  <c r="U31" i="70" s="1"/>
  <c r="U32" i="70" s="1"/>
  <c r="U33" i="70" s="1"/>
  <c r="U34" i="70" s="1"/>
  <c r="U35" i="70" s="1"/>
  <c r="U36" i="70" s="1"/>
  <c r="U37" i="70" s="1"/>
  <c r="U38" i="70" s="1"/>
  <c r="U39" i="70" s="1"/>
  <c r="U40" i="70" s="1"/>
  <c r="U41" i="70" s="1"/>
  <c r="U42" i="70" s="1"/>
  <c r="U43" i="70" s="1"/>
  <c r="U44" i="70" s="1"/>
  <c r="U45" i="70" s="1"/>
  <c r="U46" i="70" s="1"/>
  <c r="U47" i="70" s="1"/>
  <c r="U48" i="70" s="1"/>
  <c r="U49" i="70" s="1"/>
  <c r="U50" i="70" s="1"/>
  <c r="U51" i="70" s="1"/>
  <c r="U52" i="70" s="1"/>
  <c r="U53" i="70" s="1"/>
  <c r="U54" i="70" s="1"/>
  <c r="U55" i="70" s="1"/>
  <c r="U56" i="70" s="1"/>
  <c r="U57" i="70" s="1"/>
  <c r="U58" i="70" s="1"/>
  <c r="U59" i="70" s="1"/>
  <c r="U60" i="70" s="1"/>
  <c r="U61" i="70" s="1"/>
  <c r="U62" i="70" s="1"/>
  <c r="U63" i="70" s="1"/>
  <c r="U64" i="70" s="1"/>
  <c r="U65" i="70" s="1"/>
  <c r="U66" i="70" s="1"/>
  <c r="U67" i="70" s="1"/>
  <c r="U68" i="70" s="1"/>
  <c r="U69" i="70" s="1"/>
  <c r="U70" i="70" s="1"/>
  <c r="U71" i="70" s="1"/>
  <c r="U72" i="70" s="1"/>
  <c r="U73" i="70" s="1"/>
  <c r="U74" i="70" s="1"/>
  <c r="U75" i="70" s="1"/>
  <c r="U76" i="70" s="1"/>
  <c r="U77" i="70" s="1"/>
  <c r="U78" i="70" s="1"/>
  <c r="U79" i="70" s="1"/>
  <c r="U80" i="70" s="1"/>
  <c r="U81" i="70" s="1"/>
  <c r="U82" i="70" s="1"/>
  <c r="U83" i="70" s="1"/>
  <c r="U84" i="70" s="1"/>
  <c r="U85" i="70" s="1"/>
  <c r="U86" i="70" s="1"/>
  <c r="U87" i="70" s="1"/>
  <c r="U88" i="70" s="1"/>
  <c r="U89" i="70" s="1"/>
  <c r="U90" i="70" s="1"/>
  <c r="U91" i="70" s="1"/>
  <c r="U92" i="70" s="1"/>
  <c r="U93" i="70" s="1"/>
  <c r="U94" i="70" s="1"/>
  <c r="U95" i="70" s="1"/>
  <c r="U96" i="70" s="1"/>
  <c r="U97" i="70" s="1"/>
  <c r="U98" i="70" s="1"/>
  <c r="U99" i="70" s="1"/>
  <c r="U100" i="70" s="1"/>
  <c r="U101" i="70" s="1"/>
  <c r="U102" i="70" s="1"/>
  <c r="U103" i="70" s="1"/>
  <c r="U104" i="70" s="1"/>
  <c r="U105" i="70" s="1"/>
  <c r="U106" i="70" s="1"/>
  <c r="U107" i="70" s="1"/>
  <c r="U108" i="70" s="1"/>
  <c r="U109" i="70" s="1"/>
  <c r="U110" i="70" s="1"/>
  <c r="U111" i="70" s="1"/>
  <c r="U112" i="70" s="1"/>
  <c r="U113" i="70" s="1"/>
  <c r="U114" i="70" s="1"/>
  <c r="U115" i="70" s="1"/>
  <c r="U116" i="70" s="1"/>
  <c r="U117" i="70" s="1"/>
  <c r="U118" i="70" s="1"/>
  <c r="U119" i="70" s="1"/>
  <c r="U120" i="70" s="1"/>
  <c r="U121" i="70" s="1"/>
  <c r="U122" i="70" s="1"/>
  <c r="U123" i="70" s="1"/>
  <c r="U124" i="70" s="1"/>
  <c r="U125" i="70" s="1"/>
  <c r="U126" i="70" s="1"/>
  <c r="U127" i="70" s="1"/>
  <c r="U128" i="70" s="1"/>
  <c r="U129" i="70" s="1"/>
  <c r="U130" i="70" s="1"/>
  <c r="U131" i="70" s="1"/>
  <c r="U132" i="70" s="1"/>
  <c r="U133" i="70" s="1"/>
  <c r="U134" i="70" s="1"/>
  <c r="U135" i="70" s="1"/>
  <c r="U136" i="70" s="1"/>
  <c r="U137" i="70" s="1"/>
  <c r="U138" i="70" s="1"/>
  <c r="U139" i="70" s="1"/>
  <c r="U140" i="70" s="1"/>
  <c r="U141" i="70" s="1"/>
  <c r="U142" i="70" s="1"/>
  <c r="U143" i="70" s="1"/>
  <c r="U144" i="70" s="1"/>
  <c r="U145" i="70" s="1"/>
  <c r="U146" i="70" s="1"/>
  <c r="U147" i="70" s="1"/>
  <c r="U148" i="70" s="1"/>
  <c r="U149" i="70" s="1"/>
  <c r="U150" i="70" s="1"/>
  <c r="U151" i="70" s="1"/>
  <c r="U152" i="70" s="1"/>
  <c r="U153" i="70" s="1"/>
  <c r="U154" i="70" s="1"/>
  <c r="U155" i="70" s="1"/>
  <c r="U156" i="70" s="1"/>
  <c r="U157" i="70" s="1"/>
  <c r="U158" i="70" s="1"/>
  <c r="U159" i="70" s="1"/>
  <c r="U160" i="70" s="1"/>
  <c r="U161" i="70" s="1"/>
  <c r="U162" i="70" s="1"/>
  <c r="U163" i="70" s="1"/>
  <c r="U164" i="70" s="1"/>
  <c r="U165" i="70" s="1"/>
  <c r="U166" i="70" s="1"/>
  <c r="U167" i="70" s="1"/>
  <c r="U168" i="70" s="1"/>
  <c r="U169" i="70" s="1"/>
  <c r="U170" i="70" s="1"/>
  <c r="U171" i="70" s="1"/>
  <c r="U172" i="70" s="1"/>
  <c r="U173" i="70" s="1"/>
  <c r="U174" i="70" s="1"/>
  <c r="U175" i="70" s="1"/>
  <c r="U176" i="70" s="1"/>
  <c r="U177" i="70" s="1"/>
  <c r="U178" i="70" s="1"/>
  <c r="U179" i="70" s="1"/>
  <c r="U180" i="70" s="1"/>
  <c r="U181" i="70" s="1"/>
  <c r="U182" i="70" s="1"/>
  <c r="U184" i="70" s="1"/>
  <c r="U185" i="70" s="1"/>
  <c r="U186" i="70" s="1"/>
  <c r="U187" i="70" s="1"/>
  <c r="U188" i="70" s="1"/>
  <c r="U189" i="70" s="1"/>
  <c r="U190" i="70" s="1"/>
  <c r="U191" i="70" s="1"/>
  <c r="U192" i="70" s="1"/>
  <c r="U193" i="70" s="1"/>
  <c r="U194" i="70" s="1"/>
  <c r="U195" i="70" s="1"/>
  <c r="U196" i="70" s="1"/>
  <c r="U197" i="70" s="1"/>
  <c r="U198" i="70" s="1"/>
  <c r="U199" i="70" s="1"/>
  <c r="U200" i="70" s="1"/>
  <c r="U201" i="70" s="1"/>
  <c r="U202" i="70" s="1"/>
  <c r="U203" i="70" s="1"/>
  <c r="U204" i="70" s="1"/>
  <c r="U205" i="70" s="1"/>
  <c r="U206" i="70" s="1"/>
  <c r="U207" i="70" s="1"/>
  <c r="U208" i="70" s="1"/>
  <c r="U209" i="70" s="1"/>
  <c r="U210" i="70" s="1"/>
  <c r="U211" i="70" s="1"/>
  <c r="U212" i="70" s="1"/>
  <c r="U213" i="70" s="1"/>
  <c r="U214" i="70" s="1"/>
  <c r="U215" i="70" s="1"/>
  <c r="U216" i="70" s="1"/>
  <c r="T12" i="70"/>
  <c r="O12" i="70" s="1"/>
  <c r="S12" i="70"/>
  <c r="S13" i="70" s="1"/>
  <c r="R12" i="70"/>
  <c r="Q12" i="70"/>
  <c r="Q13" i="70" s="1"/>
  <c r="P12" i="70"/>
  <c r="P13" i="70" s="1"/>
  <c r="P14" i="70" s="1"/>
  <c r="K12" i="70"/>
  <c r="D12" i="70"/>
  <c r="D13" i="70" s="1"/>
  <c r="D14" i="70" s="1"/>
  <c r="D15" i="70" s="1"/>
  <c r="D16" i="70" s="1"/>
  <c r="D17" i="70" s="1"/>
  <c r="D18" i="70" s="1"/>
  <c r="D19" i="70" s="1"/>
  <c r="D20" i="70" s="1"/>
  <c r="D21" i="70" s="1"/>
  <c r="D22" i="70" s="1"/>
  <c r="D23" i="70" s="1"/>
  <c r="D24" i="70" s="1"/>
  <c r="D25" i="70" s="1"/>
  <c r="D26" i="70" s="1"/>
  <c r="D27" i="70" s="1"/>
  <c r="D28" i="70" s="1"/>
  <c r="D29" i="70" s="1"/>
  <c r="D30" i="70" s="1"/>
  <c r="D31" i="70" s="1"/>
  <c r="D32" i="70" s="1"/>
  <c r="D33" i="70" s="1"/>
  <c r="D34" i="70" s="1"/>
  <c r="D35" i="70" s="1"/>
  <c r="D36" i="70" s="1"/>
  <c r="D37" i="70" s="1"/>
  <c r="D38" i="70" s="1"/>
  <c r="D39" i="70" s="1"/>
  <c r="D40" i="70" s="1"/>
  <c r="D41" i="70" s="1"/>
  <c r="D42" i="70" s="1"/>
  <c r="D43" i="70" s="1"/>
  <c r="D44" i="70" s="1"/>
  <c r="D45" i="70" s="1"/>
  <c r="D46" i="70" s="1"/>
  <c r="D47" i="70" s="1"/>
  <c r="D48" i="70" s="1"/>
  <c r="D49" i="70" s="1"/>
  <c r="D50" i="70" s="1"/>
  <c r="D51" i="70" s="1"/>
  <c r="D52" i="70" s="1"/>
  <c r="D53" i="70" s="1"/>
  <c r="D54" i="70" s="1"/>
  <c r="D55" i="70" s="1"/>
  <c r="C12" i="70"/>
  <c r="B12" i="70"/>
  <c r="B13" i="70" s="1"/>
  <c r="B14" i="70" s="1"/>
  <c r="B15" i="70" s="1"/>
  <c r="B16" i="70" s="1"/>
  <c r="B17" i="70" s="1"/>
  <c r="B18" i="70" s="1"/>
  <c r="B19" i="70" s="1"/>
  <c r="B20" i="70" s="1"/>
  <c r="B21" i="70" s="1"/>
  <c r="B22" i="70" s="1"/>
  <c r="B23" i="70" s="1"/>
  <c r="B24" i="70" s="1"/>
  <c r="B25" i="70" s="1"/>
  <c r="B26" i="70" s="1"/>
  <c r="B27" i="70" s="1"/>
  <c r="B28" i="70" s="1"/>
  <c r="B29" i="70" s="1"/>
  <c r="B30" i="70" s="1"/>
  <c r="B31" i="70" s="1"/>
  <c r="B32" i="70" s="1"/>
  <c r="B33" i="70" s="1"/>
  <c r="B34" i="70" s="1"/>
  <c r="B35" i="70" s="1"/>
  <c r="B36" i="70" s="1"/>
  <c r="B37" i="70" s="1"/>
  <c r="B38" i="70" s="1"/>
  <c r="B39" i="70" s="1"/>
  <c r="B40" i="70" s="1"/>
  <c r="B41" i="70" s="1"/>
  <c r="B42" i="70" s="1"/>
  <c r="B43" i="70" s="1"/>
  <c r="B44" i="70" s="1"/>
  <c r="B45" i="70" s="1"/>
  <c r="B46" i="70" s="1"/>
  <c r="B47" i="70" s="1"/>
  <c r="B48" i="70" s="1"/>
  <c r="B49" i="70" s="1"/>
  <c r="B50" i="70" s="1"/>
  <c r="B51" i="70" s="1"/>
  <c r="B52" i="70" s="1"/>
  <c r="B53" i="70" s="1"/>
  <c r="B54" i="70" s="1"/>
  <c r="B55" i="70" s="1"/>
  <c r="B56" i="70" s="1"/>
  <c r="B57" i="70" s="1"/>
  <c r="B58" i="70" s="1"/>
  <c r="B59" i="70" s="1"/>
  <c r="B60" i="70" s="1"/>
  <c r="B61" i="70" s="1"/>
  <c r="B62" i="70" s="1"/>
  <c r="B63" i="70" s="1"/>
  <c r="B64" i="70" s="1"/>
  <c r="B65" i="70" s="1"/>
  <c r="B66" i="70" s="1"/>
  <c r="B67" i="70" s="1"/>
  <c r="B68" i="70" s="1"/>
  <c r="B69" i="70" s="1"/>
  <c r="B70" i="70" s="1"/>
  <c r="B71" i="70" s="1"/>
  <c r="B72" i="70" s="1"/>
  <c r="B73" i="70" s="1"/>
  <c r="B74" i="70" s="1"/>
  <c r="B75" i="70" s="1"/>
  <c r="B76" i="70" s="1"/>
  <c r="B77" i="70" s="1"/>
  <c r="B78" i="70" s="1"/>
  <c r="B79" i="70" s="1"/>
  <c r="B80" i="70" s="1"/>
  <c r="B81" i="70" s="1"/>
  <c r="B82" i="70" s="1"/>
  <c r="B83" i="70" s="1"/>
  <c r="B84" i="70" s="1"/>
  <c r="B85" i="70" s="1"/>
  <c r="B86" i="70" s="1"/>
  <c r="B87" i="70" s="1"/>
  <c r="B88" i="70" s="1"/>
  <c r="B89" i="70" s="1"/>
  <c r="B90" i="70" s="1"/>
  <c r="B91" i="70" s="1"/>
  <c r="B92" i="70" s="1"/>
  <c r="B93" i="70" s="1"/>
  <c r="B94" i="70" s="1"/>
  <c r="B95" i="70" s="1"/>
  <c r="B96" i="70" s="1"/>
  <c r="B97" i="70" s="1"/>
  <c r="B98" i="70" s="1"/>
  <c r="B99" i="70" s="1"/>
  <c r="B100" i="70" s="1"/>
  <c r="B101" i="70" s="1"/>
  <c r="B102" i="70" s="1"/>
  <c r="B103" i="70" s="1"/>
  <c r="B104" i="70" s="1"/>
  <c r="B105" i="70" s="1"/>
  <c r="B106" i="70" s="1"/>
  <c r="B107" i="70" s="1"/>
  <c r="B108" i="70" s="1"/>
  <c r="B109" i="70" s="1"/>
  <c r="B110" i="70" s="1"/>
  <c r="B111" i="70" s="1"/>
  <c r="B112" i="70" s="1"/>
  <c r="B113" i="70" s="1"/>
  <c r="B114" i="70" s="1"/>
  <c r="B115" i="70" s="1"/>
  <c r="B116" i="70" s="1"/>
  <c r="B117" i="70" s="1"/>
  <c r="B118" i="70" s="1"/>
  <c r="B119" i="70" s="1"/>
  <c r="B120" i="70" s="1"/>
  <c r="B121" i="70" s="1"/>
  <c r="B122" i="70" s="1"/>
  <c r="B123" i="70" s="1"/>
  <c r="B124" i="70" s="1"/>
  <c r="B125" i="70" s="1"/>
  <c r="B126" i="70" s="1"/>
  <c r="B127" i="70" s="1"/>
  <c r="B128" i="70" s="1"/>
  <c r="B129" i="70" s="1"/>
  <c r="B130" i="70" s="1"/>
  <c r="B131" i="70" s="1"/>
  <c r="B132" i="70" s="1"/>
  <c r="B133" i="70" s="1"/>
  <c r="B134" i="70" s="1"/>
  <c r="B135" i="70" s="1"/>
  <c r="B136" i="70" s="1"/>
  <c r="B137" i="70" s="1"/>
  <c r="B138" i="70" s="1"/>
  <c r="B139" i="70" s="1"/>
  <c r="B140" i="70" s="1"/>
  <c r="B141" i="70" s="1"/>
  <c r="B142" i="70" s="1"/>
  <c r="B143" i="70" s="1"/>
  <c r="B144" i="70" s="1"/>
  <c r="B145" i="70" s="1"/>
  <c r="B146" i="70" s="1"/>
  <c r="B147" i="70" s="1"/>
  <c r="B148" i="70" s="1"/>
  <c r="B149" i="70" s="1"/>
  <c r="B150" i="70" s="1"/>
  <c r="B151" i="70" s="1"/>
  <c r="B152" i="70" s="1"/>
  <c r="B153" i="70" s="1"/>
  <c r="B154" i="70" s="1"/>
  <c r="B155" i="70" s="1"/>
  <c r="B156" i="70" s="1"/>
  <c r="B157" i="70" s="1"/>
  <c r="B158" i="70" s="1"/>
  <c r="B159" i="70" s="1"/>
  <c r="B160" i="70" s="1"/>
  <c r="B161" i="70" s="1"/>
  <c r="B162" i="70" s="1"/>
  <c r="B163" i="70" s="1"/>
  <c r="B164" i="70" s="1"/>
  <c r="B165" i="70" s="1"/>
  <c r="B166" i="70" s="1"/>
  <c r="B167" i="70" s="1"/>
  <c r="B168" i="70" s="1"/>
  <c r="B169" i="70" s="1"/>
  <c r="B170" i="70" s="1"/>
  <c r="B171" i="70" s="1"/>
  <c r="B172" i="70" s="1"/>
  <c r="B173" i="70" s="1"/>
  <c r="B174" i="70" s="1"/>
  <c r="B175" i="70" s="1"/>
  <c r="B176" i="70" s="1"/>
  <c r="B177" i="70" s="1"/>
  <c r="B178" i="70" s="1"/>
  <c r="B179" i="70" s="1"/>
  <c r="B180" i="70" s="1"/>
  <c r="B181" i="70" s="1"/>
  <c r="B182" i="70" s="1"/>
  <c r="B183" i="70" s="1"/>
  <c r="B184" i="70" s="1"/>
  <c r="B185" i="70" s="1"/>
  <c r="B186" i="70" s="1"/>
  <c r="B187" i="70" s="1"/>
  <c r="B188" i="70" s="1"/>
  <c r="B189" i="70" s="1"/>
  <c r="B190" i="70" s="1"/>
  <c r="B191" i="70" s="1"/>
  <c r="B192" i="70" s="1"/>
  <c r="B193" i="70" s="1"/>
  <c r="B194" i="70" s="1"/>
  <c r="B195" i="70" s="1"/>
  <c r="B196" i="70" s="1"/>
  <c r="B197" i="70" s="1"/>
  <c r="B198" i="70" s="1"/>
  <c r="B199" i="70" s="1"/>
  <c r="B200" i="70" s="1"/>
  <c r="B201" i="70" s="1"/>
  <c r="B202" i="70" s="1"/>
  <c r="B203" i="70" s="1"/>
  <c r="B204" i="70" s="1"/>
  <c r="B205" i="70" s="1"/>
  <c r="B206" i="70" s="1"/>
  <c r="B207" i="70" s="1"/>
  <c r="B208" i="70" s="1"/>
  <c r="B209" i="70" s="1"/>
  <c r="B210" i="70" s="1"/>
  <c r="B211" i="70" s="1"/>
  <c r="B212" i="70" s="1"/>
  <c r="B213" i="70" s="1"/>
  <c r="B214" i="70" s="1"/>
  <c r="B215" i="70" s="1"/>
  <c r="B216" i="70" s="1"/>
  <c r="AL11" i="70"/>
  <c r="AL12" i="70" s="1"/>
  <c r="AL13" i="70" s="1"/>
  <c r="AL14" i="70" s="1"/>
  <c r="AL15" i="70" s="1"/>
  <c r="AL16" i="70" s="1"/>
  <c r="AL17" i="70" s="1"/>
  <c r="AL18" i="70" s="1"/>
  <c r="AL19" i="70" s="1"/>
  <c r="AL20" i="70" s="1"/>
  <c r="AL21" i="70" s="1"/>
  <c r="AL22" i="70" s="1"/>
  <c r="AL23" i="70" s="1"/>
  <c r="AL24" i="70" s="1"/>
  <c r="AL25" i="70" s="1"/>
  <c r="AL26" i="70" s="1"/>
  <c r="AL27" i="70" s="1"/>
  <c r="AL28" i="70" s="1"/>
  <c r="AL29" i="70" s="1"/>
  <c r="AL30" i="70" s="1"/>
  <c r="AL31" i="70" s="1"/>
  <c r="AL32" i="70" s="1"/>
  <c r="AL33" i="70" s="1"/>
  <c r="AL34" i="70" s="1"/>
  <c r="AL35" i="70" s="1"/>
  <c r="AL36" i="70" s="1"/>
  <c r="AL37" i="70" s="1"/>
  <c r="AL38" i="70" s="1"/>
  <c r="AL39" i="70" s="1"/>
  <c r="AL40" i="70" s="1"/>
  <c r="AL41" i="70" s="1"/>
  <c r="AL42" i="70" s="1"/>
  <c r="AL43" i="70" s="1"/>
  <c r="AL44" i="70" s="1"/>
  <c r="AL45" i="70" s="1"/>
  <c r="AL46" i="70" s="1"/>
  <c r="AL47" i="70" s="1"/>
  <c r="AL48" i="70" s="1"/>
  <c r="AL49" i="70" s="1"/>
  <c r="AL50" i="70" s="1"/>
  <c r="AL51" i="70" s="1"/>
  <c r="AL52" i="70" s="1"/>
  <c r="AL53" i="70" s="1"/>
  <c r="AL54" i="70" s="1"/>
  <c r="AL55" i="70" s="1"/>
  <c r="AL56" i="70" s="1"/>
  <c r="AL57" i="70" s="1"/>
  <c r="AL58" i="70" s="1"/>
  <c r="AL59" i="70" s="1"/>
  <c r="AL60" i="70" s="1"/>
  <c r="AL61" i="70" s="1"/>
  <c r="AL62" i="70" s="1"/>
  <c r="AL63" i="70" s="1"/>
  <c r="AL64" i="70" s="1"/>
  <c r="AL65" i="70" s="1"/>
  <c r="AL66" i="70" s="1"/>
  <c r="AL67" i="70" s="1"/>
  <c r="AL68" i="70" s="1"/>
  <c r="AL69" i="70" s="1"/>
  <c r="AL70" i="70" s="1"/>
  <c r="AL71" i="70" s="1"/>
  <c r="AL72" i="70" s="1"/>
  <c r="AL73" i="70" s="1"/>
  <c r="AL74" i="70" s="1"/>
  <c r="AL75" i="70" s="1"/>
  <c r="AL76" i="70" s="1"/>
  <c r="AL77" i="70" s="1"/>
  <c r="AL78" i="70" s="1"/>
  <c r="AL79" i="70" s="1"/>
  <c r="AL80" i="70" s="1"/>
  <c r="AL81" i="70" s="1"/>
  <c r="AL82" i="70" s="1"/>
  <c r="AL83" i="70" s="1"/>
  <c r="AL84" i="70" s="1"/>
  <c r="AL85" i="70" s="1"/>
  <c r="AL86" i="70" s="1"/>
  <c r="AL87" i="70" s="1"/>
  <c r="AL88" i="70" s="1"/>
  <c r="AL89" i="70" s="1"/>
  <c r="AL90" i="70" s="1"/>
  <c r="AL91" i="70" s="1"/>
  <c r="AL92" i="70" s="1"/>
  <c r="AL93" i="70" s="1"/>
  <c r="AL94" i="70" s="1"/>
  <c r="AL95" i="70" s="1"/>
  <c r="AL96" i="70" s="1"/>
  <c r="AL97" i="70" s="1"/>
  <c r="AL98" i="70" s="1"/>
  <c r="AL99" i="70" s="1"/>
  <c r="AL100" i="70" s="1"/>
  <c r="AL101" i="70" s="1"/>
  <c r="AL102" i="70" s="1"/>
  <c r="AL103" i="70" s="1"/>
  <c r="AL104" i="70" s="1"/>
  <c r="AL105" i="70" s="1"/>
  <c r="AL106" i="70" s="1"/>
  <c r="AL107" i="70" s="1"/>
  <c r="AL108" i="70" s="1"/>
  <c r="AL109" i="70" s="1"/>
  <c r="AL110" i="70" s="1"/>
  <c r="AL111" i="70" s="1"/>
  <c r="AL112" i="70" s="1"/>
  <c r="AL113" i="70" s="1"/>
  <c r="AL114" i="70" s="1"/>
  <c r="AL115" i="70" s="1"/>
  <c r="AL116" i="70" s="1"/>
  <c r="AL117" i="70" s="1"/>
  <c r="AL118" i="70" s="1"/>
  <c r="AL119" i="70" s="1"/>
  <c r="AL120" i="70" s="1"/>
  <c r="AL121" i="70" s="1"/>
  <c r="AL122" i="70" s="1"/>
  <c r="AL123" i="70" s="1"/>
  <c r="AL124" i="70" s="1"/>
  <c r="AL125" i="70" s="1"/>
  <c r="AL126" i="70" s="1"/>
  <c r="AL127" i="70" s="1"/>
  <c r="AL128" i="70" s="1"/>
  <c r="AL129" i="70" s="1"/>
  <c r="AL130" i="70" s="1"/>
  <c r="AL131" i="70" s="1"/>
  <c r="AL132" i="70" s="1"/>
  <c r="AL133" i="70" s="1"/>
  <c r="AL134" i="70" s="1"/>
  <c r="AL135" i="70" s="1"/>
  <c r="AL136" i="70" s="1"/>
  <c r="AL137" i="70" s="1"/>
  <c r="AL138" i="70" s="1"/>
  <c r="AL139" i="70" s="1"/>
  <c r="AL140" i="70" s="1"/>
  <c r="AL141" i="70" s="1"/>
  <c r="AL142" i="70" s="1"/>
  <c r="AL143" i="70" s="1"/>
  <c r="AL144" i="70" s="1"/>
  <c r="AL145" i="70" s="1"/>
  <c r="AL146" i="70" s="1"/>
  <c r="AL147" i="70" s="1"/>
  <c r="AL148" i="70" s="1"/>
  <c r="AL149" i="70" s="1"/>
  <c r="AL150" i="70" s="1"/>
  <c r="AL151" i="70" s="1"/>
  <c r="AL152" i="70" s="1"/>
  <c r="AL153" i="70" s="1"/>
  <c r="AL154" i="70" s="1"/>
  <c r="AL155" i="70" s="1"/>
  <c r="AL156" i="70" s="1"/>
  <c r="AL157" i="70" s="1"/>
  <c r="AL158" i="70" s="1"/>
  <c r="AL159" i="70" s="1"/>
  <c r="AL160" i="70" s="1"/>
  <c r="AL161" i="70" s="1"/>
  <c r="AL162" i="70" s="1"/>
  <c r="AL163" i="70" s="1"/>
  <c r="AL164" i="70" s="1"/>
  <c r="AL165" i="70" s="1"/>
  <c r="AL166" i="70" s="1"/>
  <c r="AL167" i="70" s="1"/>
  <c r="AL168" i="70" s="1"/>
  <c r="AL169" i="70" s="1"/>
  <c r="AL170" i="70" s="1"/>
  <c r="AL171" i="70" s="1"/>
  <c r="AL172" i="70" s="1"/>
  <c r="AL173" i="70" s="1"/>
  <c r="AL174" i="70" s="1"/>
  <c r="AL175" i="70" s="1"/>
  <c r="AL176" i="70" s="1"/>
  <c r="AL177" i="70" s="1"/>
  <c r="AL178" i="70" s="1"/>
  <c r="AL179" i="70" s="1"/>
  <c r="AL180" i="70" s="1"/>
  <c r="AL181" i="70" s="1"/>
  <c r="AL182" i="70" s="1"/>
  <c r="AL184" i="70" s="1"/>
  <c r="AL185" i="70" s="1"/>
  <c r="AL186" i="70" s="1"/>
  <c r="AL187" i="70" s="1"/>
  <c r="AL188" i="70" s="1"/>
  <c r="AL189" i="70" s="1"/>
  <c r="AL190" i="70" s="1"/>
  <c r="AL191" i="70" s="1"/>
  <c r="AL192" i="70" s="1"/>
  <c r="AL193" i="70" s="1"/>
  <c r="AL194" i="70" s="1"/>
  <c r="AL195" i="70" s="1"/>
  <c r="AL196" i="70" s="1"/>
  <c r="AL197" i="70" s="1"/>
  <c r="AL198" i="70" s="1"/>
  <c r="AL199" i="70" s="1"/>
  <c r="AL200" i="70" s="1"/>
  <c r="AL201" i="70" s="1"/>
  <c r="AL202" i="70" s="1"/>
  <c r="AL203" i="70" s="1"/>
  <c r="AL204" i="70" s="1"/>
  <c r="AL205" i="70" s="1"/>
  <c r="AL206" i="70" s="1"/>
  <c r="AL207" i="70" s="1"/>
  <c r="AL208" i="70" s="1"/>
  <c r="AL209" i="70" s="1"/>
  <c r="AL210" i="70" s="1"/>
  <c r="AL211" i="70" s="1"/>
  <c r="AL212" i="70" s="1"/>
  <c r="AL213" i="70" s="1"/>
  <c r="AL214" i="70" s="1"/>
  <c r="AL215" i="70" s="1"/>
  <c r="AL216" i="70" s="1"/>
  <c r="AJ11" i="70"/>
  <c r="AJ12" i="70" s="1"/>
  <c r="AJ13" i="70" s="1"/>
  <c r="AJ14" i="70" s="1"/>
  <c r="AJ15" i="70" s="1"/>
  <c r="AJ16" i="70" s="1"/>
  <c r="AJ17" i="70" s="1"/>
  <c r="AJ18" i="70" s="1"/>
  <c r="AJ19" i="70" s="1"/>
  <c r="AJ20" i="70" s="1"/>
  <c r="AJ21" i="70" s="1"/>
  <c r="AJ22" i="70" s="1"/>
  <c r="AJ23" i="70" s="1"/>
  <c r="AJ24" i="70" s="1"/>
  <c r="AJ25" i="70" s="1"/>
  <c r="AJ26" i="70" s="1"/>
  <c r="AJ27" i="70" s="1"/>
  <c r="AJ28" i="70" s="1"/>
  <c r="AJ29" i="70" s="1"/>
  <c r="AJ30" i="70" s="1"/>
  <c r="AJ31" i="70" s="1"/>
  <c r="AJ32" i="70" s="1"/>
  <c r="AJ33" i="70" s="1"/>
  <c r="AJ34" i="70" s="1"/>
  <c r="AJ35" i="70" s="1"/>
  <c r="AJ36" i="70" s="1"/>
  <c r="AJ37" i="70" s="1"/>
  <c r="AJ38" i="70" s="1"/>
  <c r="AJ39" i="70" s="1"/>
  <c r="AJ40" i="70" s="1"/>
  <c r="AJ41" i="70" s="1"/>
  <c r="AJ42" i="70" s="1"/>
  <c r="AJ43" i="70" s="1"/>
  <c r="AJ44" i="70" s="1"/>
  <c r="AJ45" i="70" s="1"/>
  <c r="AJ46" i="70" s="1"/>
  <c r="AJ47" i="70" s="1"/>
  <c r="AJ48" i="70" s="1"/>
  <c r="AJ49" i="70" s="1"/>
  <c r="AJ50" i="70" s="1"/>
  <c r="AJ51" i="70" s="1"/>
  <c r="AJ52" i="70" s="1"/>
  <c r="AJ53" i="70" s="1"/>
  <c r="AJ54" i="70" s="1"/>
  <c r="AJ55" i="70" s="1"/>
  <c r="AJ56" i="70" s="1"/>
  <c r="AJ57" i="70" s="1"/>
  <c r="AJ58" i="70" s="1"/>
  <c r="AJ59" i="70" s="1"/>
  <c r="AJ60" i="70" s="1"/>
  <c r="AJ61" i="70" s="1"/>
  <c r="AJ62" i="70" s="1"/>
  <c r="AJ63" i="70" s="1"/>
  <c r="AJ64" i="70" s="1"/>
  <c r="AJ65" i="70" s="1"/>
  <c r="AJ66" i="70" s="1"/>
  <c r="AJ67" i="70" s="1"/>
  <c r="AJ68" i="70" s="1"/>
  <c r="AJ69" i="70" s="1"/>
  <c r="AJ70" i="70" s="1"/>
  <c r="AJ71" i="70" s="1"/>
  <c r="AJ72" i="70" s="1"/>
  <c r="AJ73" i="70" s="1"/>
  <c r="AJ74" i="70" s="1"/>
  <c r="AJ75" i="70" s="1"/>
  <c r="AJ76" i="70" s="1"/>
  <c r="AJ77" i="70" s="1"/>
  <c r="AJ78" i="70" s="1"/>
  <c r="AJ79" i="70" s="1"/>
  <c r="AJ80" i="70" s="1"/>
  <c r="AJ81" i="70" s="1"/>
  <c r="AJ82" i="70" s="1"/>
  <c r="AJ83" i="70" s="1"/>
  <c r="AJ84" i="70" s="1"/>
  <c r="AJ85" i="70" s="1"/>
  <c r="AJ86" i="70" s="1"/>
  <c r="AJ87" i="70" s="1"/>
  <c r="AJ88" i="70" s="1"/>
  <c r="AJ89" i="70" s="1"/>
  <c r="AJ90" i="70" s="1"/>
  <c r="AJ91" i="70" s="1"/>
  <c r="AJ92" i="70" s="1"/>
  <c r="AJ93" i="70" s="1"/>
  <c r="AJ94" i="70" s="1"/>
  <c r="AJ95" i="70" s="1"/>
  <c r="AJ96" i="70" s="1"/>
  <c r="AJ97" i="70" s="1"/>
  <c r="AJ98" i="70" s="1"/>
  <c r="AJ99" i="70" s="1"/>
  <c r="AJ100" i="70" s="1"/>
  <c r="AJ101" i="70" s="1"/>
  <c r="AJ102" i="70" s="1"/>
  <c r="AJ103" i="70" s="1"/>
  <c r="AJ104" i="70" s="1"/>
  <c r="AJ105" i="70" s="1"/>
  <c r="AJ106" i="70" s="1"/>
  <c r="AJ107" i="70" s="1"/>
  <c r="AJ108" i="70" s="1"/>
  <c r="AJ109" i="70" s="1"/>
  <c r="AJ110" i="70" s="1"/>
  <c r="AJ111" i="70" s="1"/>
  <c r="AJ112" i="70" s="1"/>
  <c r="AJ113" i="70" s="1"/>
  <c r="AJ114" i="70" s="1"/>
  <c r="AJ115" i="70" s="1"/>
  <c r="AJ116" i="70" s="1"/>
  <c r="AJ117" i="70" s="1"/>
  <c r="AJ118" i="70" s="1"/>
  <c r="AJ119" i="70" s="1"/>
  <c r="AJ120" i="70" s="1"/>
  <c r="AJ121" i="70" s="1"/>
  <c r="AJ122" i="70" s="1"/>
  <c r="AJ123" i="70" s="1"/>
  <c r="AJ124" i="70" s="1"/>
  <c r="AJ125" i="70" s="1"/>
  <c r="AJ126" i="70" s="1"/>
  <c r="AJ127" i="70" s="1"/>
  <c r="AJ128" i="70" s="1"/>
  <c r="AJ129" i="70" s="1"/>
  <c r="AJ130" i="70" s="1"/>
  <c r="AJ131" i="70" s="1"/>
  <c r="AJ132" i="70" s="1"/>
  <c r="AJ133" i="70" s="1"/>
  <c r="AJ134" i="70" s="1"/>
  <c r="AJ135" i="70" s="1"/>
  <c r="AJ136" i="70" s="1"/>
  <c r="AJ137" i="70" s="1"/>
  <c r="AJ138" i="70" s="1"/>
  <c r="AJ139" i="70" s="1"/>
  <c r="AJ140" i="70" s="1"/>
  <c r="AJ141" i="70" s="1"/>
  <c r="AJ142" i="70" s="1"/>
  <c r="AJ143" i="70" s="1"/>
  <c r="AJ144" i="70" s="1"/>
  <c r="AJ145" i="70" s="1"/>
  <c r="AJ146" i="70" s="1"/>
  <c r="AJ147" i="70" s="1"/>
  <c r="AJ148" i="70" s="1"/>
  <c r="AJ149" i="70" s="1"/>
  <c r="AJ150" i="70" s="1"/>
  <c r="AJ151" i="70" s="1"/>
  <c r="AJ152" i="70" s="1"/>
  <c r="AJ153" i="70" s="1"/>
  <c r="AJ154" i="70" s="1"/>
  <c r="AJ155" i="70" s="1"/>
  <c r="AJ156" i="70" s="1"/>
  <c r="AJ157" i="70" s="1"/>
  <c r="AJ158" i="70" s="1"/>
  <c r="AJ159" i="70" s="1"/>
  <c r="AJ160" i="70" s="1"/>
  <c r="AJ161" i="70" s="1"/>
  <c r="AJ162" i="70" s="1"/>
  <c r="AJ163" i="70" s="1"/>
  <c r="AJ164" i="70" s="1"/>
  <c r="AJ165" i="70" s="1"/>
  <c r="AJ166" i="70" s="1"/>
  <c r="AJ167" i="70" s="1"/>
  <c r="AJ168" i="70" s="1"/>
  <c r="AJ169" i="70" s="1"/>
  <c r="AJ170" i="70" s="1"/>
  <c r="AJ171" i="70" s="1"/>
  <c r="AJ172" i="70" s="1"/>
  <c r="AJ173" i="70" s="1"/>
  <c r="AJ174" i="70" s="1"/>
  <c r="AJ175" i="70" s="1"/>
  <c r="AJ176" i="70" s="1"/>
  <c r="AJ177" i="70" s="1"/>
  <c r="AJ178" i="70" s="1"/>
  <c r="AJ179" i="70" s="1"/>
  <c r="AJ180" i="70" s="1"/>
  <c r="AJ181" i="70" s="1"/>
  <c r="AJ182" i="70" s="1"/>
  <c r="AJ183" i="70" s="1"/>
  <c r="AJ184" i="70" s="1"/>
  <c r="AJ185" i="70" s="1"/>
  <c r="AJ186" i="70" s="1"/>
  <c r="AJ187" i="70" s="1"/>
  <c r="AJ188" i="70" s="1"/>
  <c r="AJ189" i="70" s="1"/>
  <c r="AJ190" i="70" s="1"/>
  <c r="AJ191" i="70" s="1"/>
  <c r="AJ192" i="70" s="1"/>
  <c r="AJ193" i="70" s="1"/>
  <c r="AJ194" i="70" s="1"/>
  <c r="AJ195" i="70" s="1"/>
  <c r="AJ196" i="70" s="1"/>
  <c r="AJ197" i="70" s="1"/>
  <c r="AJ198" i="70" s="1"/>
  <c r="AJ199" i="70" s="1"/>
  <c r="AJ200" i="70" s="1"/>
  <c r="AJ201" i="70" s="1"/>
  <c r="AJ202" i="70" s="1"/>
  <c r="AJ203" i="70" s="1"/>
  <c r="AJ204" i="70" s="1"/>
  <c r="AJ205" i="70" s="1"/>
  <c r="AJ206" i="70" s="1"/>
  <c r="AJ207" i="70" s="1"/>
  <c r="AJ208" i="70" s="1"/>
  <c r="AJ209" i="70" s="1"/>
  <c r="AJ210" i="70" s="1"/>
  <c r="AJ211" i="70" s="1"/>
  <c r="AJ212" i="70" s="1"/>
  <c r="AJ213" i="70" s="1"/>
  <c r="AJ214" i="70" s="1"/>
  <c r="AJ215" i="70" s="1"/>
  <c r="AJ216" i="70" s="1"/>
  <c r="AJ217" i="70" s="1"/>
  <c r="AJ218" i="70" s="1"/>
  <c r="AJ219" i="70" s="1"/>
  <c r="AJ220" i="70" s="1"/>
  <c r="AJ221" i="70" s="1"/>
  <c r="AJ222" i="70" s="1"/>
  <c r="AJ223" i="70" s="1"/>
  <c r="AJ224" i="70" s="1"/>
  <c r="AJ225" i="70" s="1"/>
  <c r="AJ226" i="70" s="1"/>
  <c r="AJ227" i="70" s="1"/>
  <c r="AJ228" i="70" s="1"/>
  <c r="AJ229" i="70" s="1"/>
  <c r="AJ230" i="70" s="1"/>
  <c r="AJ231" i="70" s="1"/>
  <c r="AJ232" i="70" s="1"/>
  <c r="AJ233" i="70" s="1"/>
  <c r="AJ234" i="70" s="1"/>
  <c r="O11" i="70"/>
  <c r="K11" i="70"/>
  <c r="F11" i="70" s="1"/>
  <c r="J11" i="70"/>
  <c r="AC7" i="70"/>
  <c r="AC6" i="70"/>
  <c r="AD245" i="69"/>
  <c r="AD249" i="69" s="1"/>
  <c r="AC245" i="69"/>
  <c r="AC249" i="69" s="1"/>
  <c r="AB245" i="69"/>
  <c r="AB249" i="69" s="1"/>
  <c r="AA245" i="69"/>
  <c r="AA249" i="69" s="1"/>
  <c r="Z245" i="69"/>
  <c r="Z249" i="69" s="1"/>
  <c r="D161" i="69"/>
  <c r="D162" i="69" s="1"/>
  <c r="D163" i="69" s="1"/>
  <c r="D164" i="69" s="1"/>
  <c r="D165" i="69" s="1"/>
  <c r="D166" i="69" s="1"/>
  <c r="D167" i="69" s="1"/>
  <c r="D168" i="69" s="1"/>
  <c r="D169" i="69" s="1"/>
  <c r="D170" i="69" s="1"/>
  <c r="D171" i="69" s="1"/>
  <c r="D172" i="69" s="1"/>
  <c r="D173" i="69" s="1"/>
  <c r="D174" i="69" s="1"/>
  <c r="D175" i="69" s="1"/>
  <c r="D176" i="69" s="1"/>
  <c r="D177" i="69" s="1"/>
  <c r="D178" i="69" s="1"/>
  <c r="D179" i="69" s="1"/>
  <c r="D180" i="69" s="1"/>
  <c r="D181" i="69" s="1"/>
  <c r="D182" i="69" s="1"/>
  <c r="D183" i="69" s="1"/>
  <c r="D184" i="69" s="1"/>
  <c r="D185" i="69" s="1"/>
  <c r="D186" i="69" s="1"/>
  <c r="D187" i="69" s="1"/>
  <c r="D188" i="69" s="1"/>
  <c r="D189" i="69" s="1"/>
  <c r="D190" i="69" s="1"/>
  <c r="D191" i="69" s="1"/>
  <c r="D192" i="69" s="1"/>
  <c r="D193" i="69" s="1"/>
  <c r="D194" i="69" s="1"/>
  <c r="D195" i="69" s="1"/>
  <c r="D196" i="69" s="1"/>
  <c r="D197" i="69" s="1"/>
  <c r="D198" i="69" s="1"/>
  <c r="D199" i="69" s="1"/>
  <c r="D200" i="69" s="1"/>
  <c r="D201" i="69" s="1"/>
  <c r="D202" i="69" s="1"/>
  <c r="D203" i="69" s="1"/>
  <c r="D204" i="69" s="1"/>
  <c r="D205" i="69" s="1"/>
  <c r="D206" i="69" s="1"/>
  <c r="D207" i="69" s="1"/>
  <c r="D208" i="69" s="1"/>
  <c r="D209" i="69" s="1"/>
  <c r="D210" i="69" s="1"/>
  <c r="D211" i="69" s="1"/>
  <c r="D212" i="69" s="1"/>
  <c r="D213" i="69" s="1"/>
  <c r="D214" i="69" s="1"/>
  <c r="D215" i="69" s="1"/>
  <c r="D216" i="69" s="1"/>
  <c r="D217" i="69" s="1"/>
  <c r="D218" i="69" s="1"/>
  <c r="D219" i="69" s="1"/>
  <c r="D220" i="69" s="1"/>
  <c r="D221" i="69" s="1"/>
  <c r="D222" i="69" s="1"/>
  <c r="D223" i="69" s="1"/>
  <c r="D224" i="69" s="1"/>
  <c r="D225" i="69" s="1"/>
  <c r="D226" i="69" s="1"/>
  <c r="D227" i="69" s="1"/>
  <c r="D228" i="69" s="1"/>
  <c r="D229" i="69" s="1"/>
  <c r="D230" i="69" s="1"/>
  <c r="D231" i="69" s="1"/>
  <c r="D232" i="69" s="1"/>
  <c r="D233" i="69" s="1"/>
  <c r="D234" i="69" s="1"/>
  <c r="D235" i="69" s="1"/>
  <c r="D236" i="69" s="1"/>
  <c r="D237" i="69" s="1"/>
  <c r="D238" i="69" s="1"/>
  <c r="D239" i="69" s="1"/>
  <c r="D240" i="69" s="1"/>
  <c r="D241" i="69" s="1"/>
  <c r="D242" i="69" s="1"/>
  <c r="D243" i="69" s="1"/>
  <c r="D57" i="69"/>
  <c r="D58" i="69" s="1"/>
  <c r="D59" i="69" s="1"/>
  <c r="D60" i="69" s="1"/>
  <c r="D61" i="69" s="1"/>
  <c r="D62" i="69" s="1"/>
  <c r="D63" i="69" s="1"/>
  <c r="D64" i="69" s="1"/>
  <c r="D65" i="69" s="1"/>
  <c r="D66" i="69" s="1"/>
  <c r="D67" i="69" s="1"/>
  <c r="D68" i="69" s="1"/>
  <c r="D69" i="69" s="1"/>
  <c r="D70" i="69" s="1"/>
  <c r="D71" i="69" s="1"/>
  <c r="D72" i="69" s="1"/>
  <c r="D73" i="69" s="1"/>
  <c r="D74" i="69" s="1"/>
  <c r="D75" i="69" s="1"/>
  <c r="D76" i="69" s="1"/>
  <c r="D77" i="69" s="1"/>
  <c r="D78" i="69" s="1"/>
  <c r="D79" i="69" s="1"/>
  <c r="D80" i="69" s="1"/>
  <c r="D81" i="69" s="1"/>
  <c r="D82" i="69" s="1"/>
  <c r="D83" i="69" s="1"/>
  <c r="D84" i="69" s="1"/>
  <c r="D85" i="69" s="1"/>
  <c r="D86" i="69" s="1"/>
  <c r="D87" i="69" s="1"/>
  <c r="D88" i="69" s="1"/>
  <c r="D89" i="69" s="1"/>
  <c r="D90" i="69" s="1"/>
  <c r="D91" i="69" s="1"/>
  <c r="D92" i="69" s="1"/>
  <c r="D93" i="69" s="1"/>
  <c r="D94" i="69" s="1"/>
  <c r="D95" i="69" s="1"/>
  <c r="D96" i="69" s="1"/>
  <c r="D97" i="69" s="1"/>
  <c r="D98" i="69" s="1"/>
  <c r="D99" i="69" s="1"/>
  <c r="D100" i="69" s="1"/>
  <c r="D101" i="69" s="1"/>
  <c r="D102" i="69" s="1"/>
  <c r="D103" i="69" s="1"/>
  <c r="D104" i="69" s="1"/>
  <c r="D105" i="69" s="1"/>
  <c r="D106" i="69" s="1"/>
  <c r="D107" i="69" s="1"/>
  <c r="D108" i="69" s="1"/>
  <c r="D109" i="69" s="1"/>
  <c r="D110" i="69" s="1"/>
  <c r="D111" i="69" s="1"/>
  <c r="D112" i="69" s="1"/>
  <c r="D113" i="69" s="1"/>
  <c r="D114" i="69" s="1"/>
  <c r="D115" i="69" s="1"/>
  <c r="D116" i="69" s="1"/>
  <c r="D117" i="69" s="1"/>
  <c r="D118" i="69" s="1"/>
  <c r="D119" i="69" s="1"/>
  <c r="D120" i="69" s="1"/>
  <c r="D121" i="69" s="1"/>
  <c r="D122" i="69" s="1"/>
  <c r="D123" i="69" s="1"/>
  <c r="D124" i="69" s="1"/>
  <c r="D125" i="69" s="1"/>
  <c r="D126" i="69" s="1"/>
  <c r="D127" i="69" s="1"/>
  <c r="D128" i="69" s="1"/>
  <c r="D129" i="69" s="1"/>
  <c r="D130" i="69" s="1"/>
  <c r="D131" i="69" s="1"/>
  <c r="D132" i="69" s="1"/>
  <c r="D133" i="69" s="1"/>
  <c r="D134" i="69" s="1"/>
  <c r="D135" i="69" s="1"/>
  <c r="D136" i="69" s="1"/>
  <c r="D137" i="69" s="1"/>
  <c r="D138" i="69" s="1"/>
  <c r="D139" i="69" s="1"/>
  <c r="D140" i="69" s="1"/>
  <c r="D141" i="69" s="1"/>
  <c r="D142" i="69" s="1"/>
  <c r="D143" i="69" s="1"/>
  <c r="D144" i="69" s="1"/>
  <c r="D145" i="69" s="1"/>
  <c r="D146" i="69" s="1"/>
  <c r="D147" i="69" s="1"/>
  <c r="D148" i="69" s="1"/>
  <c r="D149" i="69" s="1"/>
  <c r="D150" i="69" s="1"/>
  <c r="D151" i="69" s="1"/>
  <c r="D152" i="69" s="1"/>
  <c r="D153" i="69" s="1"/>
  <c r="D154" i="69" s="1"/>
  <c r="D155" i="69" s="1"/>
  <c r="D156" i="69" s="1"/>
  <c r="D157" i="69" s="1"/>
  <c r="D158" i="69" s="1"/>
  <c r="D159" i="69" s="1"/>
  <c r="AI12" i="69"/>
  <c r="AI13" i="69" s="1"/>
  <c r="AI14" i="69" s="1"/>
  <c r="AI15" i="69" s="1"/>
  <c r="AI16" i="69" s="1"/>
  <c r="AI17" i="69" s="1"/>
  <c r="AI18" i="69" s="1"/>
  <c r="AI19" i="69" s="1"/>
  <c r="AI20" i="69" s="1"/>
  <c r="AI21" i="69" s="1"/>
  <c r="AI22" i="69" s="1"/>
  <c r="AI23" i="69" s="1"/>
  <c r="AI24" i="69" s="1"/>
  <c r="AI25" i="69" s="1"/>
  <c r="AI26" i="69" s="1"/>
  <c r="AI27" i="69" s="1"/>
  <c r="AI28" i="69" s="1"/>
  <c r="AI29" i="69" s="1"/>
  <c r="AI30" i="69" s="1"/>
  <c r="AI31" i="69" s="1"/>
  <c r="AI32" i="69" s="1"/>
  <c r="AI33" i="69" s="1"/>
  <c r="AI34" i="69" s="1"/>
  <c r="AI35" i="69" s="1"/>
  <c r="AI36" i="69" s="1"/>
  <c r="AI37" i="69" s="1"/>
  <c r="AI38" i="69" s="1"/>
  <c r="AI39" i="69" s="1"/>
  <c r="AI40" i="69" s="1"/>
  <c r="AI41" i="69" s="1"/>
  <c r="AI42" i="69" s="1"/>
  <c r="AI43" i="69" s="1"/>
  <c r="AI44" i="69" s="1"/>
  <c r="AI45" i="69" s="1"/>
  <c r="AI46" i="69" s="1"/>
  <c r="AI47" i="69" s="1"/>
  <c r="AI48" i="69" s="1"/>
  <c r="AI49" i="69" s="1"/>
  <c r="AI50" i="69" s="1"/>
  <c r="AI51" i="69" s="1"/>
  <c r="AI52" i="69" s="1"/>
  <c r="AI53" i="69" s="1"/>
  <c r="AI54" i="69" s="1"/>
  <c r="AI55" i="69" s="1"/>
  <c r="AI56" i="69" s="1"/>
  <c r="AI57" i="69" s="1"/>
  <c r="AI58" i="69" s="1"/>
  <c r="AI59" i="69" s="1"/>
  <c r="AI60" i="69" s="1"/>
  <c r="AI61" i="69" s="1"/>
  <c r="AI62" i="69" s="1"/>
  <c r="AI63" i="69" s="1"/>
  <c r="AI64" i="69" s="1"/>
  <c r="AI65" i="69" s="1"/>
  <c r="AI66" i="69" s="1"/>
  <c r="AI67" i="69" s="1"/>
  <c r="AI68" i="69" s="1"/>
  <c r="AI69" i="69" s="1"/>
  <c r="AI70" i="69" s="1"/>
  <c r="AI71" i="69" s="1"/>
  <c r="AI72" i="69" s="1"/>
  <c r="AI73" i="69" s="1"/>
  <c r="AI74" i="69" s="1"/>
  <c r="AI75" i="69" s="1"/>
  <c r="AI76" i="69" s="1"/>
  <c r="AI77" i="69" s="1"/>
  <c r="AI78" i="69" s="1"/>
  <c r="AI79" i="69" s="1"/>
  <c r="AI80" i="69" s="1"/>
  <c r="AI81" i="69" s="1"/>
  <c r="AI82" i="69" s="1"/>
  <c r="AI83" i="69" s="1"/>
  <c r="AI84" i="69" s="1"/>
  <c r="AI85" i="69" s="1"/>
  <c r="AI86" i="69" s="1"/>
  <c r="AI87" i="69" s="1"/>
  <c r="AI88" i="69" s="1"/>
  <c r="AI89" i="69" s="1"/>
  <c r="AI90" i="69" s="1"/>
  <c r="AI91" i="69" s="1"/>
  <c r="AI92" i="69" s="1"/>
  <c r="AI93" i="69" s="1"/>
  <c r="AI94" i="69" s="1"/>
  <c r="AI95" i="69" s="1"/>
  <c r="AI96" i="69" s="1"/>
  <c r="AI97" i="69" s="1"/>
  <c r="AI98" i="69" s="1"/>
  <c r="AI99" i="69" s="1"/>
  <c r="AI100" i="69" s="1"/>
  <c r="AI101" i="69" s="1"/>
  <c r="AI102" i="69" s="1"/>
  <c r="AI103" i="69" s="1"/>
  <c r="AI104" i="69" s="1"/>
  <c r="AI105" i="69" s="1"/>
  <c r="AI106" i="69" s="1"/>
  <c r="AI107" i="69" s="1"/>
  <c r="AI108" i="69" s="1"/>
  <c r="AI109" i="69" s="1"/>
  <c r="AI110" i="69" s="1"/>
  <c r="AI111" i="69" s="1"/>
  <c r="AI112" i="69" s="1"/>
  <c r="AI113" i="69" s="1"/>
  <c r="AI114" i="69" s="1"/>
  <c r="AI115" i="69" s="1"/>
  <c r="AI116" i="69" s="1"/>
  <c r="AI117" i="69" s="1"/>
  <c r="AI118" i="69" s="1"/>
  <c r="AI119" i="69" s="1"/>
  <c r="AI120" i="69" s="1"/>
  <c r="AI121" i="69" s="1"/>
  <c r="AI122" i="69" s="1"/>
  <c r="AI123" i="69" s="1"/>
  <c r="AI124" i="69" s="1"/>
  <c r="AI125" i="69" s="1"/>
  <c r="AI126" i="69" s="1"/>
  <c r="AI127" i="69" s="1"/>
  <c r="AI128" i="69" s="1"/>
  <c r="AI129" i="69" s="1"/>
  <c r="AI130" i="69" s="1"/>
  <c r="AI131" i="69" s="1"/>
  <c r="AI132" i="69" s="1"/>
  <c r="AI133" i="69" s="1"/>
  <c r="AI134" i="69" s="1"/>
  <c r="AI135" i="69" s="1"/>
  <c r="AI136" i="69" s="1"/>
  <c r="AI137" i="69" s="1"/>
  <c r="AI138" i="69" s="1"/>
  <c r="AI139" i="69" s="1"/>
  <c r="AI140" i="69" s="1"/>
  <c r="AI141" i="69" s="1"/>
  <c r="AI142" i="69" s="1"/>
  <c r="AI143" i="69" s="1"/>
  <c r="AI144" i="69" s="1"/>
  <c r="AI145" i="69" s="1"/>
  <c r="AI146" i="69" s="1"/>
  <c r="AI147" i="69" s="1"/>
  <c r="AI148" i="69" s="1"/>
  <c r="AI149" i="69" s="1"/>
  <c r="AI150" i="69" s="1"/>
  <c r="AI151" i="69" s="1"/>
  <c r="AI152" i="69" s="1"/>
  <c r="AI153" i="69" s="1"/>
  <c r="AI154" i="69" s="1"/>
  <c r="AI155" i="69" s="1"/>
  <c r="AI156" i="69" s="1"/>
  <c r="AI157" i="69" s="1"/>
  <c r="AI158" i="69" s="1"/>
  <c r="AI159" i="69" s="1"/>
  <c r="AI160" i="69" s="1"/>
  <c r="AI161" i="69" s="1"/>
  <c r="AI162" i="69" s="1"/>
  <c r="AI163" i="69" s="1"/>
  <c r="AI164" i="69" s="1"/>
  <c r="AI165" i="69" s="1"/>
  <c r="AI166" i="69" s="1"/>
  <c r="AI167" i="69" s="1"/>
  <c r="AI168" i="69" s="1"/>
  <c r="AI169" i="69" s="1"/>
  <c r="AI170" i="69" s="1"/>
  <c r="AI171" i="69" s="1"/>
  <c r="AI172" i="69" s="1"/>
  <c r="AI173" i="69" s="1"/>
  <c r="AI174" i="69" s="1"/>
  <c r="AI175" i="69" s="1"/>
  <c r="AI176" i="69" s="1"/>
  <c r="AI177" i="69" s="1"/>
  <c r="AI178" i="69" s="1"/>
  <c r="AI179" i="69" s="1"/>
  <c r="AI180" i="69" s="1"/>
  <c r="AI181" i="69" s="1"/>
  <c r="AI182" i="69" s="1"/>
  <c r="AI183" i="69" s="1"/>
  <c r="AI184" i="69" s="1"/>
  <c r="AI185" i="69" s="1"/>
  <c r="AI186" i="69" s="1"/>
  <c r="AI187" i="69" s="1"/>
  <c r="AI188" i="69" s="1"/>
  <c r="AI189" i="69" s="1"/>
  <c r="AI190" i="69" s="1"/>
  <c r="AI191" i="69" s="1"/>
  <c r="AI192" i="69" s="1"/>
  <c r="AI193" i="69" s="1"/>
  <c r="AI194" i="69" s="1"/>
  <c r="AI195" i="69" s="1"/>
  <c r="AI196" i="69" s="1"/>
  <c r="AI197" i="69" s="1"/>
  <c r="AI198" i="69" s="1"/>
  <c r="AI199" i="69" s="1"/>
  <c r="AI200" i="69" s="1"/>
  <c r="AI201" i="69" s="1"/>
  <c r="AI202" i="69" s="1"/>
  <c r="AI203" i="69" s="1"/>
  <c r="AI204" i="69" s="1"/>
  <c r="AI205" i="69" s="1"/>
  <c r="AI206" i="69" s="1"/>
  <c r="AI207" i="69" s="1"/>
  <c r="AI208" i="69" s="1"/>
  <c r="AI209" i="69" s="1"/>
  <c r="AI210" i="69" s="1"/>
  <c r="AI211" i="69" s="1"/>
  <c r="AI212" i="69" s="1"/>
  <c r="AI213" i="69" s="1"/>
  <c r="AI214" i="69" s="1"/>
  <c r="AI215" i="69" s="1"/>
  <c r="AI216" i="69" s="1"/>
  <c r="AI217" i="69" s="1"/>
  <c r="AI218" i="69" s="1"/>
  <c r="AI219" i="69" s="1"/>
  <c r="AI220" i="69" s="1"/>
  <c r="AI221" i="69" s="1"/>
  <c r="AI222" i="69" s="1"/>
  <c r="AI223" i="69" s="1"/>
  <c r="AI224" i="69" s="1"/>
  <c r="AI225" i="69" s="1"/>
  <c r="AI226" i="69" s="1"/>
  <c r="AI227" i="69" s="1"/>
  <c r="AI228" i="69" s="1"/>
  <c r="AI229" i="69" s="1"/>
  <c r="AI230" i="69" s="1"/>
  <c r="AI231" i="69" s="1"/>
  <c r="AI232" i="69" s="1"/>
  <c r="AI233" i="69" s="1"/>
  <c r="AI234" i="69" s="1"/>
  <c r="AI235" i="69" s="1"/>
  <c r="AI236" i="69" s="1"/>
  <c r="AI237" i="69" s="1"/>
  <c r="AI238" i="69" s="1"/>
  <c r="AI239" i="69" s="1"/>
  <c r="AI240" i="69" s="1"/>
  <c r="AI241" i="69" s="1"/>
  <c r="AI242" i="69" s="1"/>
  <c r="AI243" i="69" s="1"/>
  <c r="AH12" i="69"/>
  <c r="AH13" i="69" s="1"/>
  <c r="AH14" i="69" s="1"/>
  <c r="AH15" i="69" s="1"/>
  <c r="AH16" i="69" s="1"/>
  <c r="AH17" i="69" s="1"/>
  <c r="AH18" i="69" s="1"/>
  <c r="AH19" i="69" s="1"/>
  <c r="AH20" i="69" s="1"/>
  <c r="AH21" i="69" s="1"/>
  <c r="AH22" i="69" s="1"/>
  <c r="AH23" i="69" s="1"/>
  <c r="AH24" i="69" s="1"/>
  <c r="AH25" i="69" s="1"/>
  <c r="AH26" i="69" s="1"/>
  <c r="AH27" i="69" s="1"/>
  <c r="AH28" i="69" s="1"/>
  <c r="AH29" i="69" s="1"/>
  <c r="AH30" i="69" s="1"/>
  <c r="AH31" i="69" s="1"/>
  <c r="AH32" i="69" s="1"/>
  <c r="AH33" i="69" s="1"/>
  <c r="AH34" i="69" s="1"/>
  <c r="AH35" i="69" s="1"/>
  <c r="AH36" i="69" s="1"/>
  <c r="AH37" i="69" s="1"/>
  <c r="AH38" i="69" s="1"/>
  <c r="AH39" i="69" s="1"/>
  <c r="AH40" i="69" s="1"/>
  <c r="AH41" i="69" s="1"/>
  <c r="AH42" i="69" s="1"/>
  <c r="AH43" i="69" s="1"/>
  <c r="AH44" i="69" s="1"/>
  <c r="AH45" i="69" s="1"/>
  <c r="AH46" i="69" s="1"/>
  <c r="AH47" i="69" s="1"/>
  <c r="AH48" i="69" s="1"/>
  <c r="AH49" i="69" s="1"/>
  <c r="AH50" i="69" s="1"/>
  <c r="AH51" i="69" s="1"/>
  <c r="AH52" i="69" s="1"/>
  <c r="AH53" i="69" s="1"/>
  <c r="AH54" i="69" s="1"/>
  <c r="AH55" i="69" s="1"/>
  <c r="AH56" i="69" s="1"/>
  <c r="AH57" i="69" s="1"/>
  <c r="AH58" i="69" s="1"/>
  <c r="AH59" i="69" s="1"/>
  <c r="AH60" i="69" s="1"/>
  <c r="AH61" i="69" s="1"/>
  <c r="AH62" i="69" s="1"/>
  <c r="AH63" i="69" s="1"/>
  <c r="AH64" i="69" s="1"/>
  <c r="AH65" i="69" s="1"/>
  <c r="AH66" i="69" s="1"/>
  <c r="AH67" i="69" s="1"/>
  <c r="AH68" i="69" s="1"/>
  <c r="AH69" i="69" s="1"/>
  <c r="AH70" i="69" s="1"/>
  <c r="AH71" i="69" s="1"/>
  <c r="AH72" i="69" s="1"/>
  <c r="AH73" i="69" s="1"/>
  <c r="AH74" i="69" s="1"/>
  <c r="AH75" i="69" s="1"/>
  <c r="AH76" i="69" s="1"/>
  <c r="AH77" i="69" s="1"/>
  <c r="AH78" i="69" s="1"/>
  <c r="AH79" i="69" s="1"/>
  <c r="AH80" i="69" s="1"/>
  <c r="AH81" i="69" s="1"/>
  <c r="AH82" i="69" s="1"/>
  <c r="AH83" i="69" s="1"/>
  <c r="AH84" i="69" s="1"/>
  <c r="AH85" i="69" s="1"/>
  <c r="AH86" i="69" s="1"/>
  <c r="AH87" i="69" s="1"/>
  <c r="AH88" i="69" s="1"/>
  <c r="AH89" i="69" s="1"/>
  <c r="AH90" i="69" s="1"/>
  <c r="AH91" i="69" s="1"/>
  <c r="AH92" i="69" s="1"/>
  <c r="AH93" i="69" s="1"/>
  <c r="AH94" i="69" s="1"/>
  <c r="AH95" i="69" s="1"/>
  <c r="AH96" i="69" s="1"/>
  <c r="AH97" i="69" s="1"/>
  <c r="AH98" i="69" s="1"/>
  <c r="AH99" i="69" s="1"/>
  <c r="AH100" i="69" s="1"/>
  <c r="AH101" i="69" s="1"/>
  <c r="AH102" i="69" s="1"/>
  <c r="AH103" i="69" s="1"/>
  <c r="AH104" i="69" s="1"/>
  <c r="AH105" i="69" s="1"/>
  <c r="AH106" i="69" s="1"/>
  <c r="AH107" i="69" s="1"/>
  <c r="AH108" i="69" s="1"/>
  <c r="AH109" i="69" s="1"/>
  <c r="AH110" i="69" s="1"/>
  <c r="AH111" i="69" s="1"/>
  <c r="AH112" i="69" s="1"/>
  <c r="AH113" i="69" s="1"/>
  <c r="AH114" i="69" s="1"/>
  <c r="AH115" i="69" s="1"/>
  <c r="AH116" i="69" s="1"/>
  <c r="AH117" i="69" s="1"/>
  <c r="AH118" i="69" s="1"/>
  <c r="AH119" i="69" s="1"/>
  <c r="AH120" i="69" s="1"/>
  <c r="AH121" i="69" s="1"/>
  <c r="AH122" i="69" s="1"/>
  <c r="AH123" i="69" s="1"/>
  <c r="AH124" i="69" s="1"/>
  <c r="AH125" i="69" s="1"/>
  <c r="AH126" i="69" s="1"/>
  <c r="AH127" i="69" s="1"/>
  <c r="AH128" i="69" s="1"/>
  <c r="AH129" i="69" s="1"/>
  <c r="AH130" i="69" s="1"/>
  <c r="AH131" i="69" s="1"/>
  <c r="AH132" i="69" s="1"/>
  <c r="AH133" i="69" s="1"/>
  <c r="AH134" i="69" s="1"/>
  <c r="AH135" i="69" s="1"/>
  <c r="AH136" i="69" s="1"/>
  <c r="AH137" i="69" s="1"/>
  <c r="AH138" i="69" s="1"/>
  <c r="AH139" i="69" s="1"/>
  <c r="AH140" i="69" s="1"/>
  <c r="AH141" i="69" s="1"/>
  <c r="AH142" i="69" s="1"/>
  <c r="AH143" i="69" s="1"/>
  <c r="AH144" i="69" s="1"/>
  <c r="AH145" i="69" s="1"/>
  <c r="AH146" i="69" s="1"/>
  <c r="AH147" i="69" s="1"/>
  <c r="AH148" i="69" s="1"/>
  <c r="AH149" i="69" s="1"/>
  <c r="AH150" i="69" s="1"/>
  <c r="AH151" i="69" s="1"/>
  <c r="AH152" i="69" s="1"/>
  <c r="AH153" i="69" s="1"/>
  <c r="AH154" i="69" s="1"/>
  <c r="AH155" i="69" s="1"/>
  <c r="AH156" i="69" s="1"/>
  <c r="AH157" i="69" s="1"/>
  <c r="AH158" i="69" s="1"/>
  <c r="AH159" i="69" s="1"/>
  <c r="AH160" i="69" s="1"/>
  <c r="AH161" i="69" s="1"/>
  <c r="AH162" i="69" s="1"/>
  <c r="AH163" i="69" s="1"/>
  <c r="AH164" i="69" s="1"/>
  <c r="AH165" i="69" s="1"/>
  <c r="AH166" i="69" s="1"/>
  <c r="AH167" i="69" s="1"/>
  <c r="AH168" i="69" s="1"/>
  <c r="AH169" i="69" s="1"/>
  <c r="AH170" i="69" s="1"/>
  <c r="AH171" i="69" s="1"/>
  <c r="AH172" i="69" s="1"/>
  <c r="AH173" i="69" s="1"/>
  <c r="AH174" i="69" s="1"/>
  <c r="AH175" i="69" s="1"/>
  <c r="AH176" i="69" s="1"/>
  <c r="AH177" i="69" s="1"/>
  <c r="AH178" i="69" s="1"/>
  <c r="AH179" i="69" s="1"/>
  <c r="AH180" i="69" s="1"/>
  <c r="AH181" i="69" s="1"/>
  <c r="AH182" i="69" s="1"/>
  <c r="AH183" i="69" s="1"/>
  <c r="AH184" i="69" s="1"/>
  <c r="AH185" i="69" s="1"/>
  <c r="AH186" i="69" s="1"/>
  <c r="AH187" i="69" s="1"/>
  <c r="AH188" i="69" s="1"/>
  <c r="AH189" i="69" s="1"/>
  <c r="AH190" i="69" s="1"/>
  <c r="AH191" i="69" s="1"/>
  <c r="AH192" i="69" s="1"/>
  <c r="AH193" i="69" s="1"/>
  <c r="AH194" i="69" s="1"/>
  <c r="AH195" i="69" s="1"/>
  <c r="AH196" i="69" s="1"/>
  <c r="AH197" i="69" s="1"/>
  <c r="AH198" i="69" s="1"/>
  <c r="AH199" i="69" s="1"/>
  <c r="AH200" i="69" s="1"/>
  <c r="AH201" i="69" s="1"/>
  <c r="AH202" i="69" s="1"/>
  <c r="AH203" i="69" s="1"/>
  <c r="AH204" i="69" s="1"/>
  <c r="AH205" i="69" s="1"/>
  <c r="AH206" i="69" s="1"/>
  <c r="AH207" i="69" s="1"/>
  <c r="AH208" i="69" s="1"/>
  <c r="AH209" i="69" s="1"/>
  <c r="AH210" i="69" s="1"/>
  <c r="AH211" i="69" s="1"/>
  <c r="AH212" i="69" s="1"/>
  <c r="AH213" i="69" s="1"/>
  <c r="AH214" i="69" s="1"/>
  <c r="AH215" i="69" s="1"/>
  <c r="AH216" i="69" s="1"/>
  <c r="AH217" i="69" s="1"/>
  <c r="AH218" i="69" s="1"/>
  <c r="AH219" i="69" s="1"/>
  <c r="AH220" i="69" s="1"/>
  <c r="AH221" i="69" s="1"/>
  <c r="AH222" i="69" s="1"/>
  <c r="AH223" i="69" s="1"/>
  <c r="AH224" i="69" s="1"/>
  <c r="AH225" i="69" s="1"/>
  <c r="AH226" i="69" s="1"/>
  <c r="AH227" i="69" s="1"/>
  <c r="AH228" i="69" s="1"/>
  <c r="AH229" i="69" s="1"/>
  <c r="AH230" i="69" s="1"/>
  <c r="AH231" i="69" s="1"/>
  <c r="AH232" i="69" s="1"/>
  <c r="AH233" i="69" s="1"/>
  <c r="AH234" i="69" s="1"/>
  <c r="AH235" i="69" s="1"/>
  <c r="AH236" i="69" s="1"/>
  <c r="AH237" i="69" s="1"/>
  <c r="AH238" i="69" s="1"/>
  <c r="AH239" i="69" s="1"/>
  <c r="AH240" i="69" s="1"/>
  <c r="AH241" i="69" s="1"/>
  <c r="AH242" i="69" s="1"/>
  <c r="AH243" i="69" s="1"/>
  <c r="AG12" i="69"/>
  <c r="AG13" i="69" s="1"/>
  <c r="AG14" i="69" s="1"/>
  <c r="AG15" i="69" s="1"/>
  <c r="AG16" i="69" s="1"/>
  <c r="AG17" i="69" s="1"/>
  <c r="AG18" i="69" s="1"/>
  <c r="AG19" i="69" s="1"/>
  <c r="AG20" i="69" s="1"/>
  <c r="AG21" i="69" s="1"/>
  <c r="AG22" i="69" s="1"/>
  <c r="AG23" i="69" s="1"/>
  <c r="AG24" i="69" s="1"/>
  <c r="AG25" i="69" s="1"/>
  <c r="AG26" i="69" s="1"/>
  <c r="AG27" i="69" s="1"/>
  <c r="AG28" i="69" s="1"/>
  <c r="AG29" i="69" s="1"/>
  <c r="AG30" i="69" s="1"/>
  <c r="AG31" i="69" s="1"/>
  <c r="AG32" i="69" s="1"/>
  <c r="AG33" i="69" s="1"/>
  <c r="AG34" i="69" s="1"/>
  <c r="AG35" i="69" s="1"/>
  <c r="AG36" i="69" s="1"/>
  <c r="AG37" i="69" s="1"/>
  <c r="AG38" i="69" s="1"/>
  <c r="AG39" i="69" s="1"/>
  <c r="AG40" i="69" s="1"/>
  <c r="AG41" i="69" s="1"/>
  <c r="AG42" i="69" s="1"/>
  <c r="AG43" i="69" s="1"/>
  <c r="AG44" i="69" s="1"/>
  <c r="AG45" i="69" s="1"/>
  <c r="AG46" i="69" s="1"/>
  <c r="AG47" i="69" s="1"/>
  <c r="AG48" i="69" s="1"/>
  <c r="AG49" i="69" s="1"/>
  <c r="AG50" i="69" s="1"/>
  <c r="AG51" i="69" s="1"/>
  <c r="AG52" i="69" s="1"/>
  <c r="AG53" i="69" s="1"/>
  <c r="AG54" i="69" s="1"/>
  <c r="AG55" i="69" s="1"/>
  <c r="AG56" i="69" s="1"/>
  <c r="AG57" i="69" s="1"/>
  <c r="AG58" i="69" s="1"/>
  <c r="AG59" i="69" s="1"/>
  <c r="AG60" i="69" s="1"/>
  <c r="AG61" i="69" s="1"/>
  <c r="AG62" i="69" s="1"/>
  <c r="AG63" i="69" s="1"/>
  <c r="AG64" i="69" s="1"/>
  <c r="AG65" i="69" s="1"/>
  <c r="AG66" i="69" s="1"/>
  <c r="AG67" i="69" s="1"/>
  <c r="AG68" i="69" s="1"/>
  <c r="AG69" i="69" s="1"/>
  <c r="AG70" i="69" s="1"/>
  <c r="AG71" i="69" s="1"/>
  <c r="AG72" i="69" s="1"/>
  <c r="AG73" i="69" s="1"/>
  <c r="AG74" i="69" s="1"/>
  <c r="AG75" i="69" s="1"/>
  <c r="AG76" i="69" s="1"/>
  <c r="AG77" i="69" s="1"/>
  <c r="AG78" i="69" s="1"/>
  <c r="AG79" i="69" s="1"/>
  <c r="AG80" i="69" s="1"/>
  <c r="AG81" i="69" s="1"/>
  <c r="AG82" i="69" s="1"/>
  <c r="AG83" i="69" s="1"/>
  <c r="AG84" i="69" s="1"/>
  <c r="AG85" i="69" s="1"/>
  <c r="AG86" i="69" s="1"/>
  <c r="AG87" i="69" s="1"/>
  <c r="AG88" i="69" s="1"/>
  <c r="AG89" i="69" s="1"/>
  <c r="AG90" i="69" s="1"/>
  <c r="AG91" i="69" s="1"/>
  <c r="AG92" i="69" s="1"/>
  <c r="AG93" i="69" s="1"/>
  <c r="AG94" i="69" s="1"/>
  <c r="AG95" i="69" s="1"/>
  <c r="AG96" i="69" s="1"/>
  <c r="AG97" i="69" s="1"/>
  <c r="AG98" i="69" s="1"/>
  <c r="AG99" i="69" s="1"/>
  <c r="AG100" i="69" s="1"/>
  <c r="AG101" i="69" s="1"/>
  <c r="AG102" i="69" s="1"/>
  <c r="AG103" i="69" s="1"/>
  <c r="AG104" i="69" s="1"/>
  <c r="AG105" i="69" s="1"/>
  <c r="AG106" i="69" s="1"/>
  <c r="AG107" i="69" s="1"/>
  <c r="AG108" i="69" s="1"/>
  <c r="AG109" i="69" s="1"/>
  <c r="AG110" i="69" s="1"/>
  <c r="AG111" i="69" s="1"/>
  <c r="AG112" i="69" s="1"/>
  <c r="AG113" i="69" s="1"/>
  <c r="AG114" i="69" s="1"/>
  <c r="AG115" i="69" s="1"/>
  <c r="AG116" i="69" s="1"/>
  <c r="AG117" i="69" s="1"/>
  <c r="AG118" i="69" s="1"/>
  <c r="AG119" i="69" s="1"/>
  <c r="AG120" i="69" s="1"/>
  <c r="AG121" i="69" s="1"/>
  <c r="AG122" i="69" s="1"/>
  <c r="AG123" i="69" s="1"/>
  <c r="AG124" i="69" s="1"/>
  <c r="AG125" i="69" s="1"/>
  <c r="AG126" i="69" s="1"/>
  <c r="AG127" i="69" s="1"/>
  <c r="AG128" i="69" s="1"/>
  <c r="AG129" i="69" s="1"/>
  <c r="AG130" i="69" s="1"/>
  <c r="AG131" i="69" s="1"/>
  <c r="AG132" i="69" s="1"/>
  <c r="AG133" i="69" s="1"/>
  <c r="AG134" i="69" s="1"/>
  <c r="AG135" i="69" s="1"/>
  <c r="AG136" i="69" s="1"/>
  <c r="AG137" i="69" s="1"/>
  <c r="AG138" i="69" s="1"/>
  <c r="AG139" i="69" s="1"/>
  <c r="AG140" i="69" s="1"/>
  <c r="AG141" i="69" s="1"/>
  <c r="AG142" i="69" s="1"/>
  <c r="AG143" i="69" s="1"/>
  <c r="AG144" i="69" s="1"/>
  <c r="AG145" i="69" s="1"/>
  <c r="AG146" i="69" s="1"/>
  <c r="AG147" i="69" s="1"/>
  <c r="AG148" i="69" s="1"/>
  <c r="AG149" i="69" s="1"/>
  <c r="AG150" i="69" s="1"/>
  <c r="AG151" i="69" s="1"/>
  <c r="AG152" i="69" s="1"/>
  <c r="AG153" i="69" s="1"/>
  <c r="AG154" i="69" s="1"/>
  <c r="AG155" i="69" s="1"/>
  <c r="AG156" i="69" s="1"/>
  <c r="AG157" i="69" s="1"/>
  <c r="AG158" i="69" s="1"/>
  <c r="AG159" i="69" s="1"/>
  <c r="AG160" i="69" s="1"/>
  <c r="AG161" i="69" s="1"/>
  <c r="AG162" i="69" s="1"/>
  <c r="AG163" i="69" s="1"/>
  <c r="AG164" i="69" s="1"/>
  <c r="AG165" i="69" s="1"/>
  <c r="AG166" i="69" s="1"/>
  <c r="AG167" i="69" s="1"/>
  <c r="AG168" i="69" s="1"/>
  <c r="AG169" i="69" s="1"/>
  <c r="AG170" i="69" s="1"/>
  <c r="AG171" i="69" s="1"/>
  <c r="AG172" i="69" s="1"/>
  <c r="AG173" i="69" s="1"/>
  <c r="AG174" i="69" s="1"/>
  <c r="AG175" i="69" s="1"/>
  <c r="AG176" i="69" s="1"/>
  <c r="AG177" i="69" s="1"/>
  <c r="AG178" i="69" s="1"/>
  <c r="AG179" i="69" s="1"/>
  <c r="AG180" i="69" s="1"/>
  <c r="AG181" i="69" s="1"/>
  <c r="AG182" i="69" s="1"/>
  <c r="AG183" i="69" s="1"/>
  <c r="AG184" i="69" s="1"/>
  <c r="AG185" i="69" s="1"/>
  <c r="AG186" i="69" s="1"/>
  <c r="AG187" i="69" s="1"/>
  <c r="AG188" i="69" s="1"/>
  <c r="AG189" i="69" s="1"/>
  <c r="AG190" i="69" s="1"/>
  <c r="AG191" i="69" s="1"/>
  <c r="AG192" i="69" s="1"/>
  <c r="AG193" i="69" s="1"/>
  <c r="AG194" i="69" s="1"/>
  <c r="AG195" i="69" s="1"/>
  <c r="AG196" i="69" s="1"/>
  <c r="AG197" i="69" s="1"/>
  <c r="AG198" i="69" s="1"/>
  <c r="AG199" i="69" s="1"/>
  <c r="AG200" i="69" s="1"/>
  <c r="AG201" i="69" s="1"/>
  <c r="AG202" i="69" s="1"/>
  <c r="AG203" i="69" s="1"/>
  <c r="AG204" i="69" s="1"/>
  <c r="AG205" i="69" s="1"/>
  <c r="AG206" i="69" s="1"/>
  <c r="AG207" i="69" s="1"/>
  <c r="AG208" i="69" s="1"/>
  <c r="AG209" i="69" s="1"/>
  <c r="AG210" i="69" s="1"/>
  <c r="AG211" i="69" s="1"/>
  <c r="AG212" i="69" s="1"/>
  <c r="AG213" i="69" s="1"/>
  <c r="AG214" i="69" s="1"/>
  <c r="AG215" i="69" s="1"/>
  <c r="AG216" i="69" s="1"/>
  <c r="AG217" i="69" s="1"/>
  <c r="AG218" i="69" s="1"/>
  <c r="AG219" i="69" s="1"/>
  <c r="AG220" i="69" s="1"/>
  <c r="AG221" i="69" s="1"/>
  <c r="AG222" i="69" s="1"/>
  <c r="AG223" i="69" s="1"/>
  <c r="AG224" i="69" s="1"/>
  <c r="AG225" i="69" s="1"/>
  <c r="AG226" i="69" s="1"/>
  <c r="AG227" i="69" s="1"/>
  <c r="AG228" i="69" s="1"/>
  <c r="AG229" i="69" s="1"/>
  <c r="AG230" i="69" s="1"/>
  <c r="AG231" i="69" s="1"/>
  <c r="AG232" i="69" s="1"/>
  <c r="AG233" i="69" s="1"/>
  <c r="AG234" i="69" s="1"/>
  <c r="AG235" i="69" s="1"/>
  <c r="AG236" i="69" s="1"/>
  <c r="AG237" i="69" s="1"/>
  <c r="AG238" i="69" s="1"/>
  <c r="AG239" i="69" s="1"/>
  <c r="AG240" i="69" s="1"/>
  <c r="AG241" i="69" s="1"/>
  <c r="AG242" i="69" s="1"/>
  <c r="AG243" i="69" s="1"/>
  <c r="AF12" i="69"/>
  <c r="AF13" i="69" s="1"/>
  <c r="AF14" i="69" s="1"/>
  <c r="AF15" i="69" s="1"/>
  <c r="AF16" i="69" s="1"/>
  <c r="AF17" i="69" s="1"/>
  <c r="AF18" i="69" s="1"/>
  <c r="AF19" i="69" s="1"/>
  <c r="AF20" i="69" s="1"/>
  <c r="AF21" i="69" s="1"/>
  <c r="AF22" i="69" s="1"/>
  <c r="AF23" i="69" s="1"/>
  <c r="AF24" i="69" s="1"/>
  <c r="AF25" i="69" s="1"/>
  <c r="AF26" i="69" s="1"/>
  <c r="AF27" i="69" s="1"/>
  <c r="AF28" i="69" s="1"/>
  <c r="AF29" i="69" s="1"/>
  <c r="AF30" i="69" s="1"/>
  <c r="AF31" i="69" s="1"/>
  <c r="AF32" i="69" s="1"/>
  <c r="AF33" i="69" s="1"/>
  <c r="AF34" i="69" s="1"/>
  <c r="AF35" i="69" s="1"/>
  <c r="AF36" i="69" s="1"/>
  <c r="AF37" i="69" s="1"/>
  <c r="AF38" i="69" s="1"/>
  <c r="AF39" i="69" s="1"/>
  <c r="AF40" i="69" s="1"/>
  <c r="AF41" i="69" s="1"/>
  <c r="AF42" i="69" s="1"/>
  <c r="AF43" i="69" s="1"/>
  <c r="AF44" i="69" s="1"/>
  <c r="AF45" i="69" s="1"/>
  <c r="AF46" i="69" s="1"/>
  <c r="AF47" i="69" s="1"/>
  <c r="AF48" i="69" s="1"/>
  <c r="AF49" i="69" s="1"/>
  <c r="AF50" i="69" s="1"/>
  <c r="AF51" i="69" s="1"/>
  <c r="AF52" i="69" s="1"/>
  <c r="AF53" i="69" s="1"/>
  <c r="AF54" i="69" s="1"/>
  <c r="AF55" i="69" s="1"/>
  <c r="AF56" i="69" s="1"/>
  <c r="AF57" i="69" s="1"/>
  <c r="AF58" i="69" s="1"/>
  <c r="AF59" i="69" s="1"/>
  <c r="AF60" i="69" s="1"/>
  <c r="AF61" i="69" s="1"/>
  <c r="AF62" i="69" s="1"/>
  <c r="AF63" i="69" s="1"/>
  <c r="AF64" i="69" s="1"/>
  <c r="AF65" i="69" s="1"/>
  <c r="AF66" i="69" s="1"/>
  <c r="AF67" i="69" s="1"/>
  <c r="AF68" i="69" s="1"/>
  <c r="AF69" i="69" s="1"/>
  <c r="AF70" i="69" s="1"/>
  <c r="AF71" i="69" s="1"/>
  <c r="AF72" i="69" s="1"/>
  <c r="AF73" i="69" s="1"/>
  <c r="AF74" i="69" s="1"/>
  <c r="AF75" i="69" s="1"/>
  <c r="AF76" i="69" s="1"/>
  <c r="AF77" i="69" s="1"/>
  <c r="AF78" i="69" s="1"/>
  <c r="AF79" i="69" s="1"/>
  <c r="AF80" i="69" s="1"/>
  <c r="AF81" i="69" s="1"/>
  <c r="AF82" i="69" s="1"/>
  <c r="AF83" i="69" s="1"/>
  <c r="AF84" i="69" s="1"/>
  <c r="AF85" i="69" s="1"/>
  <c r="AF86" i="69" s="1"/>
  <c r="AF87" i="69" s="1"/>
  <c r="AF88" i="69" s="1"/>
  <c r="AF89" i="69" s="1"/>
  <c r="AF90" i="69" s="1"/>
  <c r="AF91" i="69" s="1"/>
  <c r="AF92" i="69" s="1"/>
  <c r="AF93" i="69" s="1"/>
  <c r="AF94" i="69" s="1"/>
  <c r="AF95" i="69" s="1"/>
  <c r="AF96" i="69" s="1"/>
  <c r="AF97" i="69" s="1"/>
  <c r="AF98" i="69" s="1"/>
  <c r="AF99" i="69" s="1"/>
  <c r="AF100" i="69" s="1"/>
  <c r="AF101" i="69" s="1"/>
  <c r="AF102" i="69" s="1"/>
  <c r="AF103" i="69" s="1"/>
  <c r="AF104" i="69" s="1"/>
  <c r="AF105" i="69" s="1"/>
  <c r="AF106" i="69" s="1"/>
  <c r="AF107" i="69" s="1"/>
  <c r="AF108" i="69" s="1"/>
  <c r="AF109" i="69" s="1"/>
  <c r="AF110" i="69" s="1"/>
  <c r="AF111" i="69" s="1"/>
  <c r="AF112" i="69" s="1"/>
  <c r="AF113" i="69" s="1"/>
  <c r="AF114" i="69" s="1"/>
  <c r="AF115" i="69" s="1"/>
  <c r="AF116" i="69" s="1"/>
  <c r="AF117" i="69" s="1"/>
  <c r="AF118" i="69" s="1"/>
  <c r="AF119" i="69" s="1"/>
  <c r="AF120" i="69" s="1"/>
  <c r="AF121" i="69" s="1"/>
  <c r="AF122" i="69" s="1"/>
  <c r="AF123" i="69" s="1"/>
  <c r="AF124" i="69" s="1"/>
  <c r="AF125" i="69" s="1"/>
  <c r="AF126" i="69" s="1"/>
  <c r="AF127" i="69" s="1"/>
  <c r="AF128" i="69" s="1"/>
  <c r="AF129" i="69" s="1"/>
  <c r="AF130" i="69" s="1"/>
  <c r="AF131" i="69" s="1"/>
  <c r="AF132" i="69" s="1"/>
  <c r="AF133" i="69" s="1"/>
  <c r="AF134" i="69" s="1"/>
  <c r="AF135" i="69" s="1"/>
  <c r="AF136" i="69" s="1"/>
  <c r="AF137" i="69" s="1"/>
  <c r="AF138" i="69" s="1"/>
  <c r="AF139" i="69" s="1"/>
  <c r="AF140" i="69" s="1"/>
  <c r="AF141" i="69" s="1"/>
  <c r="AF142" i="69" s="1"/>
  <c r="AF143" i="69" s="1"/>
  <c r="AF144" i="69" s="1"/>
  <c r="AF145" i="69" s="1"/>
  <c r="AF146" i="69" s="1"/>
  <c r="AF147" i="69" s="1"/>
  <c r="AF148" i="69" s="1"/>
  <c r="AF149" i="69" s="1"/>
  <c r="AF150" i="69" s="1"/>
  <c r="AF151" i="69" s="1"/>
  <c r="AF152" i="69" s="1"/>
  <c r="AF153" i="69" s="1"/>
  <c r="AF154" i="69" s="1"/>
  <c r="AF155" i="69" s="1"/>
  <c r="AF156" i="69" s="1"/>
  <c r="AF157" i="69" s="1"/>
  <c r="AF158" i="69" s="1"/>
  <c r="AF159" i="69" s="1"/>
  <c r="AF160" i="69" s="1"/>
  <c r="AF161" i="69" s="1"/>
  <c r="AF162" i="69" s="1"/>
  <c r="AF163" i="69" s="1"/>
  <c r="AF164" i="69" s="1"/>
  <c r="AF165" i="69" s="1"/>
  <c r="AF166" i="69" s="1"/>
  <c r="AF167" i="69" s="1"/>
  <c r="AF168" i="69" s="1"/>
  <c r="AF169" i="69" s="1"/>
  <c r="AF170" i="69" s="1"/>
  <c r="AF171" i="69" s="1"/>
  <c r="AF172" i="69" s="1"/>
  <c r="AF173" i="69" s="1"/>
  <c r="AF174" i="69" s="1"/>
  <c r="AF175" i="69" s="1"/>
  <c r="AF176" i="69" s="1"/>
  <c r="AF177" i="69" s="1"/>
  <c r="AF178" i="69" s="1"/>
  <c r="AF179" i="69" s="1"/>
  <c r="AF180" i="69" s="1"/>
  <c r="AF181" i="69" s="1"/>
  <c r="AF182" i="69" s="1"/>
  <c r="AF183" i="69" s="1"/>
  <c r="AF184" i="69" s="1"/>
  <c r="AF185" i="69" s="1"/>
  <c r="AF186" i="69" s="1"/>
  <c r="AF187" i="69" s="1"/>
  <c r="AF188" i="69" s="1"/>
  <c r="AF189" i="69" s="1"/>
  <c r="AF190" i="69" s="1"/>
  <c r="AF191" i="69" s="1"/>
  <c r="AF192" i="69" s="1"/>
  <c r="AF193" i="69" s="1"/>
  <c r="AF194" i="69" s="1"/>
  <c r="AF195" i="69" s="1"/>
  <c r="AF196" i="69" s="1"/>
  <c r="AF197" i="69" s="1"/>
  <c r="AF198" i="69" s="1"/>
  <c r="AF199" i="69" s="1"/>
  <c r="AF200" i="69" s="1"/>
  <c r="AF201" i="69" s="1"/>
  <c r="AF202" i="69" s="1"/>
  <c r="AF203" i="69" s="1"/>
  <c r="AF204" i="69" s="1"/>
  <c r="AF205" i="69" s="1"/>
  <c r="AF206" i="69" s="1"/>
  <c r="AF207" i="69" s="1"/>
  <c r="AF208" i="69" s="1"/>
  <c r="AF209" i="69" s="1"/>
  <c r="AF210" i="69" s="1"/>
  <c r="AF211" i="69" s="1"/>
  <c r="AF212" i="69" s="1"/>
  <c r="AF213" i="69" s="1"/>
  <c r="AF214" i="69" s="1"/>
  <c r="AF215" i="69" s="1"/>
  <c r="AF216" i="69" s="1"/>
  <c r="AF217" i="69" s="1"/>
  <c r="AF218" i="69" s="1"/>
  <c r="AF219" i="69" s="1"/>
  <c r="AF220" i="69" s="1"/>
  <c r="AF221" i="69" s="1"/>
  <c r="AF222" i="69" s="1"/>
  <c r="AF223" i="69" s="1"/>
  <c r="AF224" i="69" s="1"/>
  <c r="AF225" i="69" s="1"/>
  <c r="AF226" i="69" s="1"/>
  <c r="AF227" i="69" s="1"/>
  <c r="AF228" i="69" s="1"/>
  <c r="AF229" i="69" s="1"/>
  <c r="AF230" i="69" s="1"/>
  <c r="AF231" i="69" s="1"/>
  <c r="AF232" i="69" s="1"/>
  <c r="AF233" i="69" s="1"/>
  <c r="AF234" i="69" s="1"/>
  <c r="AF235" i="69" s="1"/>
  <c r="AF236" i="69" s="1"/>
  <c r="AF237" i="69" s="1"/>
  <c r="AF238" i="69" s="1"/>
  <c r="AF239" i="69" s="1"/>
  <c r="AF240" i="69" s="1"/>
  <c r="AF241" i="69" s="1"/>
  <c r="AF242" i="69" s="1"/>
  <c r="AF243" i="69" s="1"/>
  <c r="AE12" i="69"/>
  <c r="AE13" i="69" s="1"/>
  <c r="AE14" i="69" s="1"/>
  <c r="AE15" i="69" s="1"/>
  <c r="AE16" i="69" s="1"/>
  <c r="AE17" i="69" s="1"/>
  <c r="AE18" i="69" s="1"/>
  <c r="AE19" i="69" s="1"/>
  <c r="AE20" i="69" s="1"/>
  <c r="AE21" i="69" s="1"/>
  <c r="AE22" i="69" s="1"/>
  <c r="AE23" i="69" s="1"/>
  <c r="AE24" i="69" s="1"/>
  <c r="AE25" i="69" s="1"/>
  <c r="AE26" i="69" s="1"/>
  <c r="AE27" i="69" s="1"/>
  <c r="AE28" i="69" s="1"/>
  <c r="AE29" i="69" s="1"/>
  <c r="AE30" i="69" s="1"/>
  <c r="AE31" i="69" s="1"/>
  <c r="AE32" i="69" s="1"/>
  <c r="AE33" i="69" s="1"/>
  <c r="AE34" i="69" s="1"/>
  <c r="AE35" i="69" s="1"/>
  <c r="AE36" i="69" s="1"/>
  <c r="AE37" i="69" s="1"/>
  <c r="AE38" i="69" s="1"/>
  <c r="AE39" i="69" s="1"/>
  <c r="AE40" i="69" s="1"/>
  <c r="AE41" i="69" s="1"/>
  <c r="AE42" i="69" s="1"/>
  <c r="AE43" i="69" s="1"/>
  <c r="AE44" i="69" s="1"/>
  <c r="AE45" i="69" s="1"/>
  <c r="AE46" i="69" s="1"/>
  <c r="AE47" i="69" s="1"/>
  <c r="AE48" i="69" s="1"/>
  <c r="AE49" i="69" s="1"/>
  <c r="AE50" i="69" s="1"/>
  <c r="AE51" i="69" s="1"/>
  <c r="AE52" i="69" s="1"/>
  <c r="AE53" i="69" s="1"/>
  <c r="AE54" i="69" s="1"/>
  <c r="AE55" i="69" s="1"/>
  <c r="AE56" i="69" s="1"/>
  <c r="AE57" i="69" s="1"/>
  <c r="AE58" i="69" s="1"/>
  <c r="AE59" i="69" s="1"/>
  <c r="AE60" i="69" s="1"/>
  <c r="AE61" i="69" s="1"/>
  <c r="AE62" i="69" s="1"/>
  <c r="AE63" i="69" s="1"/>
  <c r="AE64" i="69" s="1"/>
  <c r="AE65" i="69" s="1"/>
  <c r="AE66" i="69" s="1"/>
  <c r="AE67" i="69" s="1"/>
  <c r="AE68" i="69" s="1"/>
  <c r="AE69" i="69" s="1"/>
  <c r="AE70" i="69" s="1"/>
  <c r="AE71" i="69" s="1"/>
  <c r="AE72" i="69" s="1"/>
  <c r="AE73" i="69" s="1"/>
  <c r="AE74" i="69" s="1"/>
  <c r="AE75" i="69" s="1"/>
  <c r="AE76" i="69" s="1"/>
  <c r="AE77" i="69" s="1"/>
  <c r="AE78" i="69" s="1"/>
  <c r="AE79" i="69" s="1"/>
  <c r="AE80" i="69" s="1"/>
  <c r="AE81" i="69" s="1"/>
  <c r="AE82" i="69" s="1"/>
  <c r="AE83" i="69" s="1"/>
  <c r="AE84" i="69" s="1"/>
  <c r="AE85" i="69" s="1"/>
  <c r="AE86" i="69" s="1"/>
  <c r="AE87" i="69" s="1"/>
  <c r="AE88" i="69" s="1"/>
  <c r="AE89" i="69" s="1"/>
  <c r="AE90" i="69" s="1"/>
  <c r="AE91" i="69" s="1"/>
  <c r="AE92" i="69" s="1"/>
  <c r="AE93" i="69" s="1"/>
  <c r="AE94" i="69" s="1"/>
  <c r="AE95" i="69" s="1"/>
  <c r="AE96" i="69" s="1"/>
  <c r="AE97" i="69" s="1"/>
  <c r="AE98" i="69" s="1"/>
  <c r="AE99" i="69" s="1"/>
  <c r="AE100" i="69" s="1"/>
  <c r="AE101" i="69" s="1"/>
  <c r="AE102" i="69" s="1"/>
  <c r="AE103" i="69" s="1"/>
  <c r="AE104" i="69" s="1"/>
  <c r="AE105" i="69" s="1"/>
  <c r="AE106" i="69" s="1"/>
  <c r="AE107" i="69" s="1"/>
  <c r="AE108" i="69" s="1"/>
  <c r="AE109" i="69" s="1"/>
  <c r="AE110" i="69" s="1"/>
  <c r="AE111" i="69" s="1"/>
  <c r="AE112" i="69" s="1"/>
  <c r="AE113" i="69" s="1"/>
  <c r="AE114" i="69" s="1"/>
  <c r="AE115" i="69" s="1"/>
  <c r="AE116" i="69" s="1"/>
  <c r="AE117" i="69" s="1"/>
  <c r="AE118" i="69" s="1"/>
  <c r="AE119" i="69" s="1"/>
  <c r="AE120" i="69" s="1"/>
  <c r="AE121" i="69" s="1"/>
  <c r="AE122" i="69" s="1"/>
  <c r="AE123" i="69" s="1"/>
  <c r="AE124" i="69" s="1"/>
  <c r="AE125" i="69" s="1"/>
  <c r="AE126" i="69" s="1"/>
  <c r="AE127" i="69" s="1"/>
  <c r="AE128" i="69" s="1"/>
  <c r="AE129" i="69" s="1"/>
  <c r="AE130" i="69" s="1"/>
  <c r="AE131" i="69" s="1"/>
  <c r="AE132" i="69" s="1"/>
  <c r="AE133" i="69" s="1"/>
  <c r="AE134" i="69" s="1"/>
  <c r="AE135" i="69" s="1"/>
  <c r="AE136" i="69" s="1"/>
  <c r="AE137" i="69" s="1"/>
  <c r="AE138" i="69" s="1"/>
  <c r="AE139" i="69" s="1"/>
  <c r="AE140" i="69" s="1"/>
  <c r="AE141" i="69" s="1"/>
  <c r="AE142" i="69" s="1"/>
  <c r="AE143" i="69" s="1"/>
  <c r="AE144" i="69" s="1"/>
  <c r="AE145" i="69" s="1"/>
  <c r="AE146" i="69" s="1"/>
  <c r="AE147" i="69" s="1"/>
  <c r="AE148" i="69" s="1"/>
  <c r="AE149" i="69" s="1"/>
  <c r="AE150" i="69" s="1"/>
  <c r="AE151" i="69" s="1"/>
  <c r="AE152" i="69" s="1"/>
  <c r="AE153" i="69" s="1"/>
  <c r="AE154" i="69" s="1"/>
  <c r="AE155" i="69" s="1"/>
  <c r="AE156" i="69" s="1"/>
  <c r="AE157" i="69" s="1"/>
  <c r="AE158" i="69" s="1"/>
  <c r="AE159" i="69" s="1"/>
  <c r="AE160" i="69" s="1"/>
  <c r="AE161" i="69" s="1"/>
  <c r="AE162" i="69" s="1"/>
  <c r="AE163" i="69" s="1"/>
  <c r="AE164" i="69" s="1"/>
  <c r="AE165" i="69" s="1"/>
  <c r="AE166" i="69" s="1"/>
  <c r="AE167" i="69" s="1"/>
  <c r="AE168" i="69" s="1"/>
  <c r="AE169" i="69" s="1"/>
  <c r="AE170" i="69" s="1"/>
  <c r="AE171" i="69" s="1"/>
  <c r="AE172" i="69" s="1"/>
  <c r="AE173" i="69" s="1"/>
  <c r="AE174" i="69" s="1"/>
  <c r="AE175" i="69" s="1"/>
  <c r="AE176" i="69" s="1"/>
  <c r="AE177" i="69" s="1"/>
  <c r="AE178" i="69" s="1"/>
  <c r="AE179" i="69" s="1"/>
  <c r="AE180" i="69" s="1"/>
  <c r="AE181" i="69" s="1"/>
  <c r="AE182" i="69" s="1"/>
  <c r="AE183" i="69" s="1"/>
  <c r="AE184" i="69" s="1"/>
  <c r="AE185" i="69" s="1"/>
  <c r="AE186" i="69" s="1"/>
  <c r="AE187" i="69" s="1"/>
  <c r="AE188" i="69" s="1"/>
  <c r="AE189" i="69" s="1"/>
  <c r="AE190" i="69" s="1"/>
  <c r="AE191" i="69" s="1"/>
  <c r="AE192" i="69" s="1"/>
  <c r="AE193" i="69" s="1"/>
  <c r="AE194" i="69" s="1"/>
  <c r="AE195" i="69" s="1"/>
  <c r="AE196" i="69" s="1"/>
  <c r="AE197" i="69" s="1"/>
  <c r="AE198" i="69" s="1"/>
  <c r="AE199" i="69" s="1"/>
  <c r="AE200" i="69" s="1"/>
  <c r="AE201" i="69" s="1"/>
  <c r="AE202" i="69" s="1"/>
  <c r="AE203" i="69" s="1"/>
  <c r="AE204" i="69" s="1"/>
  <c r="AE205" i="69" s="1"/>
  <c r="AE206" i="69" s="1"/>
  <c r="AE207" i="69" s="1"/>
  <c r="AE208" i="69" s="1"/>
  <c r="AE209" i="69" s="1"/>
  <c r="AE210" i="69" s="1"/>
  <c r="AE211" i="69" s="1"/>
  <c r="AE212" i="69" s="1"/>
  <c r="AE213" i="69" s="1"/>
  <c r="AE214" i="69" s="1"/>
  <c r="AE215" i="69" s="1"/>
  <c r="AE216" i="69" s="1"/>
  <c r="AE217" i="69" s="1"/>
  <c r="AE218" i="69" s="1"/>
  <c r="AE219" i="69" s="1"/>
  <c r="AE220" i="69" s="1"/>
  <c r="AE221" i="69" s="1"/>
  <c r="AE222" i="69" s="1"/>
  <c r="AE223" i="69" s="1"/>
  <c r="AE224" i="69" s="1"/>
  <c r="AE225" i="69" s="1"/>
  <c r="AE226" i="69" s="1"/>
  <c r="AE227" i="69" s="1"/>
  <c r="AE228" i="69" s="1"/>
  <c r="AE229" i="69" s="1"/>
  <c r="AE230" i="69" s="1"/>
  <c r="AE231" i="69" s="1"/>
  <c r="AE232" i="69" s="1"/>
  <c r="AE233" i="69" s="1"/>
  <c r="AE234" i="69" s="1"/>
  <c r="AE235" i="69" s="1"/>
  <c r="AE236" i="69" s="1"/>
  <c r="AE237" i="69" s="1"/>
  <c r="AE238" i="69" s="1"/>
  <c r="AE239" i="69" s="1"/>
  <c r="AE240" i="69" s="1"/>
  <c r="AE241" i="69" s="1"/>
  <c r="AE242" i="69" s="1"/>
  <c r="AE243" i="69" s="1"/>
  <c r="Y12" i="69"/>
  <c r="Y13" i="69" s="1"/>
  <c r="Y14" i="69" s="1"/>
  <c r="Y15" i="69" s="1"/>
  <c r="Y16" i="69" s="1"/>
  <c r="Y17" i="69" s="1"/>
  <c r="Y18" i="69" s="1"/>
  <c r="Y19" i="69" s="1"/>
  <c r="Y20" i="69" s="1"/>
  <c r="Y21" i="69" s="1"/>
  <c r="Y22" i="69" s="1"/>
  <c r="Y23" i="69" s="1"/>
  <c r="Y24" i="69" s="1"/>
  <c r="Y25" i="69" s="1"/>
  <c r="Y26" i="69" s="1"/>
  <c r="Y27" i="69" s="1"/>
  <c r="Y28" i="69" s="1"/>
  <c r="Y29" i="69" s="1"/>
  <c r="Y30" i="69" s="1"/>
  <c r="Y31" i="69" s="1"/>
  <c r="Y32" i="69" s="1"/>
  <c r="Y33" i="69" s="1"/>
  <c r="Y34" i="69" s="1"/>
  <c r="Y35" i="69" s="1"/>
  <c r="Y36" i="69" s="1"/>
  <c r="Y37" i="69" s="1"/>
  <c r="Y38" i="69" s="1"/>
  <c r="Y39" i="69" s="1"/>
  <c r="Y40" i="69" s="1"/>
  <c r="Y41" i="69" s="1"/>
  <c r="Y42" i="69" s="1"/>
  <c r="Y43" i="69" s="1"/>
  <c r="Y44" i="69" s="1"/>
  <c r="Y45" i="69" s="1"/>
  <c r="Y46" i="69" s="1"/>
  <c r="Y47" i="69" s="1"/>
  <c r="Y48" i="69" s="1"/>
  <c r="Y49" i="69" s="1"/>
  <c r="Y50" i="69" s="1"/>
  <c r="Y51" i="69" s="1"/>
  <c r="Y52" i="69" s="1"/>
  <c r="Y53" i="69" s="1"/>
  <c r="Y54" i="69" s="1"/>
  <c r="Y55" i="69" s="1"/>
  <c r="Y56" i="69" s="1"/>
  <c r="Y57" i="69" s="1"/>
  <c r="Y58" i="69" s="1"/>
  <c r="Y59" i="69" s="1"/>
  <c r="Y60" i="69" s="1"/>
  <c r="Y61" i="69" s="1"/>
  <c r="Y62" i="69" s="1"/>
  <c r="Y63" i="69" s="1"/>
  <c r="Y64" i="69" s="1"/>
  <c r="Y65" i="69" s="1"/>
  <c r="Y66" i="69" s="1"/>
  <c r="Y67" i="69" s="1"/>
  <c r="Y68" i="69" s="1"/>
  <c r="Y69" i="69" s="1"/>
  <c r="Y70" i="69" s="1"/>
  <c r="Y71" i="69" s="1"/>
  <c r="Y72" i="69" s="1"/>
  <c r="Y73" i="69" s="1"/>
  <c r="Y74" i="69" s="1"/>
  <c r="Y75" i="69" s="1"/>
  <c r="Y76" i="69" s="1"/>
  <c r="Y77" i="69" s="1"/>
  <c r="Y78" i="69" s="1"/>
  <c r="Y79" i="69" s="1"/>
  <c r="Y80" i="69" s="1"/>
  <c r="Y81" i="69" s="1"/>
  <c r="Y82" i="69" s="1"/>
  <c r="Y83" i="69" s="1"/>
  <c r="Y84" i="69" s="1"/>
  <c r="Y85" i="69" s="1"/>
  <c r="Y86" i="69" s="1"/>
  <c r="Y87" i="69" s="1"/>
  <c r="Y88" i="69" s="1"/>
  <c r="Y89" i="69" s="1"/>
  <c r="Y90" i="69" s="1"/>
  <c r="Y91" i="69" s="1"/>
  <c r="Y92" i="69" s="1"/>
  <c r="Y93" i="69" s="1"/>
  <c r="Y94" i="69" s="1"/>
  <c r="Y95" i="69" s="1"/>
  <c r="Y96" i="69" s="1"/>
  <c r="Y97" i="69" s="1"/>
  <c r="Y98" i="69" s="1"/>
  <c r="Y99" i="69" s="1"/>
  <c r="Y100" i="69" s="1"/>
  <c r="Y101" i="69" s="1"/>
  <c r="Y102" i="69" s="1"/>
  <c r="Y103" i="69" s="1"/>
  <c r="Y104" i="69" s="1"/>
  <c r="Y105" i="69" s="1"/>
  <c r="Y106" i="69" s="1"/>
  <c r="Y107" i="69" s="1"/>
  <c r="Y108" i="69" s="1"/>
  <c r="Y109" i="69" s="1"/>
  <c r="Y110" i="69" s="1"/>
  <c r="Y111" i="69" s="1"/>
  <c r="Y112" i="69" s="1"/>
  <c r="Y113" i="69" s="1"/>
  <c r="Y114" i="69" s="1"/>
  <c r="Y115" i="69" s="1"/>
  <c r="Y116" i="69" s="1"/>
  <c r="Y117" i="69" s="1"/>
  <c r="Y118" i="69" s="1"/>
  <c r="Y119" i="69" s="1"/>
  <c r="Y120" i="69" s="1"/>
  <c r="Y121" i="69" s="1"/>
  <c r="Y122" i="69" s="1"/>
  <c r="Y123" i="69" s="1"/>
  <c r="Y124" i="69" s="1"/>
  <c r="Y125" i="69" s="1"/>
  <c r="Y126" i="69" s="1"/>
  <c r="Y127" i="69" s="1"/>
  <c r="Y128" i="69" s="1"/>
  <c r="Y129" i="69" s="1"/>
  <c r="Y130" i="69" s="1"/>
  <c r="Y131" i="69" s="1"/>
  <c r="Y132" i="69" s="1"/>
  <c r="Y133" i="69" s="1"/>
  <c r="Y134" i="69" s="1"/>
  <c r="Y135" i="69" s="1"/>
  <c r="Y136" i="69" s="1"/>
  <c r="Y137" i="69" s="1"/>
  <c r="Y138" i="69" s="1"/>
  <c r="Y139" i="69" s="1"/>
  <c r="Y140" i="69" s="1"/>
  <c r="Y141" i="69" s="1"/>
  <c r="Y142" i="69" s="1"/>
  <c r="Y143" i="69" s="1"/>
  <c r="Y144" i="69" s="1"/>
  <c r="Y145" i="69" s="1"/>
  <c r="Y146" i="69" s="1"/>
  <c r="Y147" i="69" s="1"/>
  <c r="Y148" i="69" s="1"/>
  <c r="Y149" i="69" s="1"/>
  <c r="Y150" i="69" s="1"/>
  <c r="Y151" i="69" s="1"/>
  <c r="Y152" i="69" s="1"/>
  <c r="Y153" i="69" s="1"/>
  <c r="Y154" i="69" s="1"/>
  <c r="Y155" i="69" s="1"/>
  <c r="Y156" i="69" s="1"/>
  <c r="Y157" i="69" s="1"/>
  <c r="Y158" i="69" s="1"/>
  <c r="Y159" i="69" s="1"/>
  <c r="Y160" i="69" s="1"/>
  <c r="Y161" i="69" s="1"/>
  <c r="Y162" i="69" s="1"/>
  <c r="Y163" i="69" s="1"/>
  <c r="Y164" i="69" s="1"/>
  <c r="Y165" i="69" s="1"/>
  <c r="Y166" i="69" s="1"/>
  <c r="Y167" i="69" s="1"/>
  <c r="Y168" i="69" s="1"/>
  <c r="Y169" i="69" s="1"/>
  <c r="Y170" i="69" s="1"/>
  <c r="Y171" i="69" s="1"/>
  <c r="Y172" i="69" s="1"/>
  <c r="Y173" i="69" s="1"/>
  <c r="Y174" i="69" s="1"/>
  <c r="Y175" i="69" s="1"/>
  <c r="Y176" i="69" s="1"/>
  <c r="Y177" i="69" s="1"/>
  <c r="Y178" i="69" s="1"/>
  <c r="Y179" i="69" s="1"/>
  <c r="Y180" i="69" s="1"/>
  <c r="Y181" i="69" s="1"/>
  <c r="Y182" i="69" s="1"/>
  <c r="Y183" i="69" s="1"/>
  <c r="Y184" i="69" s="1"/>
  <c r="Y185" i="69" s="1"/>
  <c r="Y186" i="69" s="1"/>
  <c r="Y187" i="69" s="1"/>
  <c r="Y188" i="69" s="1"/>
  <c r="Y189" i="69" s="1"/>
  <c r="Y190" i="69" s="1"/>
  <c r="Y191" i="69" s="1"/>
  <c r="Y192" i="69" s="1"/>
  <c r="Y193" i="69" s="1"/>
  <c r="Y194" i="69" s="1"/>
  <c r="Y195" i="69" s="1"/>
  <c r="Y196" i="69" s="1"/>
  <c r="Y197" i="69" s="1"/>
  <c r="Y198" i="69" s="1"/>
  <c r="Y199" i="69" s="1"/>
  <c r="Y200" i="69" s="1"/>
  <c r="Y201" i="69" s="1"/>
  <c r="Y202" i="69" s="1"/>
  <c r="Y203" i="69" s="1"/>
  <c r="Y204" i="69" s="1"/>
  <c r="Y205" i="69" s="1"/>
  <c r="Y206" i="69" s="1"/>
  <c r="Y207" i="69" s="1"/>
  <c r="Y208" i="69" s="1"/>
  <c r="Y209" i="69" s="1"/>
  <c r="Y210" i="69" s="1"/>
  <c r="Y211" i="69" s="1"/>
  <c r="Y212" i="69" s="1"/>
  <c r="Y213" i="69" s="1"/>
  <c r="Y214" i="69" s="1"/>
  <c r="Y215" i="69" s="1"/>
  <c r="Y216" i="69" s="1"/>
  <c r="Y217" i="69" s="1"/>
  <c r="Y218" i="69" s="1"/>
  <c r="Y219" i="69" s="1"/>
  <c r="Y220" i="69" s="1"/>
  <c r="Y221" i="69" s="1"/>
  <c r="Y222" i="69" s="1"/>
  <c r="Y223" i="69" s="1"/>
  <c r="Y224" i="69" s="1"/>
  <c r="Y225" i="69" s="1"/>
  <c r="Y226" i="69" s="1"/>
  <c r="Y227" i="69" s="1"/>
  <c r="Y228" i="69" s="1"/>
  <c r="Y229" i="69" s="1"/>
  <c r="Y230" i="69" s="1"/>
  <c r="Y231" i="69" s="1"/>
  <c r="Y232" i="69" s="1"/>
  <c r="Y233" i="69" s="1"/>
  <c r="Y234" i="69" s="1"/>
  <c r="Y235" i="69" s="1"/>
  <c r="Y236" i="69" s="1"/>
  <c r="Y237" i="69" s="1"/>
  <c r="Y238" i="69" s="1"/>
  <c r="Y239" i="69" s="1"/>
  <c r="Y240" i="69" s="1"/>
  <c r="Y241" i="69" s="1"/>
  <c r="Y242" i="69" s="1"/>
  <c r="Y243" i="69" s="1"/>
  <c r="X12" i="69"/>
  <c r="X13" i="69" s="1"/>
  <c r="X14" i="69" s="1"/>
  <c r="X15" i="69" s="1"/>
  <c r="X16" i="69" s="1"/>
  <c r="X17" i="69" s="1"/>
  <c r="X18" i="69" s="1"/>
  <c r="X19" i="69" s="1"/>
  <c r="X20" i="69" s="1"/>
  <c r="X21" i="69" s="1"/>
  <c r="X22" i="69" s="1"/>
  <c r="X23" i="69" s="1"/>
  <c r="X24" i="69" s="1"/>
  <c r="X25" i="69" s="1"/>
  <c r="X26" i="69" s="1"/>
  <c r="X27" i="69" s="1"/>
  <c r="X28" i="69" s="1"/>
  <c r="X29" i="69" s="1"/>
  <c r="X30" i="69" s="1"/>
  <c r="X31" i="69" s="1"/>
  <c r="X32" i="69" s="1"/>
  <c r="X33" i="69" s="1"/>
  <c r="X34" i="69" s="1"/>
  <c r="X35" i="69" s="1"/>
  <c r="X36" i="69" s="1"/>
  <c r="X37" i="69" s="1"/>
  <c r="X38" i="69" s="1"/>
  <c r="X39" i="69" s="1"/>
  <c r="X40" i="69" s="1"/>
  <c r="X41" i="69" s="1"/>
  <c r="X42" i="69" s="1"/>
  <c r="X43" i="69" s="1"/>
  <c r="X44" i="69" s="1"/>
  <c r="X45" i="69" s="1"/>
  <c r="X46" i="69" s="1"/>
  <c r="X47" i="69" s="1"/>
  <c r="X48" i="69" s="1"/>
  <c r="X49" i="69" s="1"/>
  <c r="X50" i="69" s="1"/>
  <c r="X51" i="69" s="1"/>
  <c r="X52" i="69" s="1"/>
  <c r="X53" i="69" s="1"/>
  <c r="X54" i="69" s="1"/>
  <c r="X55" i="69" s="1"/>
  <c r="X56" i="69" s="1"/>
  <c r="X57" i="69" s="1"/>
  <c r="X58" i="69" s="1"/>
  <c r="X59" i="69" s="1"/>
  <c r="X60" i="69" s="1"/>
  <c r="X61" i="69" s="1"/>
  <c r="X62" i="69" s="1"/>
  <c r="X63" i="69" s="1"/>
  <c r="X64" i="69" s="1"/>
  <c r="X65" i="69" s="1"/>
  <c r="X66" i="69" s="1"/>
  <c r="X67" i="69" s="1"/>
  <c r="X68" i="69" s="1"/>
  <c r="X69" i="69" s="1"/>
  <c r="X70" i="69" s="1"/>
  <c r="X71" i="69" s="1"/>
  <c r="X72" i="69" s="1"/>
  <c r="X73" i="69" s="1"/>
  <c r="X74" i="69" s="1"/>
  <c r="X75" i="69" s="1"/>
  <c r="X76" i="69" s="1"/>
  <c r="X77" i="69" s="1"/>
  <c r="X78" i="69" s="1"/>
  <c r="X79" i="69" s="1"/>
  <c r="X80" i="69" s="1"/>
  <c r="X81" i="69" s="1"/>
  <c r="X82" i="69" s="1"/>
  <c r="X83" i="69" s="1"/>
  <c r="X84" i="69" s="1"/>
  <c r="X85" i="69" s="1"/>
  <c r="X86" i="69" s="1"/>
  <c r="X87" i="69" s="1"/>
  <c r="X88" i="69" s="1"/>
  <c r="X89" i="69" s="1"/>
  <c r="X90" i="69" s="1"/>
  <c r="X91" i="69" s="1"/>
  <c r="X92" i="69" s="1"/>
  <c r="X93" i="69" s="1"/>
  <c r="X94" i="69" s="1"/>
  <c r="X95" i="69" s="1"/>
  <c r="X96" i="69" s="1"/>
  <c r="X97" i="69" s="1"/>
  <c r="X98" i="69" s="1"/>
  <c r="X99" i="69" s="1"/>
  <c r="X100" i="69" s="1"/>
  <c r="X101" i="69" s="1"/>
  <c r="X102" i="69" s="1"/>
  <c r="X103" i="69" s="1"/>
  <c r="X104" i="69" s="1"/>
  <c r="X105" i="69" s="1"/>
  <c r="X106" i="69" s="1"/>
  <c r="X107" i="69" s="1"/>
  <c r="X108" i="69" s="1"/>
  <c r="X109" i="69" s="1"/>
  <c r="X110" i="69" s="1"/>
  <c r="X111" i="69" s="1"/>
  <c r="X112" i="69" s="1"/>
  <c r="X113" i="69" s="1"/>
  <c r="X114" i="69" s="1"/>
  <c r="X115" i="69" s="1"/>
  <c r="X116" i="69" s="1"/>
  <c r="X117" i="69" s="1"/>
  <c r="X118" i="69" s="1"/>
  <c r="X119" i="69" s="1"/>
  <c r="X120" i="69" s="1"/>
  <c r="X121" i="69" s="1"/>
  <c r="X122" i="69" s="1"/>
  <c r="X123" i="69" s="1"/>
  <c r="X124" i="69" s="1"/>
  <c r="X125" i="69" s="1"/>
  <c r="X126" i="69" s="1"/>
  <c r="X127" i="69" s="1"/>
  <c r="X128" i="69" s="1"/>
  <c r="X129" i="69" s="1"/>
  <c r="X130" i="69" s="1"/>
  <c r="X131" i="69" s="1"/>
  <c r="X132" i="69" s="1"/>
  <c r="X133" i="69" s="1"/>
  <c r="X134" i="69" s="1"/>
  <c r="X135" i="69" s="1"/>
  <c r="X136" i="69" s="1"/>
  <c r="X137" i="69" s="1"/>
  <c r="X138" i="69" s="1"/>
  <c r="X139" i="69" s="1"/>
  <c r="X140" i="69" s="1"/>
  <c r="X141" i="69" s="1"/>
  <c r="X142" i="69" s="1"/>
  <c r="X143" i="69" s="1"/>
  <c r="X144" i="69" s="1"/>
  <c r="X145" i="69" s="1"/>
  <c r="X146" i="69" s="1"/>
  <c r="X147" i="69" s="1"/>
  <c r="X148" i="69" s="1"/>
  <c r="X149" i="69" s="1"/>
  <c r="X150" i="69" s="1"/>
  <c r="X151" i="69" s="1"/>
  <c r="X152" i="69" s="1"/>
  <c r="X153" i="69" s="1"/>
  <c r="X154" i="69" s="1"/>
  <c r="X155" i="69" s="1"/>
  <c r="X156" i="69" s="1"/>
  <c r="X157" i="69" s="1"/>
  <c r="X158" i="69" s="1"/>
  <c r="X159" i="69" s="1"/>
  <c r="X160" i="69" s="1"/>
  <c r="X161" i="69" s="1"/>
  <c r="X162" i="69" s="1"/>
  <c r="X163" i="69" s="1"/>
  <c r="X164" i="69" s="1"/>
  <c r="X165" i="69" s="1"/>
  <c r="X166" i="69" s="1"/>
  <c r="X167" i="69" s="1"/>
  <c r="X168" i="69" s="1"/>
  <c r="X169" i="69" s="1"/>
  <c r="X170" i="69" s="1"/>
  <c r="X171" i="69" s="1"/>
  <c r="X172" i="69" s="1"/>
  <c r="X173" i="69" s="1"/>
  <c r="X174" i="69" s="1"/>
  <c r="X175" i="69" s="1"/>
  <c r="X176" i="69" s="1"/>
  <c r="X177" i="69" s="1"/>
  <c r="X178" i="69" s="1"/>
  <c r="X179" i="69" s="1"/>
  <c r="X180" i="69" s="1"/>
  <c r="X181" i="69" s="1"/>
  <c r="X182" i="69" s="1"/>
  <c r="X183" i="69" s="1"/>
  <c r="X184" i="69" s="1"/>
  <c r="X185" i="69" s="1"/>
  <c r="X186" i="69" s="1"/>
  <c r="X187" i="69" s="1"/>
  <c r="X188" i="69" s="1"/>
  <c r="X189" i="69" s="1"/>
  <c r="X190" i="69" s="1"/>
  <c r="X191" i="69" s="1"/>
  <c r="X192" i="69" s="1"/>
  <c r="X193" i="69" s="1"/>
  <c r="X194" i="69" s="1"/>
  <c r="X195" i="69" s="1"/>
  <c r="X196" i="69" s="1"/>
  <c r="X197" i="69" s="1"/>
  <c r="X198" i="69" s="1"/>
  <c r="X199" i="69" s="1"/>
  <c r="X200" i="69" s="1"/>
  <c r="X201" i="69" s="1"/>
  <c r="X202" i="69" s="1"/>
  <c r="X203" i="69" s="1"/>
  <c r="X204" i="69" s="1"/>
  <c r="X205" i="69" s="1"/>
  <c r="X206" i="69" s="1"/>
  <c r="X207" i="69" s="1"/>
  <c r="X208" i="69" s="1"/>
  <c r="X209" i="69" s="1"/>
  <c r="X210" i="69" s="1"/>
  <c r="X211" i="69" s="1"/>
  <c r="X212" i="69" s="1"/>
  <c r="X213" i="69" s="1"/>
  <c r="X214" i="69" s="1"/>
  <c r="X215" i="69" s="1"/>
  <c r="X216" i="69" s="1"/>
  <c r="X217" i="69" s="1"/>
  <c r="X218" i="69" s="1"/>
  <c r="X219" i="69" s="1"/>
  <c r="X220" i="69" s="1"/>
  <c r="X221" i="69" s="1"/>
  <c r="X222" i="69" s="1"/>
  <c r="X223" i="69" s="1"/>
  <c r="X224" i="69" s="1"/>
  <c r="X225" i="69" s="1"/>
  <c r="X226" i="69" s="1"/>
  <c r="X227" i="69" s="1"/>
  <c r="X228" i="69" s="1"/>
  <c r="X229" i="69" s="1"/>
  <c r="X230" i="69" s="1"/>
  <c r="X231" i="69" s="1"/>
  <c r="X232" i="69" s="1"/>
  <c r="X233" i="69" s="1"/>
  <c r="X234" i="69" s="1"/>
  <c r="X235" i="69" s="1"/>
  <c r="X236" i="69" s="1"/>
  <c r="X237" i="69" s="1"/>
  <c r="X238" i="69" s="1"/>
  <c r="X239" i="69" s="1"/>
  <c r="X240" i="69" s="1"/>
  <c r="X241" i="69" s="1"/>
  <c r="X242" i="69" s="1"/>
  <c r="X243" i="69" s="1"/>
  <c r="W12" i="69"/>
  <c r="W13" i="69" s="1"/>
  <c r="W14" i="69" s="1"/>
  <c r="W15" i="69" s="1"/>
  <c r="W16" i="69" s="1"/>
  <c r="W17" i="69" s="1"/>
  <c r="W18" i="69" s="1"/>
  <c r="W19" i="69" s="1"/>
  <c r="W20" i="69" s="1"/>
  <c r="W21" i="69" s="1"/>
  <c r="W22" i="69" s="1"/>
  <c r="W23" i="69" s="1"/>
  <c r="W24" i="69" s="1"/>
  <c r="W25" i="69" s="1"/>
  <c r="W26" i="69" s="1"/>
  <c r="W27" i="69" s="1"/>
  <c r="W28" i="69" s="1"/>
  <c r="W29" i="69" s="1"/>
  <c r="W30" i="69" s="1"/>
  <c r="W31" i="69" s="1"/>
  <c r="W32" i="69" s="1"/>
  <c r="W33" i="69" s="1"/>
  <c r="W34" i="69" s="1"/>
  <c r="W35" i="69" s="1"/>
  <c r="W36" i="69" s="1"/>
  <c r="W37" i="69" s="1"/>
  <c r="W38" i="69" s="1"/>
  <c r="W39" i="69" s="1"/>
  <c r="W40" i="69" s="1"/>
  <c r="W41" i="69" s="1"/>
  <c r="W42" i="69" s="1"/>
  <c r="W43" i="69" s="1"/>
  <c r="W44" i="69" s="1"/>
  <c r="W45" i="69" s="1"/>
  <c r="W46" i="69" s="1"/>
  <c r="W47" i="69" s="1"/>
  <c r="W48" i="69" s="1"/>
  <c r="W49" i="69" s="1"/>
  <c r="W50" i="69" s="1"/>
  <c r="W51" i="69" s="1"/>
  <c r="W52" i="69" s="1"/>
  <c r="W53" i="69" s="1"/>
  <c r="W54" i="69" s="1"/>
  <c r="W55" i="69" s="1"/>
  <c r="W56" i="69" s="1"/>
  <c r="W57" i="69" s="1"/>
  <c r="W58" i="69" s="1"/>
  <c r="W59" i="69" s="1"/>
  <c r="W60" i="69" s="1"/>
  <c r="W61" i="69" s="1"/>
  <c r="W62" i="69" s="1"/>
  <c r="W63" i="69" s="1"/>
  <c r="W64" i="69" s="1"/>
  <c r="W65" i="69" s="1"/>
  <c r="W66" i="69" s="1"/>
  <c r="W67" i="69" s="1"/>
  <c r="W68" i="69" s="1"/>
  <c r="W69" i="69" s="1"/>
  <c r="W70" i="69" s="1"/>
  <c r="W71" i="69" s="1"/>
  <c r="W72" i="69" s="1"/>
  <c r="W73" i="69" s="1"/>
  <c r="W74" i="69" s="1"/>
  <c r="W75" i="69" s="1"/>
  <c r="W76" i="69" s="1"/>
  <c r="W77" i="69" s="1"/>
  <c r="W78" i="69" s="1"/>
  <c r="W79" i="69" s="1"/>
  <c r="W80" i="69" s="1"/>
  <c r="W81" i="69" s="1"/>
  <c r="W82" i="69" s="1"/>
  <c r="W83" i="69" s="1"/>
  <c r="W84" i="69" s="1"/>
  <c r="W85" i="69" s="1"/>
  <c r="W86" i="69" s="1"/>
  <c r="W87" i="69" s="1"/>
  <c r="W88" i="69" s="1"/>
  <c r="W89" i="69" s="1"/>
  <c r="W90" i="69" s="1"/>
  <c r="W91" i="69" s="1"/>
  <c r="W92" i="69" s="1"/>
  <c r="W93" i="69" s="1"/>
  <c r="W94" i="69" s="1"/>
  <c r="W95" i="69" s="1"/>
  <c r="W96" i="69" s="1"/>
  <c r="W97" i="69" s="1"/>
  <c r="W98" i="69" s="1"/>
  <c r="W99" i="69" s="1"/>
  <c r="W100" i="69" s="1"/>
  <c r="W101" i="69" s="1"/>
  <c r="W102" i="69" s="1"/>
  <c r="W103" i="69" s="1"/>
  <c r="W104" i="69" s="1"/>
  <c r="W105" i="69" s="1"/>
  <c r="W106" i="69" s="1"/>
  <c r="W107" i="69" s="1"/>
  <c r="W108" i="69" s="1"/>
  <c r="W109" i="69" s="1"/>
  <c r="W110" i="69" s="1"/>
  <c r="W111" i="69" s="1"/>
  <c r="W112" i="69" s="1"/>
  <c r="W113" i="69" s="1"/>
  <c r="W114" i="69" s="1"/>
  <c r="W115" i="69" s="1"/>
  <c r="W116" i="69" s="1"/>
  <c r="W117" i="69" s="1"/>
  <c r="W118" i="69" s="1"/>
  <c r="W119" i="69" s="1"/>
  <c r="W120" i="69" s="1"/>
  <c r="W121" i="69" s="1"/>
  <c r="W122" i="69" s="1"/>
  <c r="W123" i="69" s="1"/>
  <c r="W124" i="69" s="1"/>
  <c r="W125" i="69" s="1"/>
  <c r="W126" i="69" s="1"/>
  <c r="W127" i="69" s="1"/>
  <c r="W128" i="69" s="1"/>
  <c r="W129" i="69" s="1"/>
  <c r="W130" i="69" s="1"/>
  <c r="W131" i="69" s="1"/>
  <c r="W132" i="69" s="1"/>
  <c r="W133" i="69" s="1"/>
  <c r="W134" i="69" s="1"/>
  <c r="W135" i="69" s="1"/>
  <c r="W136" i="69" s="1"/>
  <c r="W137" i="69" s="1"/>
  <c r="W138" i="69" s="1"/>
  <c r="W139" i="69" s="1"/>
  <c r="W140" i="69" s="1"/>
  <c r="W141" i="69" s="1"/>
  <c r="W142" i="69" s="1"/>
  <c r="W143" i="69" s="1"/>
  <c r="W144" i="69" s="1"/>
  <c r="W145" i="69" s="1"/>
  <c r="W146" i="69" s="1"/>
  <c r="W147" i="69" s="1"/>
  <c r="W148" i="69" s="1"/>
  <c r="W149" i="69" s="1"/>
  <c r="W150" i="69" s="1"/>
  <c r="W151" i="69" s="1"/>
  <c r="W152" i="69" s="1"/>
  <c r="W153" i="69" s="1"/>
  <c r="W154" i="69" s="1"/>
  <c r="W155" i="69" s="1"/>
  <c r="W156" i="69" s="1"/>
  <c r="W157" i="69" s="1"/>
  <c r="W158" i="69" s="1"/>
  <c r="W159" i="69" s="1"/>
  <c r="W160" i="69" s="1"/>
  <c r="W161" i="69" s="1"/>
  <c r="W162" i="69" s="1"/>
  <c r="W163" i="69" s="1"/>
  <c r="W164" i="69" s="1"/>
  <c r="W165" i="69" s="1"/>
  <c r="W166" i="69" s="1"/>
  <c r="W167" i="69" s="1"/>
  <c r="W168" i="69" s="1"/>
  <c r="W169" i="69" s="1"/>
  <c r="W170" i="69" s="1"/>
  <c r="W171" i="69" s="1"/>
  <c r="W172" i="69" s="1"/>
  <c r="W173" i="69" s="1"/>
  <c r="W174" i="69" s="1"/>
  <c r="W175" i="69" s="1"/>
  <c r="W176" i="69" s="1"/>
  <c r="W177" i="69" s="1"/>
  <c r="W178" i="69" s="1"/>
  <c r="W179" i="69" s="1"/>
  <c r="W180" i="69" s="1"/>
  <c r="W181" i="69" s="1"/>
  <c r="W182" i="69" s="1"/>
  <c r="W183" i="69" s="1"/>
  <c r="W184" i="69" s="1"/>
  <c r="W185" i="69" s="1"/>
  <c r="W186" i="69" s="1"/>
  <c r="W187" i="69" s="1"/>
  <c r="W188" i="69" s="1"/>
  <c r="W189" i="69" s="1"/>
  <c r="W190" i="69" s="1"/>
  <c r="W191" i="69" s="1"/>
  <c r="W192" i="69" s="1"/>
  <c r="W193" i="69" s="1"/>
  <c r="W194" i="69" s="1"/>
  <c r="W195" i="69" s="1"/>
  <c r="W196" i="69" s="1"/>
  <c r="W197" i="69" s="1"/>
  <c r="W198" i="69" s="1"/>
  <c r="W199" i="69" s="1"/>
  <c r="W200" i="69" s="1"/>
  <c r="W201" i="69" s="1"/>
  <c r="W202" i="69" s="1"/>
  <c r="W203" i="69" s="1"/>
  <c r="W204" i="69" s="1"/>
  <c r="W205" i="69" s="1"/>
  <c r="W206" i="69" s="1"/>
  <c r="W207" i="69" s="1"/>
  <c r="W208" i="69" s="1"/>
  <c r="W209" i="69" s="1"/>
  <c r="W210" i="69" s="1"/>
  <c r="W211" i="69" s="1"/>
  <c r="W212" i="69" s="1"/>
  <c r="W213" i="69" s="1"/>
  <c r="W214" i="69" s="1"/>
  <c r="W215" i="69" s="1"/>
  <c r="W216" i="69" s="1"/>
  <c r="W217" i="69" s="1"/>
  <c r="W218" i="69" s="1"/>
  <c r="W219" i="69" s="1"/>
  <c r="W220" i="69" s="1"/>
  <c r="W221" i="69" s="1"/>
  <c r="W222" i="69" s="1"/>
  <c r="W223" i="69" s="1"/>
  <c r="W224" i="69" s="1"/>
  <c r="W225" i="69" s="1"/>
  <c r="W226" i="69" s="1"/>
  <c r="W227" i="69" s="1"/>
  <c r="W228" i="69" s="1"/>
  <c r="W229" i="69" s="1"/>
  <c r="W230" i="69" s="1"/>
  <c r="W231" i="69" s="1"/>
  <c r="W232" i="69" s="1"/>
  <c r="W233" i="69" s="1"/>
  <c r="W234" i="69" s="1"/>
  <c r="W235" i="69" s="1"/>
  <c r="W236" i="69" s="1"/>
  <c r="W237" i="69" s="1"/>
  <c r="W238" i="69" s="1"/>
  <c r="W239" i="69" s="1"/>
  <c r="W240" i="69" s="1"/>
  <c r="W241" i="69" s="1"/>
  <c r="W242" i="69" s="1"/>
  <c r="W243" i="69" s="1"/>
  <c r="V12" i="69"/>
  <c r="U12" i="69"/>
  <c r="U13" i="69" s="1"/>
  <c r="U14" i="69" s="1"/>
  <c r="U15" i="69" s="1"/>
  <c r="U16" i="69" s="1"/>
  <c r="U17" i="69" s="1"/>
  <c r="U18" i="69" s="1"/>
  <c r="U19" i="69" s="1"/>
  <c r="U20" i="69" s="1"/>
  <c r="U21" i="69" s="1"/>
  <c r="U22" i="69" s="1"/>
  <c r="U23" i="69" s="1"/>
  <c r="U24" i="69" s="1"/>
  <c r="U25" i="69" s="1"/>
  <c r="U26" i="69" s="1"/>
  <c r="U27" i="69" s="1"/>
  <c r="U28" i="69" s="1"/>
  <c r="U29" i="69" s="1"/>
  <c r="U30" i="69" s="1"/>
  <c r="U31" i="69" s="1"/>
  <c r="U32" i="69" s="1"/>
  <c r="U33" i="69" s="1"/>
  <c r="U34" i="69" s="1"/>
  <c r="U35" i="69" s="1"/>
  <c r="U36" i="69" s="1"/>
  <c r="U37" i="69" s="1"/>
  <c r="U38" i="69" s="1"/>
  <c r="U39" i="69" s="1"/>
  <c r="U40" i="69" s="1"/>
  <c r="U41" i="69" s="1"/>
  <c r="U42" i="69" s="1"/>
  <c r="U43" i="69" s="1"/>
  <c r="U44" i="69" s="1"/>
  <c r="U45" i="69" s="1"/>
  <c r="U46" i="69" s="1"/>
  <c r="U47" i="69" s="1"/>
  <c r="U48" i="69" s="1"/>
  <c r="U49" i="69" s="1"/>
  <c r="U50" i="69" s="1"/>
  <c r="U51" i="69" s="1"/>
  <c r="U52" i="69" s="1"/>
  <c r="U53" i="69" s="1"/>
  <c r="U54" i="69" s="1"/>
  <c r="U55" i="69" s="1"/>
  <c r="U56" i="69" s="1"/>
  <c r="U57" i="69" s="1"/>
  <c r="U58" i="69" s="1"/>
  <c r="U59" i="69" s="1"/>
  <c r="U60" i="69" s="1"/>
  <c r="U61" i="69" s="1"/>
  <c r="U62" i="69" s="1"/>
  <c r="U63" i="69" s="1"/>
  <c r="U64" i="69" s="1"/>
  <c r="U65" i="69" s="1"/>
  <c r="U66" i="69" s="1"/>
  <c r="U67" i="69" s="1"/>
  <c r="U68" i="69" s="1"/>
  <c r="U69" i="69" s="1"/>
  <c r="U70" i="69" s="1"/>
  <c r="U71" i="69" s="1"/>
  <c r="U72" i="69" s="1"/>
  <c r="U73" i="69" s="1"/>
  <c r="U74" i="69" s="1"/>
  <c r="U75" i="69" s="1"/>
  <c r="U76" i="69" s="1"/>
  <c r="U77" i="69" s="1"/>
  <c r="U78" i="69" s="1"/>
  <c r="U79" i="69" s="1"/>
  <c r="U80" i="69" s="1"/>
  <c r="U81" i="69" s="1"/>
  <c r="U82" i="69" s="1"/>
  <c r="U83" i="69" s="1"/>
  <c r="U84" i="69" s="1"/>
  <c r="U85" i="69" s="1"/>
  <c r="U86" i="69" s="1"/>
  <c r="U87" i="69" s="1"/>
  <c r="U88" i="69" s="1"/>
  <c r="U89" i="69" s="1"/>
  <c r="U90" i="69" s="1"/>
  <c r="U91" i="69" s="1"/>
  <c r="U92" i="69" s="1"/>
  <c r="U93" i="69" s="1"/>
  <c r="U94" i="69" s="1"/>
  <c r="U95" i="69" s="1"/>
  <c r="U96" i="69" s="1"/>
  <c r="U97" i="69" s="1"/>
  <c r="U98" i="69" s="1"/>
  <c r="U99" i="69" s="1"/>
  <c r="U100" i="69" s="1"/>
  <c r="U101" i="69" s="1"/>
  <c r="U102" i="69" s="1"/>
  <c r="U103" i="69" s="1"/>
  <c r="U104" i="69" s="1"/>
  <c r="U105" i="69" s="1"/>
  <c r="U106" i="69" s="1"/>
  <c r="U107" i="69" s="1"/>
  <c r="U108" i="69" s="1"/>
  <c r="U109" i="69" s="1"/>
  <c r="U110" i="69" s="1"/>
  <c r="U111" i="69" s="1"/>
  <c r="U112" i="69" s="1"/>
  <c r="U113" i="69" s="1"/>
  <c r="U114" i="69" s="1"/>
  <c r="U115" i="69" s="1"/>
  <c r="U116" i="69" s="1"/>
  <c r="U117" i="69" s="1"/>
  <c r="U118" i="69" s="1"/>
  <c r="U119" i="69" s="1"/>
  <c r="U120" i="69" s="1"/>
  <c r="U121" i="69" s="1"/>
  <c r="U122" i="69" s="1"/>
  <c r="U123" i="69" s="1"/>
  <c r="U124" i="69" s="1"/>
  <c r="U125" i="69" s="1"/>
  <c r="U126" i="69" s="1"/>
  <c r="U127" i="69" s="1"/>
  <c r="U128" i="69" s="1"/>
  <c r="U129" i="69" s="1"/>
  <c r="U130" i="69" s="1"/>
  <c r="U131" i="69" s="1"/>
  <c r="U132" i="69" s="1"/>
  <c r="U133" i="69" s="1"/>
  <c r="U134" i="69" s="1"/>
  <c r="U135" i="69" s="1"/>
  <c r="U136" i="69" s="1"/>
  <c r="U137" i="69" s="1"/>
  <c r="U138" i="69" s="1"/>
  <c r="U139" i="69" s="1"/>
  <c r="U140" i="69" s="1"/>
  <c r="U141" i="69" s="1"/>
  <c r="U142" i="69" s="1"/>
  <c r="U143" i="69" s="1"/>
  <c r="U144" i="69" s="1"/>
  <c r="U145" i="69" s="1"/>
  <c r="U146" i="69" s="1"/>
  <c r="U147" i="69" s="1"/>
  <c r="U148" i="69" s="1"/>
  <c r="U149" i="69" s="1"/>
  <c r="U150" i="69" s="1"/>
  <c r="U151" i="69" s="1"/>
  <c r="U152" i="69" s="1"/>
  <c r="U153" i="69" s="1"/>
  <c r="U154" i="69" s="1"/>
  <c r="U155" i="69" s="1"/>
  <c r="U156" i="69" s="1"/>
  <c r="U157" i="69" s="1"/>
  <c r="U158" i="69" s="1"/>
  <c r="U159" i="69" s="1"/>
  <c r="U160" i="69" s="1"/>
  <c r="U161" i="69" s="1"/>
  <c r="U162" i="69" s="1"/>
  <c r="U163" i="69" s="1"/>
  <c r="U164" i="69" s="1"/>
  <c r="U165" i="69" s="1"/>
  <c r="U166" i="69" s="1"/>
  <c r="U167" i="69" s="1"/>
  <c r="U168" i="69" s="1"/>
  <c r="U169" i="69" s="1"/>
  <c r="U170" i="69" s="1"/>
  <c r="U171" i="69" s="1"/>
  <c r="U172" i="69" s="1"/>
  <c r="U173" i="69" s="1"/>
  <c r="U174" i="69" s="1"/>
  <c r="U175" i="69" s="1"/>
  <c r="U176" i="69" s="1"/>
  <c r="U177" i="69" s="1"/>
  <c r="U178" i="69" s="1"/>
  <c r="U179" i="69" s="1"/>
  <c r="U180" i="69" s="1"/>
  <c r="U181" i="69" s="1"/>
  <c r="U182" i="69" s="1"/>
  <c r="U183" i="69" s="1"/>
  <c r="U184" i="69" s="1"/>
  <c r="U185" i="69" s="1"/>
  <c r="U186" i="69" s="1"/>
  <c r="U187" i="69" s="1"/>
  <c r="U188" i="69" s="1"/>
  <c r="U189" i="69" s="1"/>
  <c r="U190" i="69" s="1"/>
  <c r="U191" i="69" s="1"/>
  <c r="U192" i="69" s="1"/>
  <c r="U193" i="69" s="1"/>
  <c r="U194" i="69" s="1"/>
  <c r="U195" i="69" s="1"/>
  <c r="U196" i="69" s="1"/>
  <c r="U197" i="69" s="1"/>
  <c r="U198" i="69" s="1"/>
  <c r="U199" i="69" s="1"/>
  <c r="U200" i="69" s="1"/>
  <c r="U201" i="69" s="1"/>
  <c r="U202" i="69" s="1"/>
  <c r="U203" i="69" s="1"/>
  <c r="U204" i="69" s="1"/>
  <c r="U205" i="69" s="1"/>
  <c r="U206" i="69" s="1"/>
  <c r="U207" i="69" s="1"/>
  <c r="U208" i="69" s="1"/>
  <c r="U209" i="69" s="1"/>
  <c r="U210" i="69" s="1"/>
  <c r="U211" i="69" s="1"/>
  <c r="U212" i="69" s="1"/>
  <c r="U213" i="69" s="1"/>
  <c r="U214" i="69" s="1"/>
  <c r="U215" i="69" s="1"/>
  <c r="U216" i="69" s="1"/>
  <c r="U217" i="69" s="1"/>
  <c r="U218" i="69" s="1"/>
  <c r="U219" i="69" s="1"/>
  <c r="U220" i="69" s="1"/>
  <c r="U221" i="69" s="1"/>
  <c r="U222" i="69" s="1"/>
  <c r="U223" i="69" s="1"/>
  <c r="U224" i="69" s="1"/>
  <c r="U225" i="69" s="1"/>
  <c r="U226" i="69" s="1"/>
  <c r="U227" i="69" s="1"/>
  <c r="U228" i="69" s="1"/>
  <c r="U229" i="69" s="1"/>
  <c r="U230" i="69" s="1"/>
  <c r="U231" i="69" s="1"/>
  <c r="U232" i="69" s="1"/>
  <c r="U233" i="69" s="1"/>
  <c r="U234" i="69" s="1"/>
  <c r="U235" i="69" s="1"/>
  <c r="U236" i="69" s="1"/>
  <c r="U237" i="69" s="1"/>
  <c r="U238" i="69" s="1"/>
  <c r="U239" i="69" s="1"/>
  <c r="U240" i="69" s="1"/>
  <c r="U241" i="69" s="1"/>
  <c r="U242" i="69" s="1"/>
  <c r="U243" i="69" s="1"/>
  <c r="T12" i="69"/>
  <c r="T13" i="69" s="1"/>
  <c r="S12" i="69"/>
  <c r="S13" i="69" s="1"/>
  <c r="R12" i="69"/>
  <c r="R13" i="69" s="1"/>
  <c r="Q12" i="69"/>
  <c r="Q13" i="69" s="1"/>
  <c r="P12" i="69"/>
  <c r="P13" i="69" s="1"/>
  <c r="D12" i="69"/>
  <c r="D13" i="69" s="1"/>
  <c r="D14" i="69" s="1"/>
  <c r="D15" i="69" s="1"/>
  <c r="D16" i="69" s="1"/>
  <c r="D17" i="69" s="1"/>
  <c r="D18" i="69" s="1"/>
  <c r="D19" i="69" s="1"/>
  <c r="D20" i="69" s="1"/>
  <c r="D21" i="69" s="1"/>
  <c r="D22" i="69" s="1"/>
  <c r="D23" i="69" s="1"/>
  <c r="D24" i="69" s="1"/>
  <c r="D25" i="69" s="1"/>
  <c r="D26" i="69" s="1"/>
  <c r="D27" i="69" s="1"/>
  <c r="D28" i="69" s="1"/>
  <c r="D29" i="69" s="1"/>
  <c r="D30" i="69" s="1"/>
  <c r="D31" i="69" s="1"/>
  <c r="D32" i="69" s="1"/>
  <c r="D33" i="69" s="1"/>
  <c r="D34" i="69" s="1"/>
  <c r="D35" i="69" s="1"/>
  <c r="D36" i="69" s="1"/>
  <c r="D37" i="69" s="1"/>
  <c r="D38" i="69" s="1"/>
  <c r="D39" i="69" s="1"/>
  <c r="D40" i="69" s="1"/>
  <c r="D41" i="69" s="1"/>
  <c r="D42" i="69" s="1"/>
  <c r="D43" i="69" s="1"/>
  <c r="D44" i="69" s="1"/>
  <c r="D45" i="69" s="1"/>
  <c r="D46" i="69" s="1"/>
  <c r="D47" i="69" s="1"/>
  <c r="D48" i="69" s="1"/>
  <c r="D49" i="69" s="1"/>
  <c r="D50" i="69" s="1"/>
  <c r="D51" i="69" s="1"/>
  <c r="D52" i="69" s="1"/>
  <c r="D53" i="69" s="1"/>
  <c r="D54" i="69" s="1"/>
  <c r="D55" i="69" s="1"/>
  <c r="C12" i="69"/>
  <c r="C13" i="69" s="1"/>
  <c r="B12" i="69"/>
  <c r="B13" i="69" s="1"/>
  <c r="B14" i="69" s="1"/>
  <c r="B15" i="69" s="1"/>
  <c r="B16" i="69" s="1"/>
  <c r="B17" i="69" s="1"/>
  <c r="B18" i="69" s="1"/>
  <c r="B19" i="69" s="1"/>
  <c r="B20" i="69" s="1"/>
  <c r="B21" i="69" s="1"/>
  <c r="B22" i="69" s="1"/>
  <c r="B23" i="69" s="1"/>
  <c r="B24" i="69" s="1"/>
  <c r="B25" i="69" s="1"/>
  <c r="B26" i="69" s="1"/>
  <c r="B27" i="69" s="1"/>
  <c r="B28" i="69" s="1"/>
  <c r="B29" i="69" s="1"/>
  <c r="B30" i="69" s="1"/>
  <c r="B31" i="69" s="1"/>
  <c r="B32" i="69" s="1"/>
  <c r="B33" i="69" s="1"/>
  <c r="B34" i="69" s="1"/>
  <c r="B35" i="69" s="1"/>
  <c r="B36" i="69" s="1"/>
  <c r="B37" i="69" s="1"/>
  <c r="B38" i="69" s="1"/>
  <c r="B39" i="69" s="1"/>
  <c r="B40" i="69" s="1"/>
  <c r="B41" i="69" s="1"/>
  <c r="B42" i="69" s="1"/>
  <c r="B43" i="69" s="1"/>
  <c r="B44" i="69" s="1"/>
  <c r="B45" i="69" s="1"/>
  <c r="B46" i="69" s="1"/>
  <c r="B47" i="69" s="1"/>
  <c r="B48" i="69" s="1"/>
  <c r="B49" i="69" s="1"/>
  <c r="B50" i="69" s="1"/>
  <c r="B51" i="69" s="1"/>
  <c r="B52" i="69" s="1"/>
  <c r="B53" i="69" s="1"/>
  <c r="B54" i="69" s="1"/>
  <c r="B55" i="69" s="1"/>
  <c r="B56" i="69" s="1"/>
  <c r="B57" i="69" s="1"/>
  <c r="B58" i="69" s="1"/>
  <c r="B59" i="69" s="1"/>
  <c r="B60" i="69" s="1"/>
  <c r="B61" i="69" s="1"/>
  <c r="B62" i="69" s="1"/>
  <c r="B63" i="69" s="1"/>
  <c r="B64" i="69" s="1"/>
  <c r="B65" i="69" s="1"/>
  <c r="B66" i="69" s="1"/>
  <c r="B67" i="69" s="1"/>
  <c r="B68" i="69" s="1"/>
  <c r="B69" i="69" s="1"/>
  <c r="B70" i="69" s="1"/>
  <c r="B71" i="69" s="1"/>
  <c r="B72" i="69" s="1"/>
  <c r="B73" i="69" s="1"/>
  <c r="B74" i="69" s="1"/>
  <c r="B75" i="69" s="1"/>
  <c r="B76" i="69" s="1"/>
  <c r="B77" i="69" s="1"/>
  <c r="B78" i="69" s="1"/>
  <c r="B79" i="69" s="1"/>
  <c r="B80" i="69" s="1"/>
  <c r="B81" i="69" s="1"/>
  <c r="B82" i="69" s="1"/>
  <c r="B83" i="69" s="1"/>
  <c r="B84" i="69" s="1"/>
  <c r="B85" i="69" s="1"/>
  <c r="B86" i="69" s="1"/>
  <c r="B87" i="69" s="1"/>
  <c r="B88" i="69" s="1"/>
  <c r="B89" i="69" s="1"/>
  <c r="B90" i="69" s="1"/>
  <c r="B91" i="69" s="1"/>
  <c r="B92" i="69" s="1"/>
  <c r="B93" i="69" s="1"/>
  <c r="B94" i="69" s="1"/>
  <c r="B95" i="69" s="1"/>
  <c r="B96" i="69" s="1"/>
  <c r="B97" i="69" s="1"/>
  <c r="B98" i="69" s="1"/>
  <c r="B99" i="69" s="1"/>
  <c r="B100" i="69" s="1"/>
  <c r="B101" i="69" s="1"/>
  <c r="B102" i="69" s="1"/>
  <c r="B103" i="69" s="1"/>
  <c r="B104" i="69" s="1"/>
  <c r="B105" i="69" s="1"/>
  <c r="B106" i="69" s="1"/>
  <c r="B107" i="69" s="1"/>
  <c r="B108" i="69" s="1"/>
  <c r="B109" i="69" s="1"/>
  <c r="B110" i="69" s="1"/>
  <c r="B111" i="69" s="1"/>
  <c r="B112" i="69" s="1"/>
  <c r="B113" i="69" s="1"/>
  <c r="B114" i="69" s="1"/>
  <c r="B115" i="69" s="1"/>
  <c r="B116" i="69" s="1"/>
  <c r="B117" i="69" s="1"/>
  <c r="B118" i="69" s="1"/>
  <c r="B119" i="69" s="1"/>
  <c r="B120" i="69" s="1"/>
  <c r="B121" i="69" s="1"/>
  <c r="B122" i="69" s="1"/>
  <c r="B123" i="69" s="1"/>
  <c r="B124" i="69" s="1"/>
  <c r="B125" i="69" s="1"/>
  <c r="B126" i="69" s="1"/>
  <c r="B127" i="69" s="1"/>
  <c r="B128" i="69" s="1"/>
  <c r="B129" i="69" s="1"/>
  <c r="B130" i="69" s="1"/>
  <c r="B131" i="69" s="1"/>
  <c r="B132" i="69" s="1"/>
  <c r="B133" i="69" s="1"/>
  <c r="B134" i="69" s="1"/>
  <c r="B135" i="69" s="1"/>
  <c r="B136" i="69" s="1"/>
  <c r="B137" i="69" s="1"/>
  <c r="B138" i="69" s="1"/>
  <c r="B139" i="69" s="1"/>
  <c r="B140" i="69" s="1"/>
  <c r="B141" i="69" s="1"/>
  <c r="B142" i="69" s="1"/>
  <c r="B143" i="69" s="1"/>
  <c r="B144" i="69" s="1"/>
  <c r="B145" i="69" s="1"/>
  <c r="B146" i="69" s="1"/>
  <c r="B147" i="69" s="1"/>
  <c r="B148" i="69" s="1"/>
  <c r="B149" i="69" s="1"/>
  <c r="B150" i="69" s="1"/>
  <c r="B151" i="69" s="1"/>
  <c r="B152" i="69" s="1"/>
  <c r="B153" i="69" s="1"/>
  <c r="B154" i="69" s="1"/>
  <c r="B155" i="69" s="1"/>
  <c r="B156" i="69" s="1"/>
  <c r="B157" i="69" s="1"/>
  <c r="B158" i="69" s="1"/>
  <c r="B159" i="69" s="1"/>
  <c r="B160" i="69" s="1"/>
  <c r="B161" i="69" s="1"/>
  <c r="B162" i="69" s="1"/>
  <c r="B163" i="69" s="1"/>
  <c r="B164" i="69" s="1"/>
  <c r="B165" i="69" s="1"/>
  <c r="B166" i="69" s="1"/>
  <c r="B167" i="69" s="1"/>
  <c r="B168" i="69" s="1"/>
  <c r="B169" i="69" s="1"/>
  <c r="B170" i="69" s="1"/>
  <c r="B171" i="69" s="1"/>
  <c r="B172" i="69" s="1"/>
  <c r="B173" i="69" s="1"/>
  <c r="B174" i="69" s="1"/>
  <c r="B175" i="69" s="1"/>
  <c r="B176" i="69" s="1"/>
  <c r="B177" i="69" s="1"/>
  <c r="B178" i="69" s="1"/>
  <c r="B179" i="69" s="1"/>
  <c r="B180" i="69" s="1"/>
  <c r="B181" i="69" s="1"/>
  <c r="B182" i="69" s="1"/>
  <c r="B183" i="69" s="1"/>
  <c r="B184" i="69" s="1"/>
  <c r="B185" i="69" s="1"/>
  <c r="B186" i="69" s="1"/>
  <c r="B187" i="69" s="1"/>
  <c r="B188" i="69" s="1"/>
  <c r="B189" i="69" s="1"/>
  <c r="B190" i="69" s="1"/>
  <c r="B191" i="69" s="1"/>
  <c r="B192" i="69" s="1"/>
  <c r="B193" i="69" s="1"/>
  <c r="B194" i="69" s="1"/>
  <c r="B195" i="69" s="1"/>
  <c r="B196" i="69" s="1"/>
  <c r="B197" i="69" s="1"/>
  <c r="B198" i="69" s="1"/>
  <c r="B199" i="69" s="1"/>
  <c r="B200" i="69" s="1"/>
  <c r="B201" i="69" s="1"/>
  <c r="B202" i="69" s="1"/>
  <c r="B203" i="69" s="1"/>
  <c r="B204" i="69" s="1"/>
  <c r="B205" i="69" s="1"/>
  <c r="B206" i="69" s="1"/>
  <c r="B207" i="69" s="1"/>
  <c r="B208" i="69" s="1"/>
  <c r="B209" i="69" s="1"/>
  <c r="B210" i="69" s="1"/>
  <c r="B211" i="69" s="1"/>
  <c r="B212" i="69" s="1"/>
  <c r="B213" i="69" s="1"/>
  <c r="B214" i="69" s="1"/>
  <c r="B215" i="69" s="1"/>
  <c r="B216" i="69" s="1"/>
  <c r="B217" i="69" s="1"/>
  <c r="B218" i="69" s="1"/>
  <c r="B219" i="69" s="1"/>
  <c r="B220" i="69" s="1"/>
  <c r="B221" i="69" s="1"/>
  <c r="B222" i="69" s="1"/>
  <c r="B223" i="69" s="1"/>
  <c r="B224" i="69" s="1"/>
  <c r="B225" i="69" s="1"/>
  <c r="B226" i="69" s="1"/>
  <c r="B227" i="69" s="1"/>
  <c r="B228" i="69" s="1"/>
  <c r="B229" i="69" s="1"/>
  <c r="B230" i="69" s="1"/>
  <c r="B231" i="69" s="1"/>
  <c r="B232" i="69" s="1"/>
  <c r="B233" i="69" s="1"/>
  <c r="B234" i="69" s="1"/>
  <c r="B235" i="69" s="1"/>
  <c r="B236" i="69" s="1"/>
  <c r="B237" i="69" s="1"/>
  <c r="B238" i="69" s="1"/>
  <c r="B239" i="69" s="1"/>
  <c r="B240" i="69" s="1"/>
  <c r="B241" i="69" s="1"/>
  <c r="B242" i="69" s="1"/>
  <c r="B243" i="69" s="1"/>
  <c r="AL11" i="69"/>
  <c r="AL12" i="69" s="1"/>
  <c r="AL13" i="69" s="1"/>
  <c r="AL14" i="69" s="1"/>
  <c r="AL15" i="69" s="1"/>
  <c r="AL16" i="69" s="1"/>
  <c r="AL17" i="69" s="1"/>
  <c r="AL18" i="69" s="1"/>
  <c r="AL19" i="69" s="1"/>
  <c r="AL20" i="69" s="1"/>
  <c r="AL21" i="69" s="1"/>
  <c r="AL22" i="69" s="1"/>
  <c r="AL23" i="69" s="1"/>
  <c r="AL24" i="69" s="1"/>
  <c r="AL25" i="69" s="1"/>
  <c r="AL26" i="69" s="1"/>
  <c r="AL27" i="69" s="1"/>
  <c r="AL28" i="69" s="1"/>
  <c r="AL29" i="69" s="1"/>
  <c r="AL30" i="69" s="1"/>
  <c r="AL31" i="69" s="1"/>
  <c r="AL32" i="69" s="1"/>
  <c r="AL33" i="69" s="1"/>
  <c r="AL34" i="69" s="1"/>
  <c r="AL35" i="69" s="1"/>
  <c r="AL36" i="69" s="1"/>
  <c r="AL37" i="69" s="1"/>
  <c r="AL38" i="69" s="1"/>
  <c r="AL39" i="69" s="1"/>
  <c r="AL40" i="69" s="1"/>
  <c r="AL41" i="69" s="1"/>
  <c r="AL42" i="69" s="1"/>
  <c r="AL43" i="69" s="1"/>
  <c r="AL44" i="69" s="1"/>
  <c r="AL45" i="69" s="1"/>
  <c r="AL46" i="69" s="1"/>
  <c r="AL47" i="69" s="1"/>
  <c r="AL48" i="69" s="1"/>
  <c r="AL49" i="69" s="1"/>
  <c r="AL50" i="69" s="1"/>
  <c r="AL51" i="69" s="1"/>
  <c r="AL52" i="69" s="1"/>
  <c r="AL53" i="69" s="1"/>
  <c r="AL54" i="69" s="1"/>
  <c r="AL55" i="69" s="1"/>
  <c r="AL56" i="69" s="1"/>
  <c r="AL57" i="69" s="1"/>
  <c r="AL58" i="69" s="1"/>
  <c r="AL59" i="69" s="1"/>
  <c r="AL60" i="69" s="1"/>
  <c r="AL61" i="69" s="1"/>
  <c r="AL62" i="69" s="1"/>
  <c r="AL63" i="69" s="1"/>
  <c r="AL64" i="69" s="1"/>
  <c r="AL65" i="69" s="1"/>
  <c r="AL66" i="69" s="1"/>
  <c r="AL67" i="69" s="1"/>
  <c r="AL68" i="69" s="1"/>
  <c r="AL69" i="69" s="1"/>
  <c r="AL70" i="69" s="1"/>
  <c r="AL71" i="69" s="1"/>
  <c r="AL72" i="69" s="1"/>
  <c r="AL73" i="69" s="1"/>
  <c r="AL74" i="69" s="1"/>
  <c r="AL75" i="69" s="1"/>
  <c r="AL76" i="69" s="1"/>
  <c r="AL77" i="69" s="1"/>
  <c r="AL78" i="69" s="1"/>
  <c r="AL79" i="69" s="1"/>
  <c r="AL80" i="69" s="1"/>
  <c r="AL81" i="69" s="1"/>
  <c r="AL82" i="69" s="1"/>
  <c r="AL83" i="69" s="1"/>
  <c r="AL84" i="69" s="1"/>
  <c r="AL85" i="69" s="1"/>
  <c r="AL86" i="69" s="1"/>
  <c r="AL87" i="69" s="1"/>
  <c r="AL88" i="69" s="1"/>
  <c r="AL89" i="69" s="1"/>
  <c r="AL90" i="69" s="1"/>
  <c r="AL91" i="69" s="1"/>
  <c r="AL92" i="69" s="1"/>
  <c r="AL93" i="69" s="1"/>
  <c r="AL94" i="69" s="1"/>
  <c r="AL95" i="69" s="1"/>
  <c r="AL96" i="69" s="1"/>
  <c r="AL97" i="69" s="1"/>
  <c r="AL98" i="69" s="1"/>
  <c r="AL99" i="69" s="1"/>
  <c r="AL100" i="69" s="1"/>
  <c r="AL101" i="69" s="1"/>
  <c r="AL102" i="69" s="1"/>
  <c r="AL103" i="69" s="1"/>
  <c r="AL104" i="69" s="1"/>
  <c r="AL105" i="69" s="1"/>
  <c r="AL106" i="69" s="1"/>
  <c r="AL107" i="69" s="1"/>
  <c r="AL108" i="69" s="1"/>
  <c r="AL109" i="69" s="1"/>
  <c r="AL110" i="69" s="1"/>
  <c r="AL111" i="69" s="1"/>
  <c r="AL112" i="69" s="1"/>
  <c r="AL113" i="69" s="1"/>
  <c r="AL114" i="69" s="1"/>
  <c r="AL115" i="69" s="1"/>
  <c r="AL116" i="69" s="1"/>
  <c r="AL117" i="69" s="1"/>
  <c r="AL118" i="69" s="1"/>
  <c r="AL119" i="69" s="1"/>
  <c r="AL120" i="69" s="1"/>
  <c r="AL121" i="69" s="1"/>
  <c r="AL122" i="69" s="1"/>
  <c r="AL123" i="69" s="1"/>
  <c r="AL124" i="69" s="1"/>
  <c r="AL125" i="69" s="1"/>
  <c r="AL126" i="69" s="1"/>
  <c r="AL127" i="69" s="1"/>
  <c r="AL128" i="69" s="1"/>
  <c r="AL129" i="69" s="1"/>
  <c r="AL130" i="69" s="1"/>
  <c r="AL131" i="69" s="1"/>
  <c r="AL132" i="69" s="1"/>
  <c r="AL133" i="69" s="1"/>
  <c r="AL134" i="69" s="1"/>
  <c r="AL135" i="69" s="1"/>
  <c r="AL136" i="69" s="1"/>
  <c r="AL137" i="69" s="1"/>
  <c r="AL138" i="69" s="1"/>
  <c r="AL139" i="69" s="1"/>
  <c r="AL140" i="69" s="1"/>
  <c r="AL141" i="69" s="1"/>
  <c r="AL142" i="69" s="1"/>
  <c r="AL143" i="69" s="1"/>
  <c r="AL144" i="69" s="1"/>
  <c r="AL145" i="69" s="1"/>
  <c r="AL146" i="69" s="1"/>
  <c r="AL147" i="69" s="1"/>
  <c r="AL148" i="69" s="1"/>
  <c r="AL149" i="69" s="1"/>
  <c r="AL150" i="69" s="1"/>
  <c r="AL151" i="69" s="1"/>
  <c r="AL152" i="69" s="1"/>
  <c r="AL153" i="69" s="1"/>
  <c r="AL154" i="69" s="1"/>
  <c r="AL155" i="69" s="1"/>
  <c r="AL156" i="69" s="1"/>
  <c r="AL157" i="69" s="1"/>
  <c r="AL158" i="69" s="1"/>
  <c r="AL159" i="69" s="1"/>
  <c r="AL160" i="69" s="1"/>
  <c r="AL161" i="69" s="1"/>
  <c r="AL162" i="69" s="1"/>
  <c r="AL163" i="69" s="1"/>
  <c r="AL164" i="69" s="1"/>
  <c r="AL165" i="69" s="1"/>
  <c r="AL166" i="69" s="1"/>
  <c r="AL167" i="69" s="1"/>
  <c r="AL168" i="69" s="1"/>
  <c r="AL169" i="69" s="1"/>
  <c r="AL170" i="69" s="1"/>
  <c r="AL171" i="69" s="1"/>
  <c r="AL172" i="69" s="1"/>
  <c r="AL173" i="69" s="1"/>
  <c r="AL174" i="69" s="1"/>
  <c r="AL175" i="69" s="1"/>
  <c r="AL176" i="69" s="1"/>
  <c r="AL177" i="69" s="1"/>
  <c r="AL178" i="69" s="1"/>
  <c r="AL179" i="69" s="1"/>
  <c r="AL180" i="69" s="1"/>
  <c r="AL181" i="69" s="1"/>
  <c r="AL182" i="69" s="1"/>
  <c r="AL183" i="69" s="1"/>
  <c r="AL184" i="69" s="1"/>
  <c r="AL185" i="69" s="1"/>
  <c r="AL186" i="69" s="1"/>
  <c r="AL187" i="69" s="1"/>
  <c r="AL188" i="69" s="1"/>
  <c r="AL189" i="69" s="1"/>
  <c r="AL190" i="69" s="1"/>
  <c r="AL191" i="69" s="1"/>
  <c r="AL192" i="69" s="1"/>
  <c r="AL193" i="69" s="1"/>
  <c r="AL194" i="69" s="1"/>
  <c r="AL195" i="69" s="1"/>
  <c r="AL196" i="69" s="1"/>
  <c r="AL197" i="69" s="1"/>
  <c r="AL198" i="69" s="1"/>
  <c r="AL199" i="69" s="1"/>
  <c r="AL200" i="69" s="1"/>
  <c r="AL201" i="69" s="1"/>
  <c r="AL202" i="69" s="1"/>
  <c r="AL203" i="69" s="1"/>
  <c r="AL204" i="69" s="1"/>
  <c r="AL205" i="69" s="1"/>
  <c r="AL206" i="69" s="1"/>
  <c r="AL207" i="69" s="1"/>
  <c r="AL208" i="69" s="1"/>
  <c r="AL209" i="69" s="1"/>
  <c r="AL210" i="69" s="1"/>
  <c r="AL211" i="69" s="1"/>
  <c r="AL212" i="69" s="1"/>
  <c r="AL213" i="69" s="1"/>
  <c r="AL214" i="69" s="1"/>
  <c r="AL215" i="69" s="1"/>
  <c r="AL216" i="69" s="1"/>
  <c r="AL217" i="69" s="1"/>
  <c r="AL218" i="69" s="1"/>
  <c r="AL219" i="69" s="1"/>
  <c r="AL220" i="69" s="1"/>
  <c r="AL221" i="69" s="1"/>
  <c r="AL222" i="69" s="1"/>
  <c r="AL223" i="69" s="1"/>
  <c r="AL224" i="69" s="1"/>
  <c r="AL225" i="69" s="1"/>
  <c r="AL226" i="69" s="1"/>
  <c r="AL227" i="69" s="1"/>
  <c r="AL228" i="69" s="1"/>
  <c r="AL229" i="69" s="1"/>
  <c r="AL230" i="69" s="1"/>
  <c r="AL231" i="69" s="1"/>
  <c r="AL232" i="69" s="1"/>
  <c r="AL233" i="69" s="1"/>
  <c r="AL234" i="69" s="1"/>
  <c r="AL235" i="69" s="1"/>
  <c r="AL236" i="69" s="1"/>
  <c r="AL237" i="69" s="1"/>
  <c r="AL238" i="69" s="1"/>
  <c r="AL239" i="69" s="1"/>
  <c r="AL240" i="69" s="1"/>
  <c r="AL241" i="69" s="1"/>
  <c r="AL242" i="69" s="1"/>
  <c r="AL243" i="69" s="1"/>
  <c r="AJ11" i="69"/>
  <c r="AJ12" i="69" s="1"/>
  <c r="AJ13" i="69" s="1"/>
  <c r="AJ14" i="69" s="1"/>
  <c r="AJ15" i="69" s="1"/>
  <c r="AJ16" i="69" s="1"/>
  <c r="AJ17" i="69" s="1"/>
  <c r="AJ18" i="69" s="1"/>
  <c r="AJ19" i="69" s="1"/>
  <c r="AJ20" i="69" s="1"/>
  <c r="AJ21" i="69" s="1"/>
  <c r="AJ22" i="69" s="1"/>
  <c r="AJ23" i="69" s="1"/>
  <c r="AJ24" i="69" s="1"/>
  <c r="AJ25" i="69" s="1"/>
  <c r="AJ26" i="69" s="1"/>
  <c r="AJ27" i="69" s="1"/>
  <c r="AJ28" i="69" s="1"/>
  <c r="AJ29" i="69" s="1"/>
  <c r="AJ30" i="69" s="1"/>
  <c r="AJ31" i="69" s="1"/>
  <c r="AJ32" i="69" s="1"/>
  <c r="AJ33" i="69" s="1"/>
  <c r="AJ34" i="69" s="1"/>
  <c r="AJ35" i="69" s="1"/>
  <c r="AJ36" i="69" s="1"/>
  <c r="AJ37" i="69" s="1"/>
  <c r="AJ38" i="69" s="1"/>
  <c r="AJ39" i="69" s="1"/>
  <c r="AJ40" i="69" s="1"/>
  <c r="AJ41" i="69" s="1"/>
  <c r="AJ42" i="69" s="1"/>
  <c r="AJ43" i="69" s="1"/>
  <c r="AJ44" i="69" s="1"/>
  <c r="AJ45" i="69" s="1"/>
  <c r="AJ46" i="69" s="1"/>
  <c r="AJ47" i="69" s="1"/>
  <c r="AJ48" i="69" s="1"/>
  <c r="AJ49" i="69" s="1"/>
  <c r="AJ50" i="69" s="1"/>
  <c r="AJ51" i="69" s="1"/>
  <c r="AJ52" i="69" s="1"/>
  <c r="AJ53" i="69" s="1"/>
  <c r="AJ54" i="69" s="1"/>
  <c r="AJ55" i="69" s="1"/>
  <c r="AJ56" i="69" s="1"/>
  <c r="AJ57" i="69" s="1"/>
  <c r="AJ58" i="69" s="1"/>
  <c r="AJ59" i="69" s="1"/>
  <c r="AJ60" i="69" s="1"/>
  <c r="AJ61" i="69" s="1"/>
  <c r="AJ62" i="69" s="1"/>
  <c r="AJ63" i="69" s="1"/>
  <c r="AJ64" i="69" s="1"/>
  <c r="AJ65" i="69" s="1"/>
  <c r="AJ66" i="69" s="1"/>
  <c r="AJ67" i="69" s="1"/>
  <c r="AJ68" i="69" s="1"/>
  <c r="AJ69" i="69" s="1"/>
  <c r="AJ70" i="69" s="1"/>
  <c r="AJ71" i="69" s="1"/>
  <c r="AJ72" i="69" s="1"/>
  <c r="AJ73" i="69" s="1"/>
  <c r="AJ74" i="69" s="1"/>
  <c r="AJ75" i="69" s="1"/>
  <c r="AJ76" i="69" s="1"/>
  <c r="AJ77" i="69" s="1"/>
  <c r="AJ78" i="69" s="1"/>
  <c r="AJ79" i="69" s="1"/>
  <c r="AJ80" i="69" s="1"/>
  <c r="AJ81" i="69" s="1"/>
  <c r="AJ82" i="69" s="1"/>
  <c r="AJ83" i="69" s="1"/>
  <c r="AJ84" i="69" s="1"/>
  <c r="AJ85" i="69" s="1"/>
  <c r="AJ86" i="69" s="1"/>
  <c r="AJ87" i="69" s="1"/>
  <c r="AJ88" i="69" s="1"/>
  <c r="AJ89" i="69" s="1"/>
  <c r="AJ90" i="69" s="1"/>
  <c r="AJ91" i="69" s="1"/>
  <c r="AJ92" i="69" s="1"/>
  <c r="AJ93" i="69" s="1"/>
  <c r="AJ94" i="69" s="1"/>
  <c r="AJ95" i="69" s="1"/>
  <c r="AJ96" i="69" s="1"/>
  <c r="AJ97" i="69" s="1"/>
  <c r="AJ98" i="69" s="1"/>
  <c r="AJ99" i="69" s="1"/>
  <c r="AJ100" i="69" s="1"/>
  <c r="AJ101" i="69" s="1"/>
  <c r="AJ102" i="69" s="1"/>
  <c r="AJ103" i="69" s="1"/>
  <c r="AJ104" i="69" s="1"/>
  <c r="AJ105" i="69" s="1"/>
  <c r="AJ106" i="69" s="1"/>
  <c r="AJ107" i="69" s="1"/>
  <c r="AJ108" i="69" s="1"/>
  <c r="AJ109" i="69" s="1"/>
  <c r="AJ110" i="69" s="1"/>
  <c r="AJ111" i="69" s="1"/>
  <c r="AJ112" i="69" s="1"/>
  <c r="AJ113" i="69" s="1"/>
  <c r="AJ114" i="69" s="1"/>
  <c r="AJ115" i="69" s="1"/>
  <c r="AJ116" i="69" s="1"/>
  <c r="AJ117" i="69" s="1"/>
  <c r="AJ118" i="69" s="1"/>
  <c r="AJ119" i="69" s="1"/>
  <c r="AJ120" i="69" s="1"/>
  <c r="AJ121" i="69" s="1"/>
  <c r="AJ122" i="69" s="1"/>
  <c r="AJ123" i="69" s="1"/>
  <c r="AJ124" i="69" s="1"/>
  <c r="AJ125" i="69" s="1"/>
  <c r="AJ126" i="69" s="1"/>
  <c r="AJ127" i="69" s="1"/>
  <c r="AJ128" i="69" s="1"/>
  <c r="AJ129" i="69" s="1"/>
  <c r="AJ130" i="69" s="1"/>
  <c r="AJ131" i="69" s="1"/>
  <c r="AJ132" i="69" s="1"/>
  <c r="AJ133" i="69" s="1"/>
  <c r="AJ134" i="69" s="1"/>
  <c r="AJ135" i="69" s="1"/>
  <c r="AJ136" i="69" s="1"/>
  <c r="AJ137" i="69" s="1"/>
  <c r="AJ138" i="69" s="1"/>
  <c r="AJ139" i="69" s="1"/>
  <c r="AJ140" i="69" s="1"/>
  <c r="AJ141" i="69" s="1"/>
  <c r="AJ142" i="69" s="1"/>
  <c r="AJ143" i="69" s="1"/>
  <c r="AJ144" i="69" s="1"/>
  <c r="AJ145" i="69" s="1"/>
  <c r="AJ146" i="69" s="1"/>
  <c r="AJ147" i="69" s="1"/>
  <c r="AJ148" i="69" s="1"/>
  <c r="AJ149" i="69" s="1"/>
  <c r="AJ150" i="69" s="1"/>
  <c r="AJ151" i="69" s="1"/>
  <c r="AJ152" i="69" s="1"/>
  <c r="AJ153" i="69" s="1"/>
  <c r="AJ154" i="69" s="1"/>
  <c r="AJ155" i="69" s="1"/>
  <c r="AJ156" i="69" s="1"/>
  <c r="AJ157" i="69" s="1"/>
  <c r="AJ158" i="69" s="1"/>
  <c r="AJ159" i="69" s="1"/>
  <c r="AJ160" i="69" s="1"/>
  <c r="AJ161" i="69" s="1"/>
  <c r="AJ162" i="69" s="1"/>
  <c r="AJ163" i="69" s="1"/>
  <c r="AJ164" i="69" s="1"/>
  <c r="AJ165" i="69" s="1"/>
  <c r="AJ166" i="69" s="1"/>
  <c r="AJ167" i="69" s="1"/>
  <c r="AJ168" i="69" s="1"/>
  <c r="AJ169" i="69" s="1"/>
  <c r="AJ170" i="69" s="1"/>
  <c r="AJ171" i="69" s="1"/>
  <c r="AJ172" i="69" s="1"/>
  <c r="AJ173" i="69" s="1"/>
  <c r="AJ174" i="69" s="1"/>
  <c r="AJ175" i="69" s="1"/>
  <c r="AJ176" i="69" s="1"/>
  <c r="AJ177" i="69" s="1"/>
  <c r="AJ178" i="69" s="1"/>
  <c r="AJ179" i="69" s="1"/>
  <c r="AJ180" i="69" s="1"/>
  <c r="AJ181" i="69" s="1"/>
  <c r="AJ182" i="69" s="1"/>
  <c r="AJ183" i="69" s="1"/>
  <c r="AJ184" i="69" s="1"/>
  <c r="AJ185" i="69" s="1"/>
  <c r="AJ186" i="69" s="1"/>
  <c r="AJ187" i="69" s="1"/>
  <c r="AJ188" i="69" s="1"/>
  <c r="AJ189" i="69" s="1"/>
  <c r="AJ190" i="69" s="1"/>
  <c r="AJ191" i="69" s="1"/>
  <c r="AJ192" i="69" s="1"/>
  <c r="AJ193" i="69" s="1"/>
  <c r="AJ194" i="69" s="1"/>
  <c r="AJ195" i="69" s="1"/>
  <c r="AJ196" i="69" s="1"/>
  <c r="AJ197" i="69" s="1"/>
  <c r="AJ198" i="69" s="1"/>
  <c r="AJ199" i="69" s="1"/>
  <c r="AJ200" i="69" s="1"/>
  <c r="AJ201" i="69" s="1"/>
  <c r="AJ202" i="69" s="1"/>
  <c r="AJ203" i="69" s="1"/>
  <c r="AJ204" i="69" s="1"/>
  <c r="AJ205" i="69" s="1"/>
  <c r="AJ206" i="69" s="1"/>
  <c r="AJ207" i="69" s="1"/>
  <c r="AJ208" i="69" s="1"/>
  <c r="AJ209" i="69" s="1"/>
  <c r="AJ210" i="69" s="1"/>
  <c r="AJ211" i="69" s="1"/>
  <c r="AJ212" i="69" s="1"/>
  <c r="AJ213" i="69" s="1"/>
  <c r="AJ214" i="69" s="1"/>
  <c r="AJ215" i="69" s="1"/>
  <c r="AJ216" i="69" s="1"/>
  <c r="AJ217" i="69" s="1"/>
  <c r="AJ218" i="69" s="1"/>
  <c r="AJ219" i="69" s="1"/>
  <c r="AJ220" i="69" s="1"/>
  <c r="AJ221" i="69" s="1"/>
  <c r="AJ222" i="69" s="1"/>
  <c r="AJ223" i="69" s="1"/>
  <c r="AJ224" i="69" s="1"/>
  <c r="AJ225" i="69" s="1"/>
  <c r="AJ226" i="69" s="1"/>
  <c r="AJ227" i="69" s="1"/>
  <c r="AJ228" i="69" s="1"/>
  <c r="AJ229" i="69" s="1"/>
  <c r="AJ230" i="69" s="1"/>
  <c r="AJ231" i="69" s="1"/>
  <c r="AJ232" i="69" s="1"/>
  <c r="AJ233" i="69" s="1"/>
  <c r="AJ234" i="69" s="1"/>
  <c r="AJ235" i="69" s="1"/>
  <c r="AJ236" i="69" s="1"/>
  <c r="AJ237" i="69" s="1"/>
  <c r="AJ238" i="69" s="1"/>
  <c r="AJ239" i="69" s="1"/>
  <c r="AJ240" i="69" s="1"/>
  <c r="AJ241" i="69" s="1"/>
  <c r="AJ242" i="69" s="1"/>
  <c r="AJ243" i="69" s="1"/>
  <c r="O11" i="69"/>
  <c r="K11" i="69"/>
  <c r="F11" i="69"/>
  <c r="J11" i="69"/>
  <c r="AC7" i="69"/>
  <c r="AC6" i="69"/>
  <c r="E11" i="63"/>
  <c r="G11" i="63" s="1"/>
  <c r="AD245" i="63"/>
  <c r="AD249" i="63" s="1"/>
  <c r="AC249" i="63"/>
  <c r="AB249" i="63"/>
  <c r="AA249" i="63"/>
  <c r="Z245" i="63"/>
  <c r="Z249" i="63" s="1"/>
  <c r="D161" i="63"/>
  <c r="D162" i="63" s="1"/>
  <c r="D163" i="63" s="1"/>
  <c r="D164" i="63" s="1"/>
  <c r="D165" i="63" s="1"/>
  <c r="D166" i="63" s="1"/>
  <c r="D167" i="63" s="1"/>
  <c r="D168" i="63" s="1"/>
  <c r="D169" i="63" s="1"/>
  <c r="D170" i="63" s="1"/>
  <c r="D171" i="63" s="1"/>
  <c r="D172" i="63" s="1"/>
  <c r="D173" i="63" s="1"/>
  <c r="D174" i="63" s="1"/>
  <c r="D175" i="63" s="1"/>
  <c r="D176" i="63" s="1"/>
  <c r="D177" i="63" s="1"/>
  <c r="D178" i="63" s="1"/>
  <c r="D179" i="63" s="1"/>
  <c r="D180" i="63" s="1"/>
  <c r="D181" i="63" s="1"/>
  <c r="D182" i="63" s="1"/>
  <c r="D183" i="63" s="1"/>
  <c r="D184" i="63" s="1"/>
  <c r="D185" i="63" s="1"/>
  <c r="D186" i="63" s="1"/>
  <c r="D187" i="63" s="1"/>
  <c r="D188" i="63" s="1"/>
  <c r="D189" i="63" s="1"/>
  <c r="D190" i="63" s="1"/>
  <c r="D191" i="63" s="1"/>
  <c r="D193" i="63" s="1"/>
  <c r="D195" i="63" s="1"/>
  <c r="D197" i="63" s="1"/>
  <c r="D199" i="63" s="1"/>
  <c r="D201" i="63" s="1"/>
  <c r="D203" i="63" s="1"/>
  <c r="D205" i="63" s="1"/>
  <c r="D207" i="63" s="1"/>
  <c r="D209" i="63" s="1"/>
  <c r="D211" i="63" s="1"/>
  <c r="D213" i="63" s="1"/>
  <c r="D215" i="63" s="1"/>
  <c r="D217" i="63" s="1"/>
  <c r="D219" i="63" s="1"/>
  <c r="D221" i="63" s="1"/>
  <c r="D223" i="63" s="1"/>
  <c r="D225" i="63" s="1"/>
  <c r="D227" i="63" s="1"/>
  <c r="D229" i="63" s="1"/>
  <c r="D231" i="63" s="1"/>
  <c r="D233" i="63" s="1"/>
  <c r="D235" i="63" s="1"/>
  <c r="D237" i="63" s="1"/>
  <c r="D239" i="63" s="1"/>
  <c r="D241" i="63" s="1"/>
  <c r="D243" i="63" s="1"/>
  <c r="D57" i="63"/>
  <c r="D58" i="63" s="1"/>
  <c r="D59" i="63" s="1"/>
  <c r="D60" i="63" s="1"/>
  <c r="D61" i="63" s="1"/>
  <c r="D62" i="63" s="1"/>
  <c r="D63" i="63" s="1"/>
  <c r="D64" i="63" s="1"/>
  <c r="D65" i="63" s="1"/>
  <c r="D66" i="63" s="1"/>
  <c r="D67" i="63" s="1"/>
  <c r="D68" i="63" s="1"/>
  <c r="D69" i="63" s="1"/>
  <c r="D70" i="63" s="1"/>
  <c r="D71" i="63" s="1"/>
  <c r="D72" i="63" s="1"/>
  <c r="D73" i="63" s="1"/>
  <c r="D74" i="63" s="1"/>
  <c r="D75" i="63" s="1"/>
  <c r="D76" i="63" s="1"/>
  <c r="D77" i="63" s="1"/>
  <c r="D78" i="63" s="1"/>
  <c r="D79" i="63" s="1"/>
  <c r="D80" i="63" s="1"/>
  <c r="D81" i="63" s="1"/>
  <c r="D82" i="63" s="1"/>
  <c r="D83" i="63" s="1"/>
  <c r="D84" i="63" s="1"/>
  <c r="D85" i="63" s="1"/>
  <c r="D86" i="63" s="1"/>
  <c r="D87" i="63" s="1"/>
  <c r="D88" i="63" s="1"/>
  <c r="D89" i="63" s="1"/>
  <c r="D90" i="63" s="1"/>
  <c r="D91" i="63" s="1"/>
  <c r="D92" i="63" s="1"/>
  <c r="D93" i="63" s="1"/>
  <c r="D94" i="63" s="1"/>
  <c r="D95" i="63" s="1"/>
  <c r="D96" i="63" s="1"/>
  <c r="D97" i="63" s="1"/>
  <c r="D98" i="63" s="1"/>
  <c r="D99" i="63" s="1"/>
  <c r="D100" i="63" s="1"/>
  <c r="D101" i="63" s="1"/>
  <c r="D102" i="63" s="1"/>
  <c r="D103" i="63" s="1"/>
  <c r="D104" i="63" s="1"/>
  <c r="D105" i="63" s="1"/>
  <c r="D106" i="63" s="1"/>
  <c r="D107" i="63" s="1"/>
  <c r="D108" i="63" s="1"/>
  <c r="D109" i="63" s="1"/>
  <c r="D110" i="63" s="1"/>
  <c r="D111" i="63" s="1"/>
  <c r="D112" i="63" s="1"/>
  <c r="D113" i="63" s="1"/>
  <c r="D114" i="63" s="1"/>
  <c r="D115" i="63" s="1"/>
  <c r="D116" i="63" s="1"/>
  <c r="D117" i="63" s="1"/>
  <c r="D118" i="63" s="1"/>
  <c r="D119" i="63" s="1"/>
  <c r="D120" i="63" s="1"/>
  <c r="D121" i="63" s="1"/>
  <c r="D122" i="63" s="1"/>
  <c r="D123" i="63" s="1"/>
  <c r="D124" i="63" s="1"/>
  <c r="D125" i="63" s="1"/>
  <c r="D126" i="63" s="1"/>
  <c r="D127" i="63" s="1"/>
  <c r="D128" i="63" s="1"/>
  <c r="D129" i="63" s="1"/>
  <c r="D130" i="63" s="1"/>
  <c r="D131" i="63" s="1"/>
  <c r="D132" i="63" s="1"/>
  <c r="D133" i="63" s="1"/>
  <c r="D134" i="63" s="1"/>
  <c r="D135" i="63" s="1"/>
  <c r="D136" i="63" s="1"/>
  <c r="D137" i="63" s="1"/>
  <c r="D138" i="63" s="1"/>
  <c r="D139" i="63" s="1"/>
  <c r="D140" i="63" s="1"/>
  <c r="D141" i="63" s="1"/>
  <c r="D142" i="63" s="1"/>
  <c r="D143" i="63" s="1"/>
  <c r="D144" i="63" s="1"/>
  <c r="D145" i="63" s="1"/>
  <c r="D146" i="63" s="1"/>
  <c r="D147" i="63" s="1"/>
  <c r="D148" i="63" s="1"/>
  <c r="D149" i="63" s="1"/>
  <c r="D150" i="63" s="1"/>
  <c r="D151" i="63" s="1"/>
  <c r="D152" i="63" s="1"/>
  <c r="D153" i="63" s="1"/>
  <c r="D154" i="63" s="1"/>
  <c r="D155" i="63" s="1"/>
  <c r="D156" i="63" s="1"/>
  <c r="D157" i="63" s="1"/>
  <c r="D158" i="63" s="1"/>
  <c r="D159" i="63" s="1"/>
  <c r="AI12" i="63"/>
  <c r="AI13" i="63" s="1"/>
  <c r="AI14" i="63" s="1"/>
  <c r="AI15" i="63" s="1"/>
  <c r="AI16" i="63" s="1"/>
  <c r="AI17" i="63" s="1"/>
  <c r="AI18" i="63" s="1"/>
  <c r="AI19" i="63" s="1"/>
  <c r="AI20" i="63" s="1"/>
  <c r="AI21" i="63" s="1"/>
  <c r="AI22" i="63" s="1"/>
  <c r="AI23" i="63" s="1"/>
  <c r="AI24" i="63" s="1"/>
  <c r="AI25" i="63" s="1"/>
  <c r="AI26" i="63" s="1"/>
  <c r="AI27" i="63" s="1"/>
  <c r="AI28" i="63" s="1"/>
  <c r="AI29" i="63" s="1"/>
  <c r="AI30" i="63" s="1"/>
  <c r="AI31" i="63" s="1"/>
  <c r="AI32" i="63" s="1"/>
  <c r="AI33" i="63" s="1"/>
  <c r="AI34" i="63" s="1"/>
  <c r="AI35" i="63" s="1"/>
  <c r="AI36" i="63" s="1"/>
  <c r="AI37" i="63" s="1"/>
  <c r="AI38" i="63" s="1"/>
  <c r="AI39" i="63" s="1"/>
  <c r="AI40" i="63" s="1"/>
  <c r="AI41" i="63" s="1"/>
  <c r="AI42" i="63" s="1"/>
  <c r="AI43" i="63" s="1"/>
  <c r="AI44" i="63" s="1"/>
  <c r="AI45" i="63" s="1"/>
  <c r="AI46" i="63" s="1"/>
  <c r="AI47" i="63" s="1"/>
  <c r="AI48" i="63" s="1"/>
  <c r="AI49" i="63" s="1"/>
  <c r="AI50" i="63" s="1"/>
  <c r="AI51" i="63" s="1"/>
  <c r="AI52" i="63" s="1"/>
  <c r="AI53" i="63" s="1"/>
  <c r="AI54" i="63" s="1"/>
  <c r="AI55" i="63" s="1"/>
  <c r="AI56" i="63" s="1"/>
  <c r="AI57" i="63" s="1"/>
  <c r="AI58" i="63" s="1"/>
  <c r="AI59" i="63" s="1"/>
  <c r="AI60" i="63" s="1"/>
  <c r="AI61" i="63" s="1"/>
  <c r="AI62" i="63" s="1"/>
  <c r="AI63" i="63" s="1"/>
  <c r="AI64" i="63" s="1"/>
  <c r="AI65" i="63" s="1"/>
  <c r="AI66" i="63" s="1"/>
  <c r="AI67" i="63" s="1"/>
  <c r="AI68" i="63" s="1"/>
  <c r="AI69" i="63" s="1"/>
  <c r="AI70" i="63" s="1"/>
  <c r="AI71" i="63" s="1"/>
  <c r="AI72" i="63" s="1"/>
  <c r="AI73" i="63" s="1"/>
  <c r="AI74" i="63" s="1"/>
  <c r="AI75" i="63" s="1"/>
  <c r="AI76" i="63" s="1"/>
  <c r="AI77" i="63" s="1"/>
  <c r="AI78" i="63" s="1"/>
  <c r="AI79" i="63" s="1"/>
  <c r="AI80" i="63" s="1"/>
  <c r="AI81" i="63" s="1"/>
  <c r="AI82" i="63" s="1"/>
  <c r="AI83" i="63" s="1"/>
  <c r="AI84" i="63" s="1"/>
  <c r="AI85" i="63" s="1"/>
  <c r="AI86" i="63" s="1"/>
  <c r="AI87" i="63" s="1"/>
  <c r="AI88" i="63" s="1"/>
  <c r="AI89" i="63" s="1"/>
  <c r="AI90" i="63" s="1"/>
  <c r="AI91" i="63" s="1"/>
  <c r="AI92" i="63" s="1"/>
  <c r="AI93" i="63" s="1"/>
  <c r="AI94" i="63" s="1"/>
  <c r="AI95" i="63" s="1"/>
  <c r="AI96" i="63" s="1"/>
  <c r="AI97" i="63" s="1"/>
  <c r="AI98" i="63" s="1"/>
  <c r="AI99" i="63" s="1"/>
  <c r="AI100" i="63" s="1"/>
  <c r="AI101" i="63" s="1"/>
  <c r="AI102" i="63" s="1"/>
  <c r="AI103" i="63" s="1"/>
  <c r="AI104" i="63" s="1"/>
  <c r="AI105" i="63" s="1"/>
  <c r="AI106" i="63" s="1"/>
  <c r="AI107" i="63" s="1"/>
  <c r="AI108" i="63" s="1"/>
  <c r="AI109" i="63" s="1"/>
  <c r="AI110" i="63" s="1"/>
  <c r="AI111" i="63" s="1"/>
  <c r="AI112" i="63" s="1"/>
  <c r="AI113" i="63" s="1"/>
  <c r="AI114" i="63" s="1"/>
  <c r="AI115" i="63" s="1"/>
  <c r="AI116" i="63" s="1"/>
  <c r="AI117" i="63" s="1"/>
  <c r="AI118" i="63" s="1"/>
  <c r="AI119" i="63" s="1"/>
  <c r="AI120" i="63" s="1"/>
  <c r="AI121" i="63" s="1"/>
  <c r="AI122" i="63" s="1"/>
  <c r="AI123" i="63" s="1"/>
  <c r="AI124" i="63" s="1"/>
  <c r="AI125" i="63" s="1"/>
  <c r="AI126" i="63" s="1"/>
  <c r="AI127" i="63" s="1"/>
  <c r="AI128" i="63" s="1"/>
  <c r="AI129" i="63" s="1"/>
  <c r="AI130" i="63" s="1"/>
  <c r="AI131" i="63" s="1"/>
  <c r="AI132" i="63" s="1"/>
  <c r="AI133" i="63" s="1"/>
  <c r="AI134" i="63" s="1"/>
  <c r="AI135" i="63" s="1"/>
  <c r="AI136" i="63" s="1"/>
  <c r="AI137" i="63" s="1"/>
  <c r="AI138" i="63" s="1"/>
  <c r="AI139" i="63" s="1"/>
  <c r="AI140" i="63" s="1"/>
  <c r="AI141" i="63" s="1"/>
  <c r="AI142" i="63" s="1"/>
  <c r="AI143" i="63" s="1"/>
  <c r="AI144" i="63" s="1"/>
  <c r="AI145" i="63" s="1"/>
  <c r="AI146" i="63" s="1"/>
  <c r="AI147" i="63" s="1"/>
  <c r="AI148" i="63" s="1"/>
  <c r="AI149" i="63" s="1"/>
  <c r="AI150" i="63" s="1"/>
  <c r="AI151" i="63" s="1"/>
  <c r="AI152" i="63" s="1"/>
  <c r="AI153" i="63" s="1"/>
  <c r="AI154" i="63" s="1"/>
  <c r="AI155" i="63" s="1"/>
  <c r="AI156" i="63" s="1"/>
  <c r="AI157" i="63" s="1"/>
  <c r="AI158" i="63" s="1"/>
  <c r="AI159" i="63" s="1"/>
  <c r="AI160" i="63" s="1"/>
  <c r="AI161" i="63" s="1"/>
  <c r="AI162" i="63" s="1"/>
  <c r="AI163" i="63" s="1"/>
  <c r="AI164" i="63" s="1"/>
  <c r="AI165" i="63" s="1"/>
  <c r="AI166" i="63" s="1"/>
  <c r="AI167" i="63" s="1"/>
  <c r="AI168" i="63" s="1"/>
  <c r="AI169" i="63" s="1"/>
  <c r="AI170" i="63" s="1"/>
  <c r="AI171" i="63" s="1"/>
  <c r="AI172" i="63" s="1"/>
  <c r="AI173" i="63" s="1"/>
  <c r="AI174" i="63" s="1"/>
  <c r="AI175" i="63" s="1"/>
  <c r="AI176" i="63" s="1"/>
  <c r="AI177" i="63" s="1"/>
  <c r="AI178" i="63" s="1"/>
  <c r="AI179" i="63" s="1"/>
  <c r="AI180" i="63" s="1"/>
  <c r="AI181" i="63" s="1"/>
  <c r="AI182" i="63" s="1"/>
  <c r="AI183" i="63" s="1"/>
  <c r="AI184" i="63" s="1"/>
  <c r="AI185" i="63" s="1"/>
  <c r="AI186" i="63" s="1"/>
  <c r="AI187" i="63" s="1"/>
  <c r="AI188" i="63" s="1"/>
  <c r="AI189" i="63" s="1"/>
  <c r="AI190" i="63" s="1"/>
  <c r="AI191" i="63" s="1"/>
  <c r="AI193" i="63" s="1"/>
  <c r="AI195" i="63" s="1"/>
  <c r="AI197" i="63" s="1"/>
  <c r="AI199" i="63" s="1"/>
  <c r="AI201" i="63" s="1"/>
  <c r="AI203" i="63" s="1"/>
  <c r="AI205" i="63" s="1"/>
  <c r="AI207" i="63" s="1"/>
  <c r="AI209" i="63" s="1"/>
  <c r="AI211" i="63" s="1"/>
  <c r="AI213" i="63" s="1"/>
  <c r="AI215" i="63" s="1"/>
  <c r="AI217" i="63" s="1"/>
  <c r="AI219" i="63" s="1"/>
  <c r="AI221" i="63" s="1"/>
  <c r="AI223" i="63" s="1"/>
  <c r="AI225" i="63" s="1"/>
  <c r="AI227" i="63" s="1"/>
  <c r="AI229" i="63" s="1"/>
  <c r="AI231" i="63" s="1"/>
  <c r="AI233" i="63" s="1"/>
  <c r="AI235" i="63" s="1"/>
  <c r="AI237" i="63" s="1"/>
  <c r="AI239" i="63" s="1"/>
  <c r="AI241" i="63" s="1"/>
  <c r="AI243" i="63" s="1"/>
  <c r="AH12" i="63"/>
  <c r="AH13" i="63" s="1"/>
  <c r="AH14" i="63" s="1"/>
  <c r="AH15" i="63" s="1"/>
  <c r="AH16" i="63" s="1"/>
  <c r="AH17" i="63" s="1"/>
  <c r="AH18" i="63" s="1"/>
  <c r="AH19" i="63" s="1"/>
  <c r="AH20" i="63" s="1"/>
  <c r="AH21" i="63" s="1"/>
  <c r="AH22" i="63" s="1"/>
  <c r="AH23" i="63" s="1"/>
  <c r="AH24" i="63" s="1"/>
  <c r="AH25" i="63" s="1"/>
  <c r="AH26" i="63" s="1"/>
  <c r="AH27" i="63" s="1"/>
  <c r="AH28" i="63" s="1"/>
  <c r="AH29" i="63" s="1"/>
  <c r="AH30" i="63" s="1"/>
  <c r="AH31" i="63" s="1"/>
  <c r="AH32" i="63" s="1"/>
  <c r="AH33" i="63" s="1"/>
  <c r="AH34" i="63" s="1"/>
  <c r="AH35" i="63" s="1"/>
  <c r="AH36" i="63" s="1"/>
  <c r="AH37" i="63" s="1"/>
  <c r="AH38" i="63" s="1"/>
  <c r="AH39" i="63" s="1"/>
  <c r="AH40" i="63" s="1"/>
  <c r="AH41" i="63" s="1"/>
  <c r="AH42" i="63" s="1"/>
  <c r="AH43" i="63" s="1"/>
  <c r="AH44" i="63" s="1"/>
  <c r="AH45" i="63" s="1"/>
  <c r="AH46" i="63" s="1"/>
  <c r="AH47" i="63" s="1"/>
  <c r="AH48" i="63" s="1"/>
  <c r="AH49" i="63" s="1"/>
  <c r="AH50" i="63" s="1"/>
  <c r="AH51" i="63" s="1"/>
  <c r="AH52" i="63" s="1"/>
  <c r="AH53" i="63" s="1"/>
  <c r="AH54" i="63" s="1"/>
  <c r="AH55" i="63" s="1"/>
  <c r="AH56" i="63" s="1"/>
  <c r="AH57" i="63" s="1"/>
  <c r="AH58" i="63" s="1"/>
  <c r="AH59" i="63" s="1"/>
  <c r="AH60" i="63" s="1"/>
  <c r="AH61" i="63" s="1"/>
  <c r="AH62" i="63" s="1"/>
  <c r="AH63" i="63" s="1"/>
  <c r="AH64" i="63" s="1"/>
  <c r="AH65" i="63" s="1"/>
  <c r="AH66" i="63" s="1"/>
  <c r="AH67" i="63" s="1"/>
  <c r="AH68" i="63" s="1"/>
  <c r="AH69" i="63" s="1"/>
  <c r="AH70" i="63" s="1"/>
  <c r="AH71" i="63" s="1"/>
  <c r="AH72" i="63" s="1"/>
  <c r="AH73" i="63" s="1"/>
  <c r="AH74" i="63" s="1"/>
  <c r="AH75" i="63" s="1"/>
  <c r="AH76" i="63" s="1"/>
  <c r="AH77" i="63" s="1"/>
  <c r="AH78" i="63" s="1"/>
  <c r="AH79" i="63" s="1"/>
  <c r="AH80" i="63" s="1"/>
  <c r="AH81" i="63" s="1"/>
  <c r="AH82" i="63" s="1"/>
  <c r="AH83" i="63" s="1"/>
  <c r="AH84" i="63" s="1"/>
  <c r="AH85" i="63" s="1"/>
  <c r="AH86" i="63" s="1"/>
  <c r="AH87" i="63" s="1"/>
  <c r="AH88" i="63" s="1"/>
  <c r="AH89" i="63" s="1"/>
  <c r="AH90" i="63" s="1"/>
  <c r="AH91" i="63" s="1"/>
  <c r="AH92" i="63" s="1"/>
  <c r="AH93" i="63" s="1"/>
  <c r="AH94" i="63" s="1"/>
  <c r="AH95" i="63" s="1"/>
  <c r="AH96" i="63" s="1"/>
  <c r="AH97" i="63" s="1"/>
  <c r="AH98" i="63" s="1"/>
  <c r="AH99" i="63" s="1"/>
  <c r="AH100" i="63" s="1"/>
  <c r="AH101" i="63" s="1"/>
  <c r="AH102" i="63" s="1"/>
  <c r="AH103" i="63" s="1"/>
  <c r="AH104" i="63" s="1"/>
  <c r="AH105" i="63" s="1"/>
  <c r="AH106" i="63" s="1"/>
  <c r="AH107" i="63" s="1"/>
  <c r="AH108" i="63" s="1"/>
  <c r="AH109" i="63" s="1"/>
  <c r="AH110" i="63" s="1"/>
  <c r="AH111" i="63" s="1"/>
  <c r="AH112" i="63" s="1"/>
  <c r="AH113" i="63" s="1"/>
  <c r="AH114" i="63" s="1"/>
  <c r="AH115" i="63" s="1"/>
  <c r="AH116" i="63" s="1"/>
  <c r="AH117" i="63" s="1"/>
  <c r="AH118" i="63" s="1"/>
  <c r="AH119" i="63" s="1"/>
  <c r="AH120" i="63" s="1"/>
  <c r="AH121" i="63" s="1"/>
  <c r="AH122" i="63" s="1"/>
  <c r="AH123" i="63" s="1"/>
  <c r="AH124" i="63" s="1"/>
  <c r="AH125" i="63" s="1"/>
  <c r="AH126" i="63" s="1"/>
  <c r="AH127" i="63" s="1"/>
  <c r="AH128" i="63" s="1"/>
  <c r="AH129" i="63" s="1"/>
  <c r="AH130" i="63" s="1"/>
  <c r="AH131" i="63" s="1"/>
  <c r="AH132" i="63" s="1"/>
  <c r="AH133" i="63" s="1"/>
  <c r="AH134" i="63" s="1"/>
  <c r="AH135" i="63" s="1"/>
  <c r="AH136" i="63" s="1"/>
  <c r="AH137" i="63" s="1"/>
  <c r="AH138" i="63" s="1"/>
  <c r="AH139" i="63" s="1"/>
  <c r="AH140" i="63" s="1"/>
  <c r="AH141" i="63" s="1"/>
  <c r="AH142" i="63" s="1"/>
  <c r="AH143" i="63" s="1"/>
  <c r="AH144" i="63" s="1"/>
  <c r="AH145" i="63" s="1"/>
  <c r="AH146" i="63" s="1"/>
  <c r="AH147" i="63" s="1"/>
  <c r="AH148" i="63" s="1"/>
  <c r="AH149" i="63" s="1"/>
  <c r="AH150" i="63" s="1"/>
  <c r="AH151" i="63" s="1"/>
  <c r="AH152" i="63" s="1"/>
  <c r="AH153" i="63" s="1"/>
  <c r="AH154" i="63" s="1"/>
  <c r="AH155" i="63" s="1"/>
  <c r="AH156" i="63" s="1"/>
  <c r="AH157" i="63" s="1"/>
  <c r="AH158" i="63" s="1"/>
  <c r="AH159" i="63" s="1"/>
  <c r="AH160" i="63" s="1"/>
  <c r="AH161" i="63" s="1"/>
  <c r="AH162" i="63" s="1"/>
  <c r="AH163" i="63" s="1"/>
  <c r="AH164" i="63" s="1"/>
  <c r="AH165" i="63" s="1"/>
  <c r="AH166" i="63" s="1"/>
  <c r="AH167" i="63" s="1"/>
  <c r="AH168" i="63" s="1"/>
  <c r="AH169" i="63" s="1"/>
  <c r="AH170" i="63" s="1"/>
  <c r="AH171" i="63" s="1"/>
  <c r="AH172" i="63" s="1"/>
  <c r="AH173" i="63" s="1"/>
  <c r="AH174" i="63" s="1"/>
  <c r="AH175" i="63" s="1"/>
  <c r="AH176" i="63" s="1"/>
  <c r="AH177" i="63" s="1"/>
  <c r="AH178" i="63" s="1"/>
  <c r="AH179" i="63" s="1"/>
  <c r="AH180" i="63" s="1"/>
  <c r="AH181" i="63" s="1"/>
  <c r="AH182" i="63" s="1"/>
  <c r="AH183" i="63" s="1"/>
  <c r="AH184" i="63" s="1"/>
  <c r="AH185" i="63" s="1"/>
  <c r="AH186" i="63" s="1"/>
  <c r="AH187" i="63" s="1"/>
  <c r="AH188" i="63" s="1"/>
  <c r="AH189" i="63" s="1"/>
  <c r="AH190" i="63" s="1"/>
  <c r="AH191" i="63" s="1"/>
  <c r="AH193" i="63" s="1"/>
  <c r="AH195" i="63" s="1"/>
  <c r="AH197" i="63" s="1"/>
  <c r="AH199" i="63" s="1"/>
  <c r="AH201" i="63" s="1"/>
  <c r="AH203" i="63" s="1"/>
  <c r="AH205" i="63" s="1"/>
  <c r="AH207" i="63" s="1"/>
  <c r="AH209" i="63" s="1"/>
  <c r="AH211" i="63" s="1"/>
  <c r="AH213" i="63" s="1"/>
  <c r="AH215" i="63" s="1"/>
  <c r="AH217" i="63" s="1"/>
  <c r="AH219" i="63" s="1"/>
  <c r="AH221" i="63" s="1"/>
  <c r="AH223" i="63" s="1"/>
  <c r="AH225" i="63" s="1"/>
  <c r="AH227" i="63" s="1"/>
  <c r="AH229" i="63" s="1"/>
  <c r="AH231" i="63" s="1"/>
  <c r="AH233" i="63" s="1"/>
  <c r="AH235" i="63" s="1"/>
  <c r="AH237" i="63" s="1"/>
  <c r="AH239" i="63" s="1"/>
  <c r="AH241" i="63" s="1"/>
  <c r="AH243" i="63" s="1"/>
  <c r="AG12" i="63"/>
  <c r="AG13" i="63" s="1"/>
  <c r="AG14" i="63" s="1"/>
  <c r="AG15" i="63" s="1"/>
  <c r="AG16" i="63" s="1"/>
  <c r="AG17" i="63" s="1"/>
  <c r="AG18" i="63" s="1"/>
  <c r="AG19" i="63" s="1"/>
  <c r="AG20" i="63" s="1"/>
  <c r="AG21" i="63" s="1"/>
  <c r="AG22" i="63" s="1"/>
  <c r="AG23" i="63" s="1"/>
  <c r="AG24" i="63" s="1"/>
  <c r="AG25" i="63" s="1"/>
  <c r="AG26" i="63" s="1"/>
  <c r="AG27" i="63" s="1"/>
  <c r="AG28" i="63" s="1"/>
  <c r="AG29" i="63" s="1"/>
  <c r="AG30" i="63" s="1"/>
  <c r="AG31" i="63" s="1"/>
  <c r="AG32" i="63" s="1"/>
  <c r="AG33" i="63" s="1"/>
  <c r="AG34" i="63" s="1"/>
  <c r="AG35" i="63" s="1"/>
  <c r="AG36" i="63" s="1"/>
  <c r="AG37" i="63" s="1"/>
  <c r="AG38" i="63" s="1"/>
  <c r="AG39" i="63" s="1"/>
  <c r="AG40" i="63" s="1"/>
  <c r="AG41" i="63" s="1"/>
  <c r="AG42" i="63" s="1"/>
  <c r="AG43" i="63" s="1"/>
  <c r="AG44" i="63" s="1"/>
  <c r="AG45" i="63" s="1"/>
  <c r="AG46" i="63" s="1"/>
  <c r="AG47" i="63" s="1"/>
  <c r="AG48" i="63" s="1"/>
  <c r="AG49" i="63" s="1"/>
  <c r="AG50" i="63" s="1"/>
  <c r="AG51" i="63" s="1"/>
  <c r="AG52" i="63" s="1"/>
  <c r="AG53" i="63" s="1"/>
  <c r="AG54" i="63" s="1"/>
  <c r="AG55" i="63" s="1"/>
  <c r="AG56" i="63" s="1"/>
  <c r="AG57" i="63" s="1"/>
  <c r="AG58" i="63" s="1"/>
  <c r="AG59" i="63" s="1"/>
  <c r="AG60" i="63" s="1"/>
  <c r="AG61" i="63" s="1"/>
  <c r="AG62" i="63" s="1"/>
  <c r="AG63" i="63" s="1"/>
  <c r="AG64" i="63" s="1"/>
  <c r="AG65" i="63" s="1"/>
  <c r="AG66" i="63" s="1"/>
  <c r="AG67" i="63" s="1"/>
  <c r="AG68" i="63" s="1"/>
  <c r="AG69" i="63" s="1"/>
  <c r="AG70" i="63" s="1"/>
  <c r="AG71" i="63" s="1"/>
  <c r="AG72" i="63" s="1"/>
  <c r="AG73" i="63" s="1"/>
  <c r="AG74" i="63" s="1"/>
  <c r="AG75" i="63" s="1"/>
  <c r="AG76" i="63" s="1"/>
  <c r="AG77" i="63" s="1"/>
  <c r="AG78" i="63" s="1"/>
  <c r="AG79" i="63" s="1"/>
  <c r="AG80" i="63" s="1"/>
  <c r="AG81" i="63" s="1"/>
  <c r="AG82" i="63" s="1"/>
  <c r="AG83" i="63" s="1"/>
  <c r="AG84" i="63" s="1"/>
  <c r="AG85" i="63" s="1"/>
  <c r="AG86" i="63" s="1"/>
  <c r="AG87" i="63" s="1"/>
  <c r="AG88" i="63" s="1"/>
  <c r="AG89" i="63" s="1"/>
  <c r="AG90" i="63" s="1"/>
  <c r="AG91" i="63" s="1"/>
  <c r="AG92" i="63" s="1"/>
  <c r="AG93" i="63" s="1"/>
  <c r="AG94" i="63" s="1"/>
  <c r="AG95" i="63" s="1"/>
  <c r="AG96" i="63" s="1"/>
  <c r="AG97" i="63" s="1"/>
  <c r="AG98" i="63" s="1"/>
  <c r="AG99" i="63" s="1"/>
  <c r="AG100" i="63" s="1"/>
  <c r="AG101" i="63" s="1"/>
  <c r="AG102" i="63" s="1"/>
  <c r="AG103" i="63" s="1"/>
  <c r="AG104" i="63" s="1"/>
  <c r="AG105" i="63" s="1"/>
  <c r="AG106" i="63" s="1"/>
  <c r="AG107" i="63" s="1"/>
  <c r="AG108" i="63" s="1"/>
  <c r="AG109" i="63" s="1"/>
  <c r="AG110" i="63" s="1"/>
  <c r="AG111" i="63" s="1"/>
  <c r="AG112" i="63" s="1"/>
  <c r="AG113" i="63" s="1"/>
  <c r="AG114" i="63" s="1"/>
  <c r="AG115" i="63" s="1"/>
  <c r="AG116" i="63" s="1"/>
  <c r="AG117" i="63" s="1"/>
  <c r="AG118" i="63" s="1"/>
  <c r="AG119" i="63" s="1"/>
  <c r="AG120" i="63" s="1"/>
  <c r="AG121" i="63" s="1"/>
  <c r="AG122" i="63" s="1"/>
  <c r="AG123" i="63" s="1"/>
  <c r="AG124" i="63" s="1"/>
  <c r="AG125" i="63" s="1"/>
  <c r="AG126" i="63" s="1"/>
  <c r="AG127" i="63" s="1"/>
  <c r="AG128" i="63" s="1"/>
  <c r="AG129" i="63" s="1"/>
  <c r="AG130" i="63" s="1"/>
  <c r="AG131" i="63" s="1"/>
  <c r="AG132" i="63" s="1"/>
  <c r="AG133" i="63" s="1"/>
  <c r="AG134" i="63" s="1"/>
  <c r="AG135" i="63" s="1"/>
  <c r="AG136" i="63" s="1"/>
  <c r="AG137" i="63" s="1"/>
  <c r="AG138" i="63" s="1"/>
  <c r="AG139" i="63" s="1"/>
  <c r="AG140" i="63" s="1"/>
  <c r="AG141" i="63" s="1"/>
  <c r="AG142" i="63" s="1"/>
  <c r="AG143" i="63" s="1"/>
  <c r="AG144" i="63" s="1"/>
  <c r="AG145" i="63" s="1"/>
  <c r="AG146" i="63" s="1"/>
  <c r="AG147" i="63" s="1"/>
  <c r="AG148" i="63" s="1"/>
  <c r="AG149" i="63" s="1"/>
  <c r="AG150" i="63" s="1"/>
  <c r="AG151" i="63" s="1"/>
  <c r="AG152" i="63" s="1"/>
  <c r="AG153" i="63" s="1"/>
  <c r="AG154" i="63" s="1"/>
  <c r="AG155" i="63" s="1"/>
  <c r="AG156" i="63" s="1"/>
  <c r="AG157" i="63" s="1"/>
  <c r="AG158" i="63" s="1"/>
  <c r="AG159" i="63" s="1"/>
  <c r="AG160" i="63" s="1"/>
  <c r="AG161" i="63" s="1"/>
  <c r="AG162" i="63" s="1"/>
  <c r="AG163" i="63" s="1"/>
  <c r="AG164" i="63" s="1"/>
  <c r="AG165" i="63" s="1"/>
  <c r="AG166" i="63" s="1"/>
  <c r="AG167" i="63" s="1"/>
  <c r="AG168" i="63" s="1"/>
  <c r="AG169" i="63" s="1"/>
  <c r="AG170" i="63" s="1"/>
  <c r="AG171" i="63" s="1"/>
  <c r="AG172" i="63" s="1"/>
  <c r="AG173" i="63" s="1"/>
  <c r="AG174" i="63" s="1"/>
  <c r="AG175" i="63" s="1"/>
  <c r="AG176" i="63" s="1"/>
  <c r="AG177" i="63" s="1"/>
  <c r="AG178" i="63" s="1"/>
  <c r="AG179" i="63" s="1"/>
  <c r="AG180" i="63" s="1"/>
  <c r="AG181" i="63" s="1"/>
  <c r="AG182" i="63" s="1"/>
  <c r="AG183" i="63" s="1"/>
  <c r="AG184" i="63" s="1"/>
  <c r="AG185" i="63" s="1"/>
  <c r="AG186" i="63" s="1"/>
  <c r="AG187" i="63" s="1"/>
  <c r="AG188" i="63" s="1"/>
  <c r="AG189" i="63" s="1"/>
  <c r="AG190" i="63" s="1"/>
  <c r="AG191" i="63" s="1"/>
  <c r="AG193" i="63" s="1"/>
  <c r="AG195" i="63" s="1"/>
  <c r="AG197" i="63" s="1"/>
  <c r="AG199" i="63" s="1"/>
  <c r="AG201" i="63" s="1"/>
  <c r="AG203" i="63" s="1"/>
  <c r="AG205" i="63" s="1"/>
  <c r="AG207" i="63" s="1"/>
  <c r="AG209" i="63" s="1"/>
  <c r="AG211" i="63" s="1"/>
  <c r="AG213" i="63" s="1"/>
  <c r="AG215" i="63" s="1"/>
  <c r="AG217" i="63" s="1"/>
  <c r="AG219" i="63" s="1"/>
  <c r="AG221" i="63" s="1"/>
  <c r="AG223" i="63" s="1"/>
  <c r="AG225" i="63" s="1"/>
  <c r="AG227" i="63" s="1"/>
  <c r="AG229" i="63" s="1"/>
  <c r="AG231" i="63" s="1"/>
  <c r="AG233" i="63" s="1"/>
  <c r="AG235" i="63" s="1"/>
  <c r="AG237" i="63" s="1"/>
  <c r="AG239" i="63" s="1"/>
  <c r="AG241" i="63" s="1"/>
  <c r="AG243" i="63" s="1"/>
  <c r="AF12" i="63"/>
  <c r="AF13" i="63" s="1"/>
  <c r="AF14" i="63" s="1"/>
  <c r="AF15" i="63" s="1"/>
  <c r="AF16" i="63" s="1"/>
  <c r="AF17" i="63" s="1"/>
  <c r="AF18" i="63" s="1"/>
  <c r="AF19" i="63" s="1"/>
  <c r="AF20" i="63" s="1"/>
  <c r="AF21" i="63" s="1"/>
  <c r="AF22" i="63" s="1"/>
  <c r="AF23" i="63" s="1"/>
  <c r="AF24" i="63" s="1"/>
  <c r="AF25" i="63" s="1"/>
  <c r="AF26" i="63" s="1"/>
  <c r="AF27" i="63" s="1"/>
  <c r="AF28" i="63" s="1"/>
  <c r="AF29" i="63" s="1"/>
  <c r="AF30" i="63" s="1"/>
  <c r="AF31" i="63" s="1"/>
  <c r="AF32" i="63" s="1"/>
  <c r="AF33" i="63" s="1"/>
  <c r="AF34" i="63" s="1"/>
  <c r="AF35" i="63" s="1"/>
  <c r="AF36" i="63" s="1"/>
  <c r="AF37" i="63" s="1"/>
  <c r="AF38" i="63" s="1"/>
  <c r="AF39" i="63" s="1"/>
  <c r="AF40" i="63" s="1"/>
  <c r="AF41" i="63" s="1"/>
  <c r="AF42" i="63" s="1"/>
  <c r="AF43" i="63" s="1"/>
  <c r="AF44" i="63" s="1"/>
  <c r="AF45" i="63" s="1"/>
  <c r="AF46" i="63" s="1"/>
  <c r="AF47" i="63" s="1"/>
  <c r="AF48" i="63" s="1"/>
  <c r="AF49" i="63" s="1"/>
  <c r="AF50" i="63" s="1"/>
  <c r="AF51" i="63" s="1"/>
  <c r="AF52" i="63" s="1"/>
  <c r="AF53" i="63" s="1"/>
  <c r="AF54" i="63" s="1"/>
  <c r="AF55" i="63" s="1"/>
  <c r="AF56" i="63" s="1"/>
  <c r="AF57" i="63" s="1"/>
  <c r="AF58" i="63" s="1"/>
  <c r="AF59" i="63" s="1"/>
  <c r="AF60" i="63" s="1"/>
  <c r="AF61" i="63" s="1"/>
  <c r="AF62" i="63" s="1"/>
  <c r="AF63" i="63" s="1"/>
  <c r="AF64" i="63" s="1"/>
  <c r="AF65" i="63" s="1"/>
  <c r="AF66" i="63" s="1"/>
  <c r="AF67" i="63" s="1"/>
  <c r="AF68" i="63" s="1"/>
  <c r="AF69" i="63" s="1"/>
  <c r="AF70" i="63" s="1"/>
  <c r="AF71" i="63" s="1"/>
  <c r="AF72" i="63" s="1"/>
  <c r="AF73" i="63" s="1"/>
  <c r="AF74" i="63" s="1"/>
  <c r="AF75" i="63" s="1"/>
  <c r="AF76" i="63" s="1"/>
  <c r="AF77" i="63" s="1"/>
  <c r="AF78" i="63" s="1"/>
  <c r="AF79" i="63" s="1"/>
  <c r="AF80" i="63" s="1"/>
  <c r="AF81" i="63" s="1"/>
  <c r="AF82" i="63" s="1"/>
  <c r="AF83" i="63" s="1"/>
  <c r="AF84" i="63" s="1"/>
  <c r="AF85" i="63" s="1"/>
  <c r="AF86" i="63" s="1"/>
  <c r="AF87" i="63" s="1"/>
  <c r="AF88" i="63" s="1"/>
  <c r="AF89" i="63" s="1"/>
  <c r="AF90" i="63" s="1"/>
  <c r="AF91" i="63" s="1"/>
  <c r="AF92" i="63" s="1"/>
  <c r="AF93" i="63" s="1"/>
  <c r="AF94" i="63" s="1"/>
  <c r="AF95" i="63" s="1"/>
  <c r="AF96" i="63" s="1"/>
  <c r="AF97" i="63" s="1"/>
  <c r="AF98" i="63" s="1"/>
  <c r="AF99" i="63" s="1"/>
  <c r="AF100" i="63" s="1"/>
  <c r="AF101" i="63" s="1"/>
  <c r="AF102" i="63" s="1"/>
  <c r="AF103" i="63" s="1"/>
  <c r="AF104" i="63" s="1"/>
  <c r="AF105" i="63" s="1"/>
  <c r="AF106" i="63" s="1"/>
  <c r="AF107" i="63" s="1"/>
  <c r="AF108" i="63" s="1"/>
  <c r="AF109" i="63" s="1"/>
  <c r="AF110" i="63" s="1"/>
  <c r="AF111" i="63" s="1"/>
  <c r="AF112" i="63" s="1"/>
  <c r="AF113" i="63" s="1"/>
  <c r="AF114" i="63" s="1"/>
  <c r="AF115" i="63" s="1"/>
  <c r="AF116" i="63" s="1"/>
  <c r="AF117" i="63" s="1"/>
  <c r="AF118" i="63" s="1"/>
  <c r="AF119" i="63" s="1"/>
  <c r="AF120" i="63" s="1"/>
  <c r="AF121" i="63" s="1"/>
  <c r="AF122" i="63" s="1"/>
  <c r="AF123" i="63" s="1"/>
  <c r="AF124" i="63" s="1"/>
  <c r="AF125" i="63" s="1"/>
  <c r="AF126" i="63" s="1"/>
  <c r="AF127" i="63" s="1"/>
  <c r="AF128" i="63" s="1"/>
  <c r="AF129" i="63" s="1"/>
  <c r="AF130" i="63" s="1"/>
  <c r="AF131" i="63" s="1"/>
  <c r="AF132" i="63" s="1"/>
  <c r="AF133" i="63" s="1"/>
  <c r="AF134" i="63" s="1"/>
  <c r="AF135" i="63" s="1"/>
  <c r="AF136" i="63" s="1"/>
  <c r="AF137" i="63" s="1"/>
  <c r="AF138" i="63" s="1"/>
  <c r="AF139" i="63" s="1"/>
  <c r="AF140" i="63" s="1"/>
  <c r="AF141" i="63" s="1"/>
  <c r="AF142" i="63" s="1"/>
  <c r="AF143" i="63" s="1"/>
  <c r="AF144" i="63" s="1"/>
  <c r="AF145" i="63" s="1"/>
  <c r="AF146" i="63" s="1"/>
  <c r="AF147" i="63" s="1"/>
  <c r="AF148" i="63" s="1"/>
  <c r="AF149" i="63" s="1"/>
  <c r="AF150" i="63" s="1"/>
  <c r="AF151" i="63" s="1"/>
  <c r="AF152" i="63" s="1"/>
  <c r="AF153" i="63" s="1"/>
  <c r="AF154" i="63" s="1"/>
  <c r="AF155" i="63" s="1"/>
  <c r="AF156" i="63" s="1"/>
  <c r="AF157" i="63" s="1"/>
  <c r="AF158" i="63" s="1"/>
  <c r="AF159" i="63" s="1"/>
  <c r="AF160" i="63" s="1"/>
  <c r="AF161" i="63" s="1"/>
  <c r="AF162" i="63" s="1"/>
  <c r="AF163" i="63" s="1"/>
  <c r="AF164" i="63" s="1"/>
  <c r="AF165" i="63" s="1"/>
  <c r="AF166" i="63" s="1"/>
  <c r="AF167" i="63" s="1"/>
  <c r="AF168" i="63" s="1"/>
  <c r="AF169" i="63" s="1"/>
  <c r="AF170" i="63" s="1"/>
  <c r="AF171" i="63" s="1"/>
  <c r="AF172" i="63" s="1"/>
  <c r="AF173" i="63" s="1"/>
  <c r="AF174" i="63" s="1"/>
  <c r="AF175" i="63" s="1"/>
  <c r="AF176" i="63" s="1"/>
  <c r="AF177" i="63" s="1"/>
  <c r="AF178" i="63" s="1"/>
  <c r="AF179" i="63" s="1"/>
  <c r="AF180" i="63" s="1"/>
  <c r="AF181" i="63" s="1"/>
  <c r="AF182" i="63" s="1"/>
  <c r="AF183" i="63" s="1"/>
  <c r="AF184" i="63" s="1"/>
  <c r="AF185" i="63" s="1"/>
  <c r="AF186" i="63" s="1"/>
  <c r="AF187" i="63" s="1"/>
  <c r="AF188" i="63" s="1"/>
  <c r="AF189" i="63" s="1"/>
  <c r="AF190" i="63" s="1"/>
  <c r="AF191" i="63" s="1"/>
  <c r="AF193" i="63" s="1"/>
  <c r="AF195" i="63" s="1"/>
  <c r="AF197" i="63" s="1"/>
  <c r="AF199" i="63" s="1"/>
  <c r="AF201" i="63" s="1"/>
  <c r="AF203" i="63" s="1"/>
  <c r="AF205" i="63" s="1"/>
  <c r="AF207" i="63" s="1"/>
  <c r="AF209" i="63" s="1"/>
  <c r="AF211" i="63" s="1"/>
  <c r="AF213" i="63" s="1"/>
  <c r="AF215" i="63" s="1"/>
  <c r="AF217" i="63" s="1"/>
  <c r="AF219" i="63" s="1"/>
  <c r="AF221" i="63" s="1"/>
  <c r="AF223" i="63" s="1"/>
  <c r="AF225" i="63" s="1"/>
  <c r="AF227" i="63" s="1"/>
  <c r="AF229" i="63" s="1"/>
  <c r="AF231" i="63" s="1"/>
  <c r="AF233" i="63" s="1"/>
  <c r="AF235" i="63" s="1"/>
  <c r="AF237" i="63" s="1"/>
  <c r="AF239" i="63" s="1"/>
  <c r="AF241" i="63" s="1"/>
  <c r="AF243" i="63" s="1"/>
  <c r="AE12" i="63"/>
  <c r="AE13" i="63" s="1"/>
  <c r="AE14" i="63" s="1"/>
  <c r="AE15" i="63" s="1"/>
  <c r="AE16" i="63" s="1"/>
  <c r="AE17" i="63" s="1"/>
  <c r="AE18" i="63" s="1"/>
  <c r="AE19" i="63" s="1"/>
  <c r="AE20" i="63" s="1"/>
  <c r="AE21" i="63" s="1"/>
  <c r="AE22" i="63" s="1"/>
  <c r="AE23" i="63" s="1"/>
  <c r="AE24" i="63" s="1"/>
  <c r="AE25" i="63" s="1"/>
  <c r="AE26" i="63" s="1"/>
  <c r="AE27" i="63" s="1"/>
  <c r="AE28" i="63" s="1"/>
  <c r="AE29" i="63" s="1"/>
  <c r="AE30" i="63" s="1"/>
  <c r="AE31" i="63" s="1"/>
  <c r="AE32" i="63" s="1"/>
  <c r="AE33" i="63" s="1"/>
  <c r="AE34" i="63" s="1"/>
  <c r="AE35" i="63" s="1"/>
  <c r="AE36" i="63" s="1"/>
  <c r="AE37" i="63" s="1"/>
  <c r="AE38" i="63" s="1"/>
  <c r="AE39" i="63" s="1"/>
  <c r="AE40" i="63" s="1"/>
  <c r="AE41" i="63" s="1"/>
  <c r="AE42" i="63" s="1"/>
  <c r="AE43" i="63" s="1"/>
  <c r="AE44" i="63" s="1"/>
  <c r="AE45" i="63" s="1"/>
  <c r="AE46" i="63" s="1"/>
  <c r="AE47" i="63" s="1"/>
  <c r="AE48" i="63" s="1"/>
  <c r="AE49" i="63" s="1"/>
  <c r="AE50" i="63" s="1"/>
  <c r="AE51" i="63" s="1"/>
  <c r="AE52" i="63" s="1"/>
  <c r="AE53" i="63" s="1"/>
  <c r="AE54" i="63" s="1"/>
  <c r="AE55" i="63" s="1"/>
  <c r="AE56" i="63" s="1"/>
  <c r="AE57" i="63" s="1"/>
  <c r="AE58" i="63" s="1"/>
  <c r="AE59" i="63" s="1"/>
  <c r="AE60" i="63" s="1"/>
  <c r="AE61" i="63" s="1"/>
  <c r="AE62" i="63" s="1"/>
  <c r="AE63" i="63" s="1"/>
  <c r="AE64" i="63" s="1"/>
  <c r="AE65" i="63" s="1"/>
  <c r="AE66" i="63" s="1"/>
  <c r="AE67" i="63" s="1"/>
  <c r="AE68" i="63" s="1"/>
  <c r="AE69" i="63" s="1"/>
  <c r="AE70" i="63" s="1"/>
  <c r="AE71" i="63" s="1"/>
  <c r="AE72" i="63" s="1"/>
  <c r="AE73" i="63" s="1"/>
  <c r="AE74" i="63" s="1"/>
  <c r="AE75" i="63" s="1"/>
  <c r="AE76" i="63" s="1"/>
  <c r="AE77" i="63" s="1"/>
  <c r="AE78" i="63" s="1"/>
  <c r="AE79" i="63" s="1"/>
  <c r="AE80" i="63" s="1"/>
  <c r="AE81" i="63" s="1"/>
  <c r="AE82" i="63" s="1"/>
  <c r="AE83" i="63" s="1"/>
  <c r="AE84" i="63" s="1"/>
  <c r="AE85" i="63" s="1"/>
  <c r="AE86" i="63" s="1"/>
  <c r="AE87" i="63" s="1"/>
  <c r="AE88" i="63" s="1"/>
  <c r="AE89" i="63" s="1"/>
  <c r="AE90" i="63" s="1"/>
  <c r="AE91" i="63" s="1"/>
  <c r="AE92" i="63" s="1"/>
  <c r="AE93" i="63" s="1"/>
  <c r="AE94" i="63" s="1"/>
  <c r="AE95" i="63" s="1"/>
  <c r="AE96" i="63" s="1"/>
  <c r="AE97" i="63" s="1"/>
  <c r="AE98" i="63" s="1"/>
  <c r="AE99" i="63" s="1"/>
  <c r="AE100" i="63" s="1"/>
  <c r="AE101" i="63" s="1"/>
  <c r="AE102" i="63" s="1"/>
  <c r="AE103" i="63" s="1"/>
  <c r="AE104" i="63" s="1"/>
  <c r="AE105" i="63" s="1"/>
  <c r="AE106" i="63" s="1"/>
  <c r="AE107" i="63" s="1"/>
  <c r="AE108" i="63" s="1"/>
  <c r="AE109" i="63" s="1"/>
  <c r="AE110" i="63" s="1"/>
  <c r="AE111" i="63" s="1"/>
  <c r="AE112" i="63" s="1"/>
  <c r="AE113" i="63" s="1"/>
  <c r="AE114" i="63" s="1"/>
  <c r="AE115" i="63" s="1"/>
  <c r="AE116" i="63" s="1"/>
  <c r="AE117" i="63" s="1"/>
  <c r="AE118" i="63" s="1"/>
  <c r="AE119" i="63" s="1"/>
  <c r="AE120" i="63" s="1"/>
  <c r="AE121" i="63" s="1"/>
  <c r="AE122" i="63" s="1"/>
  <c r="AE123" i="63" s="1"/>
  <c r="AE124" i="63" s="1"/>
  <c r="AE125" i="63" s="1"/>
  <c r="AE126" i="63" s="1"/>
  <c r="AE127" i="63" s="1"/>
  <c r="AE128" i="63" s="1"/>
  <c r="AE129" i="63" s="1"/>
  <c r="AE130" i="63" s="1"/>
  <c r="AE131" i="63" s="1"/>
  <c r="AE132" i="63" s="1"/>
  <c r="AE133" i="63" s="1"/>
  <c r="AE134" i="63" s="1"/>
  <c r="AE135" i="63" s="1"/>
  <c r="AE136" i="63" s="1"/>
  <c r="AE137" i="63" s="1"/>
  <c r="AE138" i="63" s="1"/>
  <c r="AE139" i="63" s="1"/>
  <c r="AE140" i="63" s="1"/>
  <c r="AE141" i="63" s="1"/>
  <c r="AE142" i="63" s="1"/>
  <c r="AE143" i="63" s="1"/>
  <c r="AE144" i="63" s="1"/>
  <c r="AE145" i="63" s="1"/>
  <c r="AE146" i="63" s="1"/>
  <c r="AE147" i="63" s="1"/>
  <c r="AE148" i="63" s="1"/>
  <c r="AE149" i="63" s="1"/>
  <c r="AE150" i="63" s="1"/>
  <c r="AE151" i="63" s="1"/>
  <c r="AE152" i="63" s="1"/>
  <c r="AE153" i="63" s="1"/>
  <c r="AE154" i="63" s="1"/>
  <c r="AE155" i="63" s="1"/>
  <c r="AE156" i="63" s="1"/>
  <c r="AE157" i="63" s="1"/>
  <c r="AE158" i="63" s="1"/>
  <c r="AE159" i="63" s="1"/>
  <c r="AE160" i="63" s="1"/>
  <c r="AE161" i="63" s="1"/>
  <c r="AE162" i="63" s="1"/>
  <c r="AE163" i="63" s="1"/>
  <c r="AE164" i="63" s="1"/>
  <c r="AE165" i="63" s="1"/>
  <c r="AE166" i="63" s="1"/>
  <c r="AE167" i="63" s="1"/>
  <c r="AE168" i="63" s="1"/>
  <c r="AE169" i="63" s="1"/>
  <c r="AE170" i="63" s="1"/>
  <c r="AE171" i="63" s="1"/>
  <c r="AE172" i="63" s="1"/>
  <c r="AE173" i="63" s="1"/>
  <c r="AE174" i="63" s="1"/>
  <c r="AE175" i="63" s="1"/>
  <c r="AE176" i="63" s="1"/>
  <c r="AE177" i="63" s="1"/>
  <c r="AE178" i="63" s="1"/>
  <c r="AE179" i="63" s="1"/>
  <c r="AE180" i="63" s="1"/>
  <c r="AE181" i="63" s="1"/>
  <c r="AE182" i="63" s="1"/>
  <c r="AE183" i="63" s="1"/>
  <c r="AE184" i="63" s="1"/>
  <c r="AE185" i="63" s="1"/>
  <c r="AE186" i="63" s="1"/>
  <c r="AE187" i="63" s="1"/>
  <c r="AE188" i="63" s="1"/>
  <c r="AE189" i="63" s="1"/>
  <c r="AE190" i="63" s="1"/>
  <c r="AE192" i="63" s="1"/>
  <c r="Y12" i="63"/>
  <c r="Y13" i="63" s="1"/>
  <c r="X12" i="63"/>
  <c r="X13" i="63" s="1"/>
  <c r="X14" i="63" s="1"/>
  <c r="X15" i="63" s="1"/>
  <c r="X16" i="63" s="1"/>
  <c r="X17" i="63" s="1"/>
  <c r="X18" i="63" s="1"/>
  <c r="X19" i="63" s="1"/>
  <c r="X20" i="63" s="1"/>
  <c r="X21" i="63" s="1"/>
  <c r="X22" i="63" s="1"/>
  <c r="X23" i="63" s="1"/>
  <c r="X24" i="63" s="1"/>
  <c r="X25" i="63" s="1"/>
  <c r="X26" i="63" s="1"/>
  <c r="X27" i="63" s="1"/>
  <c r="X28" i="63" s="1"/>
  <c r="X29" i="63" s="1"/>
  <c r="X30" i="63" s="1"/>
  <c r="X31" i="63" s="1"/>
  <c r="X32" i="63" s="1"/>
  <c r="X33" i="63" s="1"/>
  <c r="X34" i="63" s="1"/>
  <c r="X35" i="63" s="1"/>
  <c r="X36" i="63" s="1"/>
  <c r="X37" i="63" s="1"/>
  <c r="X38" i="63" s="1"/>
  <c r="X39" i="63" s="1"/>
  <c r="X40" i="63" s="1"/>
  <c r="X41" i="63" s="1"/>
  <c r="X42" i="63" s="1"/>
  <c r="X43" i="63" s="1"/>
  <c r="X44" i="63" s="1"/>
  <c r="X45" i="63" s="1"/>
  <c r="X46" i="63" s="1"/>
  <c r="X47" i="63" s="1"/>
  <c r="X48" i="63" s="1"/>
  <c r="X49" i="63" s="1"/>
  <c r="X50" i="63" s="1"/>
  <c r="X51" i="63" s="1"/>
  <c r="X52" i="63" s="1"/>
  <c r="X53" i="63" s="1"/>
  <c r="X54" i="63" s="1"/>
  <c r="X55" i="63" s="1"/>
  <c r="X56" i="63" s="1"/>
  <c r="X57" i="63" s="1"/>
  <c r="X58" i="63" s="1"/>
  <c r="X59" i="63" s="1"/>
  <c r="X60" i="63" s="1"/>
  <c r="X61" i="63" s="1"/>
  <c r="X62" i="63" s="1"/>
  <c r="X63" i="63" s="1"/>
  <c r="X64" i="63" s="1"/>
  <c r="X65" i="63" s="1"/>
  <c r="X66" i="63" s="1"/>
  <c r="X67" i="63" s="1"/>
  <c r="X68" i="63" s="1"/>
  <c r="X69" i="63" s="1"/>
  <c r="X70" i="63" s="1"/>
  <c r="X71" i="63" s="1"/>
  <c r="X72" i="63" s="1"/>
  <c r="X73" i="63" s="1"/>
  <c r="X74" i="63" s="1"/>
  <c r="X75" i="63" s="1"/>
  <c r="X76" i="63" s="1"/>
  <c r="X77" i="63" s="1"/>
  <c r="X78" i="63" s="1"/>
  <c r="X79" i="63" s="1"/>
  <c r="X80" i="63" s="1"/>
  <c r="X81" i="63" s="1"/>
  <c r="X82" i="63" s="1"/>
  <c r="X83" i="63" s="1"/>
  <c r="X84" i="63" s="1"/>
  <c r="X85" i="63" s="1"/>
  <c r="X86" i="63" s="1"/>
  <c r="X87" i="63" s="1"/>
  <c r="X88" i="63" s="1"/>
  <c r="X89" i="63" s="1"/>
  <c r="X90" i="63" s="1"/>
  <c r="X91" i="63" s="1"/>
  <c r="X92" i="63" s="1"/>
  <c r="X93" i="63" s="1"/>
  <c r="X94" i="63" s="1"/>
  <c r="X95" i="63" s="1"/>
  <c r="X96" i="63" s="1"/>
  <c r="X97" i="63" s="1"/>
  <c r="X98" i="63" s="1"/>
  <c r="X99" i="63" s="1"/>
  <c r="X100" i="63" s="1"/>
  <c r="X101" i="63" s="1"/>
  <c r="X102" i="63" s="1"/>
  <c r="X103" i="63" s="1"/>
  <c r="X104" i="63" s="1"/>
  <c r="X105" i="63" s="1"/>
  <c r="X106" i="63" s="1"/>
  <c r="X107" i="63" s="1"/>
  <c r="X108" i="63" s="1"/>
  <c r="X109" i="63" s="1"/>
  <c r="X110" i="63" s="1"/>
  <c r="X111" i="63" s="1"/>
  <c r="X112" i="63" s="1"/>
  <c r="X113" i="63" s="1"/>
  <c r="X114" i="63" s="1"/>
  <c r="X115" i="63" s="1"/>
  <c r="X116" i="63" s="1"/>
  <c r="X117" i="63" s="1"/>
  <c r="X118" i="63" s="1"/>
  <c r="X119" i="63" s="1"/>
  <c r="X120" i="63" s="1"/>
  <c r="X121" i="63" s="1"/>
  <c r="X122" i="63" s="1"/>
  <c r="X123" i="63" s="1"/>
  <c r="X124" i="63" s="1"/>
  <c r="X125" i="63" s="1"/>
  <c r="X126" i="63" s="1"/>
  <c r="X127" i="63" s="1"/>
  <c r="X128" i="63" s="1"/>
  <c r="X129" i="63" s="1"/>
  <c r="X130" i="63" s="1"/>
  <c r="X131" i="63" s="1"/>
  <c r="X132" i="63" s="1"/>
  <c r="X133" i="63" s="1"/>
  <c r="X134" i="63" s="1"/>
  <c r="X135" i="63" s="1"/>
  <c r="X136" i="63" s="1"/>
  <c r="X137" i="63" s="1"/>
  <c r="X138" i="63" s="1"/>
  <c r="X139" i="63" s="1"/>
  <c r="X140" i="63" s="1"/>
  <c r="X141" i="63" s="1"/>
  <c r="X142" i="63" s="1"/>
  <c r="X143" i="63" s="1"/>
  <c r="X144" i="63" s="1"/>
  <c r="X145" i="63" s="1"/>
  <c r="X146" i="63" s="1"/>
  <c r="X147" i="63" s="1"/>
  <c r="X148" i="63" s="1"/>
  <c r="X149" i="63" s="1"/>
  <c r="X150" i="63" s="1"/>
  <c r="X151" i="63" s="1"/>
  <c r="X152" i="63" s="1"/>
  <c r="X153" i="63" s="1"/>
  <c r="X154" i="63" s="1"/>
  <c r="X155" i="63" s="1"/>
  <c r="X156" i="63" s="1"/>
  <c r="X157" i="63" s="1"/>
  <c r="X158" i="63" s="1"/>
  <c r="X159" i="63" s="1"/>
  <c r="X160" i="63" s="1"/>
  <c r="X161" i="63" s="1"/>
  <c r="X162" i="63" s="1"/>
  <c r="X163" i="63" s="1"/>
  <c r="X164" i="63" s="1"/>
  <c r="X165" i="63" s="1"/>
  <c r="X166" i="63" s="1"/>
  <c r="X167" i="63" s="1"/>
  <c r="X168" i="63" s="1"/>
  <c r="X169" i="63" s="1"/>
  <c r="X170" i="63" s="1"/>
  <c r="X171" i="63" s="1"/>
  <c r="X172" i="63" s="1"/>
  <c r="X173" i="63" s="1"/>
  <c r="X174" i="63" s="1"/>
  <c r="X175" i="63" s="1"/>
  <c r="X176" i="63" s="1"/>
  <c r="X177" i="63" s="1"/>
  <c r="X178" i="63" s="1"/>
  <c r="X179" i="63" s="1"/>
  <c r="X180" i="63" s="1"/>
  <c r="X181" i="63" s="1"/>
  <c r="X182" i="63" s="1"/>
  <c r="X183" i="63" s="1"/>
  <c r="X184" i="63" s="1"/>
  <c r="X185" i="63" s="1"/>
  <c r="X186" i="63" s="1"/>
  <c r="X187" i="63" s="1"/>
  <c r="X188" i="63" s="1"/>
  <c r="X189" i="63" s="1"/>
  <c r="X190" i="63" s="1"/>
  <c r="X191" i="63" s="1"/>
  <c r="X193" i="63" s="1"/>
  <c r="X195" i="63" s="1"/>
  <c r="X197" i="63" s="1"/>
  <c r="X199" i="63" s="1"/>
  <c r="X201" i="63" s="1"/>
  <c r="X203" i="63" s="1"/>
  <c r="X205" i="63" s="1"/>
  <c r="X207" i="63" s="1"/>
  <c r="X209" i="63" s="1"/>
  <c r="X211" i="63" s="1"/>
  <c r="X213" i="63" s="1"/>
  <c r="X215" i="63" s="1"/>
  <c r="X217" i="63" s="1"/>
  <c r="X219" i="63" s="1"/>
  <c r="X221" i="63" s="1"/>
  <c r="X223" i="63" s="1"/>
  <c r="X225" i="63" s="1"/>
  <c r="X227" i="63" s="1"/>
  <c r="X229" i="63" s="1"/>
  <c r="X231" i="63" s="1"/>
  <c r="X233" i="63" s="1"/>
  <c r="X235" i="63" s="1"/>
  <c r="X237" i="63" s="1"/>
  <c r="X239" i="63" s="1"/>
  <c r="X241" i="63" s="1"/>
  <c r="X243" i="63" s="1"/>
  <c r="W12" i="63"/>
  <c r="W13" i="63" s="1"/>
  <c r="W14" i="63" s="1"/>
  <c r="W15" i="63" s="1"/>
  <c r="W16" i="63" s="1"/>
  <c r="W17" i="63" s="1"/>
  <c r="W18" i="63" s="1"/>
  <c r="W19" i="63" s="1"/>
  <c r="W20" i="63" s="1"/>
  <c r="W21" i="63" s="1"/>
  <c r="W22" i="63" s="1"/>
  <c r="W23" i="63" s="1"/>
  <c r="W24" i="63" s="1"/>
  <c r="W25" i="63" s="1"/>
  <c r="W26" i="63" s="1"/>
  <c r="W27" i="63" s="1"/>
  <c r="W28" i="63" s="1"/>
  <c r="W29" i="63" s="1"/>
  <c r="W30" i="63" s="1"/>
  <c r="W31" i="63" s="1"/>
  <c r="W32" i="63" s="1"/>
  <c r="W33" i="63" s="1"/>
  <c r="W34" i="63" s="1"/>
  <c r="W35" i="63" s="1"/>
  <c r="W36" i="63" s="1"/>
  <c r="W37" i="63" s="1"/>
  <c r="W38" i="63" s="1"/>
  <c r="W39" i="63" s="1"/>
  <c r="W40" i="63" s="1"/>
  <c r="W41" i="63" s="1"/>
  <c r="W42" i="63" s="1"/>
  <c r="W43" i="63" s="1"/>
  <c r="W44" i="63" s="1"/>
  <c r="W45" i="63" s="1"/>
  <c r="W46" i="63" s="1"/>
  <c r="W47" i="63" s="1"/>
  <c r="W48" i="63" s="1"/>
  <c r="W49" i="63" s="1"/>
  <c r="W50" i="63" s="1"/>
  <c r="W51" i="63" s="1"/>
  <c r="W52" i="63" s="1"/>
  <c r="W53" i="63" s="1"/>
  <c r="W54" i="63" s="1"/>
  <c r="W55" i="63" s="1"/>
  <c r="W56" i="63" s="1"/>
  <c r="W57" i="63" s="1"/>
  <c r="W58" i="63" s="1"/>
  <c r="W59" i="63" s="1"/>
  <c r="W60" i="63" s="1"/>
  <c r="W61" i="63" s="1"/>
  <c r="W62" i="63" s="1"/>
  <c r="W63" i="63" s="1"/>
  <c r="W64" i="63" s="1"/>
  <c r="W65" i="63" s="1"/>
  <c r="W66" i="63" s="1"/>
  <c r="W67" i="63" s="1"/>
  <c r="W68" i="63" s="1"/>
  <c r="W69" i="63" s="1"/>
  <c r="W70" i="63" s="1"/>
  <c r="W71" i="63" s="1"/>
  <c r="W72" i="63" s="1"/>
  <c r="W73" i="63" s="1"/>
  <c r="W74" i="63" s="1"/>
  <c r="W75" i="63" s="1"/>
  <c r="W76" i="63" s="1"/>
  <c r="W77" i="63" s="1"/>
  <c r="W78" i="63" s="1"/>
  <c r="W79" i="63" s="1"/>
  <c r="W80" i="63" s="1"/>
  <c r="W81" i="63" s="1"/>
  <c r="W82" i="63" s="1"/>
  <c r="W83" i="63" s="1"/>
  <c r="W84" i="63" s="1"/>
  <c r="W85" i="63" s="1"/>
  <c r="W86" i="63" s="1"/>
  <c r="W87" i="63" s="1"/>
  <c r="W88" i="63" s="1"/>
  <c r="W89" i="63" s="1"/>
  <c r="W90" i="63" s="1"/>
  <c r="W91" i="63" s="1"/>
  <c r="W92" i="63" s="1"/>
  <c r="W93" i="63" s="1"/>
  <c r="W94" i="63" s="1"/>
  <c r="W95" i="63" s="1"/>
  <c r="W96" i="63" s="1"/>
  <c r="W97" i="63" s="1"/>
  <c r="W98" i="63" s="1"/>
  <c r="W99" i="63" s="1"/>
  <c r="W100" i="63" s="1"/>
  <c r="W101" i="63" s="1"/>
  <c r="W102" i="63" s="1"/>
  <c r="W103" i="63" s="1"/>
  <c r="W104" i="63" s="1"/>
  <c r="W105" i="63" s="1"/>
  <c r="W106" i="63" s="1"/>
  <c r="W107" i="63" s="1"/>
  <c r="W108" i="63" s="1"/>
  <c r="W109" i="63" s="1"/>
  <c r="W110" i="63" s="1"/>
  <c r="W111" i="63" s="1"/>
  <c r="W112" i="63" s="1"/>
  <c r="W113" i="63" s="1"/>
  <c r="W114" i="63" s="1"/>
  <c r="W115" i="63" s="1"/>
  <c r="W116" i="63" s="1"/>
  <c r="W117" i="63" s="1"/>
  <c r="W118" i="63" s="1"/>
  <c r="W119" i="63" s="1"/>
  <c r="W120" i="63" s="1"/>
  <c r="W121" i="63" s="1"/>
  <c r="W122" i="63" s="1"/>
  <c r="W123" i="63" s="1"/>
  <c r="W124" i="63" s="1"/>
  <c r="W125" i="63" s="1"/>
  <c r="W126" i="63" s="1"/>
  <c r="W127" i="63" s="1"/>
  <c r="W128" i="63" s="1"/>
  <c r="W129" i="63" s="1"/>
  <c r="W130" i="63" s="1"/>
  <c r="W131" i="63" s="1"/>
  <c r="W132" i="63" s="1"/>
  <c r="W133" i="63" s="1"/>
  <c r="W134" i="63" s="1"/>
  <c r="W135" i="63" s="1"/>
  <c r="W136" i="63" s="1"/>
  <c r="W137" i="63" s="1"/>
  <c r="W138" i="63" s="1"/>
  <c r="W139" i="63" s="1"/>
  <c r="W140" i="63" s="1"/>
  <c r="W141" i="63" s="1"/>
  <c r="W142" i="63" s="1"/>
  <c r="W143" i="63" s="1"/>
  <c r="W144" i="63" s="1"/>
  <c r="W145" i="63" s="1"/>
  <c r="W146" i="63" s="1"/>
  <c r="W147" i="63" s="1"/>
  <c r="W148" i="63" s="1"/>
  <c r="W149" i="63" s="1"/>
  <c r="W150" i="63" s="1"/>
  <c r="W151" i="63" s="1"/>
  <c r="W152" i="63" s="1"/>
  <c r="W153" i="63" s="1"/>
  <c r="W154" i="63" s="1"/>
  <c r="W155" i="63" s="1"/>
  <c r="W156" i="63" s="1"/>
  <c r="W157" i="63" s="1"/>
  <c r="W158" i="63" s="1"/>
  <c r="W159" i="63" s="1"/>
  <c r="W160" i="63" s="1"/>
  <c r="W161" i="63" s="1"/>
  <c r="W162" i="63" s="1"/>
  <c r="W163" i="63" s="1"/>
  <c r="W164" i="63" s="1"/>
  <c r="W165" i="63" s="1"/>
  <c r="W166" i="63" s="1"/>
  <c r="W167" i="63" s="1"/>
  <c r="W168" i="63" s="1"/>
  <c r="W169" i="63" s="1"/>
  <c r="W170" i="63" s="1"/>
  <c r="W171" i="63" s="1"/>
  <c r="W172" i="63" s="1"/>
  <c r="W173" i="63" s="1"/>
  <c r="W174" i="63" s="1"/>
  <c r="W175" i="63" s="1"/>
  <c r="W176" i="63" s="1"/>
  <c r="W177" i="63" s="1"/>
  <c r="W178" i="63" s="1"/>
  <c r="W179" i="63" s="1"/>
  <c r="W180" i="63" s="1"/>
  <c r="W181" i="63" s="1"/>
  <c r="W182" i="63" s="1"/>
  <c r="W183" i="63" s="1"/>
  <c r="W184" i="63" s="1"/>
  <c r="W185" i="63" s="1"/>
  <c r="W186" i="63" s="1"/>
  <c r="W187" i="63" s="1"/>
  <c r="W188" i="63" s="1"/>
  <c r="W189" i="63" s="1"/>
  <c r="W190" i="63" s="1"/>
  <c r="W191" i="63" s="1"/>
  <c r="W193" i="63" s="1"/>
  <c r="W195" i="63" s="1"/>
  <c r="W197" i="63" s="1"/>
  <c r="W199" i="63" s="1"/>
  <c r="W201" i="63" s="1"/>
  <c r="W203" i="63" s="1"/>
  <c r="W205" i="63" s="1"/>
  <c r="W207" i="63" s="1"/>
  <c r="W209" i="63" s="1"/>
  <c r="W211" i="63" s="1"/>
  <c r="W213" i="63" s="1"/>
  <c r="W215" i="63" s="1"/>
  <c r="W217" i="63" s="1"/>
  <c r="W219" i="63" s="1"/>
  <c r="W221" i="63" s="1"/>
  <c r="W223" i="63" s="1"/>
  <c r="W225" i="63" s="1"/>
  <c r="W227" i="63" s="1"/>
  <c r="W229" i="63" s="1"/>
  <c r="V12" i="63"/>
  <c r="V13" i="63" s="1"/>
  <c r="V14" i="63" s="1"/>
  <c r="V15" i="63" s="1"/>
  <c r="V16" i="63" s="1"/>
  <c r="V17" i="63" s="1"/>
  <c r="V18" i="63" s="1"/>
  <c r="V19" i="63" s="1"/>
  <c r="V20" i="63" s="1"/>
  <c r="V21" i="63" s="1"/>
  <c r="V22" i="63" s="1"/>
  <c r="V23" i="63" s="1"/>
  <c r="V24" i="63" s="1"/>
  <c r="V25" i="63" s="1"/>
  <c r="V26" i="63" s="1"/>
  <c r="V27" i="63" s="1"/>
  <c r="V28" i="63" s="1"/>
  <c r="V29" i="63" s="1"/>
  <c r="V30" i="63" s="1"/>
  <c r="V31" i="63" s="1"/>
  <c r="V32" i="63" s="1"/>
  <c r="V33" i="63" s="1"/>
  <c r="V34" i="63" s="1"/>
  <c r="V35" i="63" s="1"/>
  <c r="V36" i="63" s="1"/>
  <c r="V37" i="63" s="1"/>
  <c r="V38" i="63" s="1"/>
  <c r="V39" i="63" s="1"/>
  <c r="V40" i="63" s="1"/>
  <c r="V41" i="63" s="1"/>
  <c r="V42" i="63" s="1"/>
  <c r="V43" i="63" s="1"/>
  <c r="V44" i="63" s="1"/>
  <c r="V45" i="63" s="1"/>
  <c r="V46" i="63" s="1"/>
  <c r="V47" i="63" s="1"/>
  <c r="V48" i="63" s="1"/>
  <c r="V49" i="63" s="1"/>
  <c r="V50" i="63" s="1"/>
  <c r="V51" i="63" s="1"/>
  <c r="V52" i="63" s="1"/>
  <c r="V53" i="63" s="1"/>
  <c r="V54" i="63" s="1"/>
  <c r="V55" i="63" s="1"/>
  <c r="V56" i="63" s="1"/>
  <c r="V57" i="63" s="1"/>
  <c r="V58" i="63" s="1"/>
  <c r="V59" i="63" s="1"/>
  <c r="V60" i="63" s="1"/>
  <c r="V61" i="63" s="1"/>
  <c r="V62" i="63" s="1"/>
  <c r="V63" i="63" s="1"/>
  <c r="V64" i="63" s="1"/>
  <c r="V65" i="63" s="1"/>
  <c r="V66" i="63" s="1"/>
  <c r="V67" i="63" s="1"/>
  <c r="V68" i="63" s="1"/>
  <c r="V69" i="63" s="1"/>
  <c r="V70" i="63" s="1"/>
  <c r="V71" i="63" s="1"/>
  <c r="V72" i="63" s="1"/>
  <c r="V73" i="63" s="1"/>
  <c r="V74" i="63" s="1"/>
  <c r="V75" i="63" s="1"/>
  <c r="V76" i="63" s="1"/>
  <c r="V77" i="63" s="1"/>
  <c r="V78" i="63" s="1"/>
  <c r="V79" i="63" s="1"/>
  <c r="V80" i="63" s="1"/>
  <c r="V81" i="63" s="1"/>
  <c r="V82" i="63" s="1"/>
  <c r="V83" i="63" s="1"/>
  <c r="V84" i="63" s="1"/>
  <c r="V85" i="63" s="1"/>
  <c r="V86" i="63" s="1"/>
  <c r="V87" i="63" s="1"/>
  <c r="V88" i="63" s="1"/>
  <c r="V89" i="63" s="1"/>
  <c r="V90" i="63" s="1"/>
  <c r="V91" i="63" s="1"/>
  <c r="V92" i="63" s="1"/>
  <c r="V93" i="63" s="1"/>
  <c r="V94" i="63" s="1"/>
  <c r="V95" i="63" s="1"/>
  <c r="V96" i="63" s="1"/>
  <c r="V97" i="63" s="1"/>
  <c r="V98" i="63" s="1"/>
  <c r="V99" i="63" s="1"/>
  <c r="V100" i="63" s="1"/>
  <c r="V101" i="63" s="1"/>
  <c r="V102" i="63" s="1"/>
  <c r="V103" i="63" s="1"/>
  <c r="V104" i="63" s="1"/>
  <c r="V105" i="63" s="1"/>
  <c r="V106" i="63" s="1"/>
  <c r="V107" i="63" s="1"/>
  <c r="V108" i="63" s="1"/>
  <c r="V109" i="63" s="1"/>
  <c r="V110" i="63" s="1"/>
  <c r="V111" i="63" s="1"/>
  <c r="V112" i="63" s="1"/>
  <c r="V113" i="63" s="1"/>
  <c r="V114" i="63" s="1"/>
  <c r="V115" i="63" s="1"/>
  <c r="V116" i="63" s="1"/>
  <c r="V117" i="63" s="1"/>
  <c r="V118" i="63" s="1"/>
  <c r="V119" i="63" s="1"/>
  <c r="V120" i="63" s="1"/>
  <c r="V121" i="63" s="1"/>
  <c r="V122" i="63" s="1"/>
  <c r="V123" i="63" s="1"/>
  <c r="V124" i="63" s="1"/>
  <c r="V125" i="63" s="1"/>
  <c r="V126" i="63" s="1"/>
  <c r="V127" i="63" s="1"/>
  <c r="V128" i="63" s="1"/>
  <c r="V129" i="63" s="1"/>
  <c r="V130" i="63" s="1"/>
  <c r="V131" i="63" s="1"/>
  <c r="V132" i="63" s="1"/>
  <c r="V133" i="63" s="1"/>
  <c r="V134" i="63" s="1"/>
  <c r="V135" i="63" s="1"/>
  <c r="V136" i="63" s="1"/>
  <c r="V137" i="63" s="1"/>
  <c r="V138" i="63" s="1"/>
  <c r="V139" i="63" s="1"/>
  <c r="V140" i="63" s="1"/>
  <c r="V141" i="63" s="1"/>
  <c r="V142" i="63" s="1"/>
  <c r="V143" i="63" s="1"/>
  <c r="V144" i="63" s="1"/>
  <c r="V145" i="63" s="1"/>
  <c r="V146" i="63" s="1"/>
  <c r="V147" i="63" s="1"/>
  <c r="V148" i="63" s="1"/>
  <c r="V149" i="63" s="1"/>
  <c r="V150" i="63" s="1"/>
  <c r="V151" i="63" s="1"/>
  <c r="V152" i="63" s="1"/>
  <c r="V153" i="63" s="1"/>
  <c r="V154" i="63" s="1"/>
  <c r="V155" i="63" s="1"/>
  <c r="V156" i="63" s="1"/>
  <c r="V157" i="63" s="1"/>
  <c r="V158" i="63" s="1"/>
  <c r="V159" i="63" s="1"/>
  <c r="V160" i="63" s="1"/>
  <c r="V161" i="63" s="1"/>
  <c r="V162" i="63" s="1"/>
  <c r="V163" i="63" s="1"/>
  <c r="V164" i="63" s="1"/>
  <c r="V165" i="63" s="1"/>
  <c r="V166" i="63" s="1"/>
  <c r="V167" i="63" s="1"/>
  <c r="V168" i="63" s="1"/>
  <c r="V169" i="63" s="1"/>
  <c r="V170" i="63" s="1"/>
  <c r="V171" i="63" s="1"/>
  <c r="V172" i="63" s="1"/>
  <c r="V173" i="63" s="1"/>
  <c r="V174" i="63" s="1"/>
  <c r="V175" i="63" s="1"/>
  <c r="V176" i="63" s="1"/>
  <c r="V177" i="63" s="1"/>
  <c r="V178" i="63" s="1"/>
  <c r="V179" i="63" s="1"/>
  <c r="V180" i="63" s="1"/>
  <c r="V181" i="63" s="1"/>
  <c r="V182" i="63" s="1"/>
  <c r="V183" i="63" s="1"/>
  <c r="V184" i="63" s="1"/>
  <c r="V185" i="63" s="1"/>
  <c r="V186" i="63" s="1"/>
  <c r="V187" i="63" s="1"/>
  <c r="V188" i="63" s="1"/>
  <c r="V189" i="63" s="1"/>
  <c r="V190" i="63" s="1"/>
  <c r="V191" i="63" s="1"/>
  <c r="V193" i="63" s="1"/>
  <c r="V195" i="63" s="1"/>
  <c r="V197" i="63" s="1"/>
  <c r="V199" i="63" s="1"/>
  <c r="V201" i="63" s="1"/>
  <c r="V203" i="63" s="1"/>
  <c r="V205" i="63" s="1"/>
  <c r="V207" i="63" s="1"/>
  <c r="V209" i="63" s="1"/>
  <c r="V211" i="63" s="1"/>
  <c r="V213" i="63" s="1"/>
  <c r="V215" i="63" s="1"/>
  <c r="V217" i="63" s="1"/>
  <c r="V219" i="63" s="1"/>
  <c r="V221" i="63" s="1"/>
  <c r="V223" i="63" s="1"/>
  <c r="V225" i="63" s="1"/>
  <c r="V227" i="63" s="1"/>
  <c r="V229" i="63" s="1"/>
  <c r="V231" i="63" s="1"/>
  <c r="V233" i="63" s="1"/>
  <c r="V235" i="63" s="1"/>
  <c r="V237" i="63" s="1"/>
  <c r="V239" i="63" s="1"/>
  <c r="V241" i="63" s="1"/>
  <c r="V243" i="63" s="1"/>
  <c r="U12" i="63"/>
  <c r="U13" i="63" s="1"/>
  <c r="U14" i="63" s="1"/>
  <c r="U15" i="63" s="1"/>
  <c r="U16" i="63" s="1"/>
  <c r="U17" i="63" s="1"/>
  <c r="U18" i="63" s="1"/>
  <c r="U19" i="63" s="1"/>
  <c r="U20" i="63" s="1"/>
  <c r="U21" i="63" s="1"/>
  <c r="U22" i="63" s="1"/>
  <c r="U23" i="63" s="1"/>
  <c r="U24" i="63" s="1"/>
  <c r="U25" i="63" s="1"/>
  <c r="U26" i="63" s="1"/>
  <c r="U27" i="63" s="1"/>
  <c r="U28" i="63" s="1"/>
  <c r="U29" i="63" s="1"/>
  <c r="U30" i="63" s="1"/>
  <c r="U31" i="63" s="1"/>
  <c r="U32" i="63" s="1"/>
  <c r="U33" i="63" s="1"/>
  <c r="U34" i="63" s="1"/>
  <c r="U35" i="63" s="1"/>
  <c r="U36" i="63" s="1"/>
  <c r="U37" i="63" s="1"/>
  <c r="U38" i="63" s="1"/>
  <c r="U39" i="63" s="1"/>
  <c r="U40" i="63" s="1"/>
  <c r="U41" i="63" s="1"/>
  <c r="U42" i="63" s="1"/>
  <c r="U43" i="63" s="1"/>
  <c r="U44" i="63" s="1"/>
  <c r="U45" i="63" s="1"/>
  <c r="U46" i="63" s="1"/>
  <c r="U47" i="63" s="1"/>
  <c r="U48" i="63" s="1"/>
  <c r="U49" i="63" s="1"/>
  <c r="U50" i="63" s="1"/>
  <c r="U51" i="63" s="1"/>
  <c r="U52" i="63" s="1"/>
  <c r="U53" i="63" s="1"/>
  <c r="U54" i="63" s="1"/>
  <c r="U55" i="63" s="1"/>
  <c r="U56" i="63" s="1"/>
  <c r="U57" i="63" s="1"/>
  <c r="U58" i="63" s="1"/>
  <c r="U59" i="63" s="1"/>
  <c r="U60" i="63" s="1"/>
  <c r="U61" i="63" s="1"/>
  <c r="U62" i="63" s="1"/>
  <c r="U63" i="63" s="1"/>
  <c r="U64" i="63" s="1"/>
  <c r="U65" i="63" s="1"/>
  <c r="U66" i="63" s="1"/>
  <c r="U67" i="63" s="1"/>
  <c r="U68" i="63" s="1"/>
  <c r="U69" i="63" s="1"/>
  <c r="U70" i="63" s="1"/>
  <c r="U71" i="63" s="1"/>
  <c r="U72" i="63" s="1"/>
  <c r="U73" i="63" s="1"/>
  <c r="U74" i="63" s="1"/>
  <c r="U75" i="63" s="1"/>
  <c r="U76" i="63" s="1"/>
  <c r="U77" i="63" s="1"/>
  <c r="U78" i="63" s="1"/>
  <c r="U79" i="63" s="1"/>
  <c r="U80" i="63" s="1"/>
  <c r="U81" i="63" s="1"/>
  <c r="U82" i="63" s="1"/>
  <c r="U83" i="63" s="1"/>
  <c r="U84" i="63" s="1"/>
  <c r="U85" i="63" s="1"/>
  <c r="U86" i="63" s="1"/>
  <c r="U87" i="63" s="1"/>
  <c r="U88" i="63" s="1"/>
  <c r="U89" i="63" s="1"/>
  <c r="U90" i="63" s="1"/>
  <c r="U91" i="63" s="1"/>
  <c r="U92" i="63" s="1"/>
  <c r="U93" i="63" s="1"/>
  <c r="U94" i="63" s="1"/>
  <c r="U95" i="63" s="1"/>
  <c r="U96" i="63" s="1"/>
  <c r="U97" i="63" s="1"/>
  <c r="U98" i="63" s="1"/>
  <c r="U99" i="63" s="1"/>
  <c r="U100" i="63" s="1"/>
  <c r="U101" i="63" s="1"/>
  <c r="U102" i="63" s="1"/>
  <c r="U103" i="63" s="1"/>
  <c r="U104" i="63" s="1"/>
  <c r="U105" i="63" s="1"/>
  <c r="U106" i="63" s="1"/>
  <c r="U107" i="63" s="1"/>
  <c r="U108" i="63" s="1"/>
  <c r="U109" i="63" s="1"/>
  <c r="U110" i="63" s="1"/>
  <c r="U111" i="63" s="1"/>
  <c r="U112" i="63" s="1"/>
  <c r="U113" i="63" s="1"/>
  <c r="U114" i="63" s="1"/>
  <c r="U115" i="63" s="1"/>
  <c r="U116" i="63" s="1"/>
  <c r="U117" i="63" s="1"/>
  <c r="U118" i="63" s="1"/>
  <c r="U119" i="63" s="1"/>
  <c r="U120" i="63" s="1"/>
  <c r="U121" i="63" s="1"/>
  <c r="U122" i="63" s="1"/>
  <c r="U123" i="63" s="1"/>
  <c r="U124" i="63" s="1"/>
  <c r="U125" i="63" s="1"/>
  <c r="U126" i="63" s="1"/>
  <c r="U127" i="63" s="1"/>
  <c r="U128" i="63" s="1"/>
  <c r="U129" i="63" s="1"/>
  <c r="U130" i="63" s="1"/>
  <c r="U131" i="63" s="1"/>
  <c r="U132" i="63" s="1"/>
  <c r="U133" i="63" s="1"/>
  <c r="U134" i="63" s="1"/>
  <c r="U135" i="63" s="1"/>
  <c r="U136" i="63" s="1"/>
  <c r="U137" i="63" s="1"/>
  <c r="U138" i="63" s="1"/>
  <c r="U139" i="63" s="1"/>
  <c r="U140" i="63" s="1"/>
  <c r="U141" i="63" s="1"/>
  <c r="U142" i="63" s="1"/>
  <c r="U143" i="63" s="1"/>
  <c r="U144" i="63" s="1"/>
  <c r="U145" i="63" s="1"/>
  <c r="U146" i="63" s="1"/>
  <c r="U147" i="63" s="1"/>
  <c r="U148" i="63" s="1"/>
  <c r="U149" i="63" s="1"/>
  <c r="U150" i="63" s="1"/>
  <c r="U151" i="63" s="1"/>
  <c r="U152" i="63" s="1"/>
  <c r="U153" i="63" s="1"/>
  <c r="U154" i="63" s="1"/>
  <c r="U155" i="63" s="1"/>
  <c r="U156" i="63" s="1"/>
  <c r="U157" i="63" s="1"/>
  <c r="U158" i="63" s="1"/>
  <c r="U159" i="63" s="1"/>
  <c r="U160" i="63" s="1"/>
  <c r="U161" i="63" s="1"/>
  <c r="U162" i="63" s="1"/>
  <c r="U163" i="63" s="1"/>
  <c r="U164" i="63" s="1"/>
  <c r="U165" i="63" s="1"/>
  <c r="U166" i="63" s="1"/>
  <c r="U167" i="63" s="1"/>
  <c r="U168" i="63" s="1"/>
  <c r="U169" i="63" s="1"/>
  <c r="U170" i="63" s="1"/>
  <c r="U171" i="63" s="1"/>
  <c r="U172" i="63" s="1"/>
  <c r="U173" i="63" s="1"/>
  <c r="U174" i="63" s="1"/>
  <c r="U175" i="63" s="1"/>
  <c r="U176" i="63" s="1"/>
  <c r="U177" i="63" s="1"/>
  <c r="U178" i="63" s="1"/>
  <c r="U179" i="63" s="1"/>
  <c r="U180" i="63" s="1"/>
  <c r="U181" i="63" s="1"/>
  <c r="U182" i="63" s="1"/>
  <c r="U183" i="63" s="1"/>
  <c r="U184" i="63" s="1"/>
  <c r="U185" i="63" s="1"/>
  <c r="U186" i="63" s="1"/>
  <c r="U187" i="63" s="1"/>
  <c r="U188" i="63" s="1"/>
  <c r="U189" i="63" s="1"/>
  <c r="U190" i="63" s="1"/>
  <c r="U191" i="63" s="1"/>
  <c r="U193" i="63" s="1"/>
  <c r="U195" i="63" s="1"/>
  <c r="U197" i="63" s="1"/>
  <c r="U199" i="63" s="1"/>
  <c r="U201" i="63" s="1"/>
  <c r="U203" i="63" s="1"/>
  <c r="U205" i="63" s="1"/>
  <c r="U207" i="63" s="1"/>
  <c r="U209" i="63" s="1"/>
  <c r="U211" i="63" s="1"/>
  <c r="U213" i="63" s="1"/>
  <c r="U215" i="63" s="1"/>
  <c r="U217" i="63" s="1"/>
  <c r="U219" i="63" s="1"/>
  <c r="U221" i="63" s="1"/>
  <c r="U223" i="63" s="1"/>
  <c r="U225" i="63" s="1"/>
  <c r="U227" i="63" s="1"/>
  <c r="T12" i="63"/>
  <c r="T13" i="63" s="1"/>
  <c r="T14" i="63" s="1"/>
  <c r="S12" i="63"/>
  <c r="S13" i="63" s="1"/>
  <c r="R12" i="63"/>
  <c r="R13" i="63" s="1"/>
  <c r="Q12" i="63"/>
  <c r="P12" i="63"/>
  <c r="P13" i="63" s="1"/>
  <c r="D12" i="63"/>
  <c r="D13" i="63" s="1"/>
  <c r="D14" i="63" s="1"/>
  <c r="D15" i="63" s="1"/>
  <c r="D16" i="63" s="1"/>
  <c r="D17" i="63" s="1"/>
  <c r="D18" i="63" s="1"/>
  <c r="D19" i="63" s="1"/>
  <c r="D20" i="63" s="1"/>
  <c r="D21" i="63" s="1"/>
  <c r="D22" i="63" s="1"/>
  <c r="D23" i="63" s="1"/>
  <c r="D24" i="63" s="1"/>
  <c r="D25" i="63" s="1"/>
  <c r="D26" i="63" s="1"/>
  <c r="D27" i="63" s="1"/>
  <c r="D28" i="63" s="1"/>
  <c r="D29" i="63" s="1"/>
  <c r="D30" i="63" s="1"/>
  <c r="D31" i="63" s="1"/>
  <c r="D32" i="63" s="1"/>
  <c r="D33" i="63" s="1"/>
  <c r="D34" i="63" s="1"/>
  <c r="D35" i="63" s="1"/>
  <c r="D36" i="63" s="1"/>
  <c r="D37" i="63" s="1"/>
  <c r="D38" i="63" s="1"/>
  <c r="D39" i="63" s="1"/>
  <c r="D40" i="63" s="1"/>
  <c r="D41" i="63" s="1"/>
  <c r="D42" i="63" s="1"/>
  <c r="D43" i="63" s="1"/>
  <c r="D44" i="63" s="1"/>
  <c r="D45" i="63" s="1"/>
  <c r="D46" i="63" s="1"/>
  <c r="D47" i="63" s="1"/>
  <c r="D48" i="63" s="1"/>
  <c r="D49" i="63" s="1"/>
  <c r="D50" i="63" s="1"/>
  <c r="D51" i="63" s="1"/>
  <c r="D52" i="63" s="1"/>
  <c r="D53" i="63" s="1"/>
  <c r="D54" i="63" s="1"/>
  <c r="D55" i="63" s="1"/>
  <c r="C12" i="63"/>
  <c r="C13" i="63" s="1"/>
  <c r="B12" i="63"/>
  <c r="B13" i="63" s="1"/>
  <c r="B14" i="63" s="1"/>
  <c r="B15" i="63" s="1"/>
  <c r="B16" i="63" s="1"/>
  <c r="B17" i="63" s="1"/>
  <c r="B18" i="63" s="1"/>
  <c r="B19" i="63" s="1"/>
  <c r="B20" i="63" s="1"/>
  <c r="B21" i="63" s="1"/>
  <c r="B22" i="63" s="1"/>
  <c r="B23" i="63" s="1"/>
  <c r="B24" i="63" s="1"/>
  <c r="B25" i="63" s="1"/>
  <c r="B26" i="63" s="1"/>
  <c r="B27" i="63" s="1"/>
  <c r="B28" i="63" s="1"/>
  <c r="B29" i="63" s="1"/>
  <c r="B30" i="63" s="1"/>
  <c r="B31" i="63" s="1"/>
  <c r="B32" i="63" s="1"/>
  <c r="B33" i="63" s="1"/>
  <c r="B34" i="63" s="1"/>
  <c r="B35" i="63" s="1"/>
  <c r="B36" i="63" s="1"/>
  <c r="B37" i="63" s="1"/>
  <c r="B38" i="63" s="1"/>
  <c r="B39" i="63" s="1"/>
  <c r="B40" i="63" s="1"/>
  <c r="B41" i="63" s="1"/>
  <c r="B42" i="63" s="1"/>
  <c r="B43" i="63" s="1"/>
  <c r="B44" i="63" s="1"/>
  <c r="B45" i="63" s="1"/>
  <c r="B46" i="63" s="1"/>
  <c r="B47" i="63" s="1"/>
  <c r="B48" i="63" s="1"/>
  <c r="B49" i="63" s="1"/>
  <c r="B50" i="63" s="1"/>
  <c r="B51" i="63" s="1"/>
  <c r="B52" i="63" s="1"/>
  <c r="B53" i="63" s="1"/>
  <c r="B54" i="63" s="1"/>
  <c r="B55" i="63" s="1"/>
  <c r="B56" i="63" s="1"/>
  <c r="B57" i="63" s="1"/>
  <c r="B58" i="63" s="1"/>
  <c r="B59" i="63" s="1"/>
  <c r="B60" i="63" s="1"/>
  <c r="B61" i="63" s="1"/>
  <c r="B62" i="63" s="1"/>
  <c r="B63" i="63" s="1"/>
  <c r="B64" i="63" s="1"/>
  <c r="B65" i="63" s="1"/>
  <c r="B66" i="63" s="1"/>
  <c r="B67" i="63" s="1"/>
  <c r="B68" i="63" s="1"/>
  <c r="B69" i="63" s="1"/>
  <c r="B70" i="63" s="1"/>
  <c r="B71" i="63" s="1"/>
  <c r="B72" i="63" s="1"/>
  <c r="B73" i="63" s="1"/>
  <c r="B74" i="63" s="1"/>
  <c r="B75" i="63" s="1"/>
  <c r="B76" i="63" s="1"/>
  <c r="B77" i="63" s="1"/>
  <c r="B78" i="63" s="1"/>
  <c r="B79" i="63" s="1"/>
  <c r="B80" i="63" s="1"/>
  <c r="B81" i="63" s="1"/>
  <c r="B82" i="63" s="1"/>
  <c r="B83" i="63" s="1"/>
  <c r="B84" i="63" s="1"/>
  <c r="B85" i="63" s="1"/>
  <c r="B86" i="63" s="1"/>
  <c r="B87" i="63" s="1"/>
  <c r="B88" i="63" s="1"/>
  <c r="B89" i="63" s="1"/>
  <c r="B90" i="63" s="1"/>
  <c r="B91" i="63" s="1"/>
  <c r="B92" i="63" s="1"/>
  <c r="B93" i="63" s="1"/>
  <c r="B94" i="63" s="1"/>
  <c r="B95" i="63" s="1"/>
  <c r="B96" i="63" s="1"/>
  <c r="B97" i="63" s="1"/>
  <c r="B98" i="63" s="1"/>
  <c r="B99" i="63" s="1"/>
  <c r="B100" i="63" s="1"/>
  <c r="B101" i="63" s="1"/>
  <c r="B102" i="63" s="1"/>
  <c r="B103" i="63" s="1"/>
  <c r="B104" i="63" s="1"/>
  <c r="B105" i="63" s="1"/>
  <c r="B106" i="63" s="1"/>
  <c r="B107" i="63" s="1"/>
  <c r="B108" i="63" s="1"/>
  <c r="B109" i="63" s="1"/>
  <c r="B110" i="63" s="1"/>
  <c r="B111" i="63" s="1"/>
  <c r="B112" i="63" s="1"/>
  <c r="B113" i="63" s="1"/>
  <c r="B114" i="63" s="1"/>
  <c r="B115" i="63" s="1"/>
  <c r="B116" i="63" s="1"/>
  <c r="B117" i="63" s="1"/>
  <c r="B118" i="63" s="1"/>
  <c r="B119" i="63" s="1"/>
  <c r="B120" i="63" s="1"/>
  <c r="B121" i="63" s="1"/>
  <c r="B122" i="63" s="1"/>
  <c r="B123" i="63" s="1"/>
  <c r="B124" i="63" s="1"/>
  <c r="B125" i="63" s="1"/>
  <c r="B126" i="63" s="1"/>
  <c r="B127" i="63" s="1"/>
  <c r="B128" i="63" s="1"/>
  <c r="B129" i="63" s="1"/>
  <c r="B130" i="63" s="1"/>
  <c r="B131" i="63" s="1"/>
  <c r="B132" i="63" s="1"/>
  <c r="B133" i="63" s="1"/>
  <c r="B134" i="63" s="1"/>
  <c r="B135" i="63" s="1"/>
  <c r="B136" i="63" s="1"/>
  <c r="B137" i="63" s="1"/>
  <c r="B138" i="63" s="1"/>
  <c r="B139" i="63" s="1"/>
  <c r="B140" i="63" s="1"/>
  <c r="B141" i="63" s="1"/>
  <c r="B142" i="63" s="1"/>
  <c r="B143" i="63" s="1"/>
  <c r="B144" i="63" s="1"/>
  <c r="B145" i="63" s="1"/>
  <c r="B146" i="63" s="1"/>
  <c r="B147" i="63" s="1"/>
  <c r="B148" i="63" s="1"/>
  <c r="B149" i="63" s="1"/>
  <c r="B150" i="63" s="1"/>
  <c r="B151" i="63" s="1"/>
  <c r="B152" i="63" s="1"/>
  <c r="B153" i="63" s="1"/>
  <c r="B154" i="63" s="1"/>
  <c r="B155" i="63" s="1"/>
  <c r="B156" i="63" s="1"/>
  <c r="B157" i="63" s="1"/>
  <c r="B158" i="63" s="1"/>
  <c r="B159" i="63" s="1"/>
  <c r="B160" i="63" s="1"/>
  <c r="B161" i="63" s="1"/>
  <c r="B162" i="63" s="1"/>
  <c r="B163" i="63" s="1"/>
  <c r="B164" i="63" s="1"/>
  <c r="B165" i="63" s="1"/>
  <c r="B166" i="63" s="1"/>
  <c r="B167" i="63" s="1"/>
  <c r="B168" i="63" s="1"/>
  <c r="B169" i="63" s="1"/>
  <c r="B170" i="63" s="1"/>
  <c r="B171" i="63" s="1"/>
  <c r="B172" i="63" s="1"/>
  <c r="B173" i="63" s="1"/>
  <c r="B174" i="63" s="1"/>
  <c r="B175" i="63" s="1"/>
  <c r="B176" i="63" s="1"/>
  <c r="B177" i="63" s="1"/>
  <c r="B178" i="63" s="1"/>
  <c r="B179" i="63" s="1"/>
  <c r="B180" i="63" s="1"/>
  <c r="B181" i="63" s="1"/>
  <c r="B182" i="63" s="1"/>
  <c r="B183" i="63" s="1"/>
  <c r="B184" i="63" s="1"/>
  <c r="B185" i="63" s="1"/>
  <c r="B186" i="63" s="1"/>
  <c r="B187" i="63" s="1"/>
  <c r="B188" i="63" s="1"/>
  <c r="B189" i="63" s="1"/>
  <c r="B190" i="63" s="1"/>
  <c r="B191" i="63" s="1"/>
  <c r="AL11" i="63"/>
  <c r="AL12" i="63" s="1"/>
  <c r="AL13" i="63" s="1"/>
  <c r="AL14" i="63" s="1"/>
  <c r="AL15" i="63" s="1"/>
  <c r="AL16" i="63" s="1"/>
  <c r="AL17" i="63" s="1"/>
  <c r="AL18" i="63" s="1"/>
  <c r="AL19" i="63" s="1"/>
  <c r="AL20" i="63" s="1"/>
  <c r="AL21" i="63" s="1"/>
  <c r="AL22" i="63" s="1"/>
  <c r="AL23" i="63" s="1"/>
  <c r="AL24" i="63" s="1"/>
  <c r="AL25" i="63" s="1"/>
  <c r="AL26" i="63" s="1"/>
  <c r="AL27" i="63" s="1"/>
  <c r="AL28" i="63" s="1"/>
  <c r="AL29" i="63" s="1"/>
  <c r="AL30" i="63" s="1"/>
  <c r="AL31" i="63" s="1"/>
  <c r="AL32" i="63" s="1"/>
  <c r="AL33" i="63" s="1"/>
  <c r="AL34" i="63" s="1"/>
  <c r="AL35" i="63" s="1"/>
  <c r="AL36" i="63" s="1"/>
  <c r="AL37" i="63" s="1"/>
  <c r="AL38" i="63" s="1"/>
  <c r="AL39" i="63" s="1"/>
  <c r="AL40" i="63" s="1"/>
  <c r="AL41" i="63" s="1"/>
  <c r="AL42" i="63" s="1"/>
  <c r="AL43" i="63" s="1"/>
  <c r="AL44" i="63" s="1"/>
  <c r="AL45" i="63" s="1"/>
  <c r="AL46" i="63" s="1"/>
  <c r="AL47" i="63" s="1"/>
  <c r="AL48" i="63" s="1"/>
  <c r="AL49" i="63" s="1"/>
  <c r="AL50" i="63" s="1"/>
  <c r="AL51" i="63" s="1"/>
  <c r="AL52" i="63" s="1"/>
  <c r="AL53" i="63" s="1"/>
  <c r="AL54" i="63" s="1"/>
  <c r="AL55" i="63" s="1"/>
  <c r="AL56" i="63" s="1"/>
  <c r="AL57" i="63" s="1"/>
  <c r="AL58" i="63" s="1"/>
  <c r="AL59" i="63" s="1"/>
  <c r="AL60" i="63" s="1"/>
  <c r="AL61" i="63" s="1"/>
  <c r="AL62" i="63" s="1"/>
  <c r="AL63" i="63" s="1"/>
  <c r="AL64" i="63" s="1"/>
  <c r="AL65" i="63" s="1"/>
  <c r="AL66" i="63" s="1"/>
  <c r="AL67" i="63" s="1"/>
  <c r="AL68" i="63" s="1"/>
  <c r="AL69" i="63" s="1"/>
  <c r="AL70" i="63" s="1"/>
  <c r="AL71" i="63" s="1"/>
  <c r="AL72" i="63" s="1"/>
  <c r="AL73" i="63" s="1"/>
  <c r="AL74" i="63" s="1"/>
  <c r="AL75" i="63" s="1"/>
  <c r="AL76" i="63" s="1"/>
  <c r="AL77" i="63" s="1"/>
  <c r="AL78" i="63" s="1"/>
  <c r="AL79" i="63" s="1"/>
  <c r="AL80" i="63" s="1"/>
  <c r="AL81" i="63" s="1"/>
  <c r="AL82" i="63" s="1"/>
  <c r="AL83" i="63" s="1"/>
  <c r="AL84" i="63" s="1"/>
  <c r="AL85" i="63" s="1"/>
  <c r="AL86" i="63" s="1"/>
  <c r="AL87" i="63" s="1"/>
  <c r="AL88" i="63" s="1"/>
  <c r="AL89" i="63" s="1"/>
  <c r="AL90" i="63" s="1"/>
  <c r="AL91" i="63" s="1"/>
  <c r="AL92" i="63" s="1"/>
  <c r="AL93" i="63" s="1"/>
  <c r="AL94" i="63" s="1"/>
  <c r="AL95" i="63" s="1"/>
  <c r="AL96" i="63" s="1"/>
  <c r="AL97" i="63" s="1"/>
  <c r="AL98" i="63" s="1"/>
  <c r="AL99" i="63" s="1"/>
  <c r="AL100" i="63" s="1"/>
  <c r="AL101" i="63" s="1"/>
  <c r="AL102" i="63" s="1"/>
  <c r="AL103" i="63" s="1"/>
  <c r="AL104" i="63" s="1"/>
  <c r="AL105" i="63" s="1"/>
  <c r="AL106" i="63" s="1"/>
  <c r="AL107" i="63" s="1"/>
  <c r="AL108" i="63" s="1"/>
  <c r="AL109" i="63" s="1"/>
  <c r="AL110" i="63" s="1"/>
  <c r="AL111" i="63" s="1"/>
  <c r="AL112" i="63" s="1"/>
  <c r="AL113" i="63" s="1"/>
  <c r="AL114" i="63" s="1"/>
  <c r="AL115" i="63" s="1"/>
  <c r="AL116" i="63" s="1"/>
  <c r="AL117" i="63" s="1"/>
  <c r="AL118" i="63" s="1"/>
  <c r="AL119" i="63" s="1"/>
  <c r="AL120" i="63" s="1"/>
  <c r="AL121" i="63" s="1"/>
  <c r="AL122" i="63" s="1"/>
  <c r="AL123" i="63" s="1"/>
  <c r="AL124" i="63" s="1"/>
  <c r="AL125" i="63" s="1"/>
  <c r="AL126" i="63" s="1"/>
  <c r="AL127" i="63" s="1"/>
  <c r="AL128" i="63" s="1"/>
  <c r="AL129" i="63" s="1"/>
  <c r="AL130" i="63" s="1"/>
  <c r="AL131" i="63" s="1"/>
  <c r="AL132" i="63" s="1"/>
  <c r="AL133" i="63" s="1"/>
  <c r="AL134" i="63" s="1"/>
  <c r="AL135" i="63" s="1"/>
  <c r="AL136" i="63" s="1"/>
  <c r="AL137" i="63" s="1"/>
  <c r="AL138" i="63" s="1"/>
  <c r="AL139" i="63" s="1"/>
  <c r="AL140" i="63" s="1"/>
  <c r="AL141" i="63" s="1"/>
  <c r="AL142" i="63" s="1"/>
  <c r="AL143" i="63" s="1"/>
  <c r="AL144" i="63" s="1"/>
  <c r="AL145" i="63" s="1"/>
  <c r="AL146" i="63" s="1"/>
  <c r="AL147" i="63" s="1"/>
  <c r="AL148" i="63" s="1"/>
  <c r="AL149" i="63" s="1"/>
  <c r="AL150" i="63" s="1"/>
  <c r="AL151" i="63" s="1"/>
  <c r="AL152" i="63" s="1"/>
  <c r="AL153" i="63" s="1"/>
  <c r="AL154" i="63" s="1"/>
  <c r="AL155" i="63" s="1"/>
  <c r="AL156" i="63" s="1"/>
  <c r="AL157" i="63" s="1"/>
  <c r="AL158" i="63" s="1"/>
  <c r="AL159" i="63" s="1"/>
  <c r="AL160" i="63" s="1"/>
  <c r="AL161" i="63" s="1"/>
  <c r="AL162" i="63" s="1"/>
  <c r="AL163" i="63" s="1"/>
  <c r="AL164" i="63" s="1"/>
  <c r="AL165" i="63" s="1"/>
  <c r="AL166" i="63" s="1"/>
  <c r="AL167" i="63" s="1"/>
  <c r="AL168" i="63" s="1"/>
  <c r="AL169" i="63" s="1"/>
  <c r="AL170" i="63" s="1"/>
  <c r="AL171" i="63" s="1"/>
  <c r="AL172" i="63" s="1"/>
  <c r="AL173" i="63" s="1"/>
  <c r="AL174" i="63" s="1"/>
  <c r="AL175" i="63" s="1"/>
  <c r="AL176" i="63" s="1"/>
  <c r="AL177" i="63" s="1"/>
  <c r="AL178" i="63" s="1"/>
  <c r="AL179" i="63" s="1"/>
  <c r="AL180" i="63" s="1"/>
  <c r="AL181" i="63" s="1"/>
  <c r="AL182" i="63" s="1"/>
  <c r="AL183" i="63" s="1"/>
  <c r="AL184" i="63" s="1"/>
  <c r="AL185" i="63" s="1"/>
  <c r="AL186" i="63" s="1"/>
  <c r="AL187" i="63" s="1"/>
  <c r="AL188" i="63" s="1"/>
  <c r="AL189" i="63" s="1"/>
  <c r="AL190" i="63" s="1"/>
  <c r="AL191" i="63" s="1"/>
  <c r="AL193" i="63" s="1"/>
  <c r="AL195" i="63" s="1"/>
  <c r="AL197" i="63" s="1"/>
  <c r="AL199" i="63" s="1"/>
  <c r="AL201" i="63" s="1"/>
  <c r="AL203" i="63" s="1"/>
  <c r="AL205" i="63" s="1"/>
  <c r="AL207" i="63" s="1"/>
  <c r="AL209" i="63" s="1"/>
  <c r="AL211" i="63" s="1"/>
  <c r="AL213" i="63" s="1"/>
  <c r="AL215" i="63" s="1"/>
  <c r="AL217" i="63" s="1"/>
  <c r="AL219" i="63" s="1"/>
  <c r="AL221" i="63" s="1"/>
  <c r="AL223" i="63" s="1"/>
  <c r="AL225" i="63" s="1"/>
  <c r="AL227" i="63" s="1"/>
  <c r="AL229" i="63" s="1"/>
  <c r="AL231" i="63" s="1"/>
  <c r="AL233" i="63" s="1"/>
  <c r="AL235" i="63" s="1"/>
  <c r="AL237" i="63" s="1"/>
  <c r="AL239" i="63" s="1"/>
  <c r="AL241" i="63" s="1"/>
  <c r="AL243" i="63" s="1"/>
  <c r="AJ11" i="63"/>
  <c r="AJ12" i="63" s="1"/>
  <c r="AJ13" i="63" s="1"/>
  <c r="AJ14" i="63" s="1"/>
  <c r="AJ15" i="63" s="1"/>
  <c r="AJ16" i="63" s="1"/>
  <c r="AJ17" i="63" s="1"/>
  <c r="AJ18" i="63" s="1"/>
  <c r="AJ19" i="63" s="1"/>
  <c r="AJ20" i="63" s="1"/>
  <c r="AJ21" i="63" s="1"/>
  <c r="AJ22" i="63" s="1"/>
  <c r="AJ23" i="63" s="1"/>
  <c r="AJ24" i="63" s="1"/>
  <c r="AJ25" i="63" s="1"/>
  <c r="AJ26" i="63" s="1"/>
  <c r="AJ27" i="63" s="1"/>
  <c r="AJ28" i="63" s="1"/>
  <c r="AJ29" i="63" s="1"/>
  <c r="AJ30" i="63" s="1"/>
  <c r="AJ31" i="63" s="1"/>
  <c r="AJ32" i="63" s="1"/>
  <c r="AJ33" i="63" s="1"/>
  <c r="AJ34" i="63" s="1"/>
  <c r="AJ35" i="63" s="1"/>
  <c r="AJ36" i="63" s="1"/>
  <c r="AJ37" i="63" s="1"/>
  <c r="AJ38" i="63" s="1"/>
  <c r="AJ39" i="63" s="1"/>
  <c r="AJ40" i="63" s="1"/>
  <c r="AJ41" i="63" s="1"/>
  <c r="AJ42" i="63" s="1"/>
  <c r="AJ43" i="63" s="1"/>
  <c r="AJ44" i="63" s="1"/>
  <c r="AJ45" i="63" s="1"/>
  <c r="AJ46" i="63" s="1"/>
  <c r="AJ47" i="63" s="1"/>
  <c r="AJ48" i="63" s="1"/>
  <c r="AJ49" i="63" s="1"/>
  <c r="AJ50" i="63" s="1"/>
  <c r="AJ51" i="63" s="1"/>
  <c r="AJ52" i="63" s="1"/>
  <c r="AJ53" i="63" s="1"/>
  <c r="AJ54" i="63" s="1"/>
  <c r="AJ55" i="63" s="1"/>
  <c r="AJ56" i="63" s="1"/>
  <c r="AJ57" i="63" s="1"/>
  <c r="AJ58" i="63" s="1"/>
  <c r="AJ59" i="63" s="1"/>
  <c r="AJ60" i="63" s="1"/>
  <c r="AJ61" i="63" s="1"/>
  <c r="AJ62" i="63" s="1"/>
  <c r="AJ63" i="63" s="1"/>
  <c r="AJ64" i="63" s="1"/>
  <c r="AJ65" i="63" s="1"/>
  <c r="AJ66" i="63" s="1"/>
  <c r="AJ67" i="63" s="1"/>
  <c r="AJ68" i="63" s="1"/>
  <c r="AJ69" i="63" s="1"/>
  <c r="AJ70" i="63" s="1"/>
  <c r="AJ71" i="63" s="1"/>
  <c r="AJ72" i="63" s="1"/>
  <c r="AJ73" i="63" s="1"/>
  <c r="AJ74" i="63" s="1"/>
  <c r="AJ75" i="63" s="1"/>
  <c r="AJ76" i="63" s="1"/>
  <c r="AJ77" i="63" s="1"/>
  <c r="AJ78" i="63" s="1"/>
  <c r="AJ79" i="63" s="1"/>
  <c r="AJ80" i="63" s="1"/>
  <c r="AJ81" i="63" s="1"/>
  <c r="AJ82" i="63" s="1"/>
  <c r="AJ83" i="63" s="1"/>
  <c r="AJ84" i="63" s="1"/>
  <c r="AJ85" i="63" s="1"/>
  <c r="AJ86" i="63" s="1"/>
  <c r="AJ87" i="63" s="1"/>
  <c r="AJ88" i="63" s="1"/>
  <c r="AJ89" i="63" s="1"/>
  <c r="AJ90" i="63" s="1"/>
  <c r="AJ91" i="63" s="1"/>
  <c r="AJ92" i="63" s="1"/>
  <c r="AJ93" i="63" s="1"/>
  <c r="AJ94" i="63" s="1"/>
  <c r="AJ95" i="63" s="1"/>
  <c r="AJ96" i="63" s="1"/>
  <c r="AJ97" i="63" s="1"/>
  <c r="AJ98" i="63" s="1"/>
  <c r="AJ99" i="63" s="1"/>
  <c r="AJ100" i="63" s="1"/>
  <c r="AJ101" i="63" s="1"/>
  <c r="AJ102" i="63" s="1"/>
  <c r="AJ103" i="63" s="1"/>
  <c r="AJ104" i="63" s="1"/>
  <c r="AJ105" i="63" s="1"/>
  <c r="AJ106" i="63" s="1"/>
  <c r="AJ107" i="63" s="1"/>
  <c r="AJ108" i="63" s="1"/>
  <c r="AJ109" i="63" s="1"/>
  <c r="AJ110" i="63" s="1"/>
  <c r="AJ111" i="63" s="1"/>
  <c r="AJ112" i="63" s="1"/>
  <c r="AJ113" i="63" s="1"/>
  <c r="AJ114" i="63" s="1"/>
  <c r="AJ115" i="63" s="1"/>
  <c r="AJ116" i="63" s="1"/>
  <c r="AJ117" i="63" s="1"/>
  <c r="AJ118" i="63" s="1"/>
  <c r="AJ119" i="63" s="1"/>
  <c r="AJ120" i="63" s="1"/>
  <c r="AJ121" i="63" s="1"/>
  <c r="AJ122" i="63" s="1"/>
  <c r="AJ123" i="63" s="1"/>
  <c r="AJ124" i="63" s="1"/>
  <c r="AJ125" i="63" s="1"/>
  <c r="AJ126" i="63" s="1"/>
  <c r="AJ127" i="63" s="1"/>
  <c r="AJ128" i="63" s="1"/>
  <c r="AJ129" i="63" s="1"/>
  <c r="AJ130" i="63" s="1"/>
  <c r="AJ131" i="63" s="1"/>
  <c r="AJ132" i="63" s="1"/>
  <c r="AJ133" i="63" s="1"/>
  <c r="AJ134" i="63" s="1"/>
  <c r="AJ135" i="63" s="1"/>
  <c r="AJ136" i="63" s="1"/>
  <c r="AJ137" i="63" s="1"/>
  <c r="AJ138" i="63" s="1"/>
  <c r="AJ139" i="63" s="1"/>
  <c r="AJ140" i="63" s="1"/>
  <c r="AJ141" i="63" s="1"/>
  <c r="AJ142" i="63" s="1"/>
  <c r="AJ143" i="63" s="1"/>
  <c r="AJ144" i="63" s="1"/>
  <c r="AJ145" i="63" s="1"/>
  <c r="AJ146" i="63" s="1"/>
  <c r="AJ147" i="63" s="1"/>
  <c r="AJ148" i="63" s="1"/>
  <c r="AJ149" i="63" s="1"/>
  <c r="AJ150" i="63" s="1"/>
  <c r="AJ151" i="63" s="1"/>
  <c r="AJ152" i="63" s="1"/>
  <c r="AJ153" i="63" s="1"/>
  <c r="AJ154" i="63" s="1"/>
  <c r="AJ155" i="63" s="1"/>
  <c r="AJ156" i="63" s="1"/>
  <c r="AJ157" i="63" s="1"/>
  <c r="AJ158" i="63" s="1"/>
  <c r="AJ159" i="63" s="1"/>
  <c r="AJ160" i="63" s="1"/>
  <c r="AJ161" i="63" s="1"/>
  <c r="AJ162" i="63" s="1"/>
  <c r="AJ163" i="63" s="1"/>
  <c r="AJ164" i="63" s="1"/>
  <c r="AJ165" i="63" s="1"/>
  <c r="AJ166" i="63" s="1"/>
  <c r="AJ167" i="63" s="1"/>
  <c r="AJ168" i="63" s="1"/>
  <c r="AJ169" i="63" s="1"/>
  <c r="AJ170" i="63" s="1"/>
  <c r="AJ171" i="63" s="1"/>
  <c r="AJ172" i="63" s="1"/>
  <c r="AJ173" i="63" s="1"/>
  <c r="AJ174" i="63" s="1"/>
  <c r="AJ175" i="63" s="1"/>
  <c r="AJ176" i="63" s="1"/>
  <c r="AJ177" i="63" s="1"/>
  <c r="AJ178" i="63" s="1"/>
  <c r="AJ179" i="63" s="1"/>
  <c r="AJ180" i="63" s="1"/>
  <c r="AJ181" i="63" s="1"/>
  <c r="AJ182" i="63" s="1"/>
  <c r="AJ183" i="63" s="1"/>
  <c r="AJ184" i="63" s="1"/>
  <c r="AJ185" i="63" s="1"/>
  <c r="AJ186" i="63" s="1"/>
  <c r="AJ187" i="63" s="1"/>
  <c r="AJ188" i="63" s="1"/>
  <c r="AJ189" i="63" s="1"/>
  <c r="AJ190" i="63" s="1"/>
  <c r="AJ191" i="63" s="1"/>
  <c r="AJ193" i="63" s="1"/>
  <c r="AJ195" i="63" s="1"/>
  <c r="AJ197" i="63" s="1"/>
  <c r="AJ199" i="63" s="1"/>
  <c r="AJ201" i="63" s="1"/>
  <c r="AJ203" i="63" s="1"/>
  <c r="AJ205" i="63" s="1"/>
  <c r="AJ207" i="63" s="1"/>
  <c r="AJ209" i="63" s="1"/>
  <c r="AJ211" i="63" s="1"/>
  <c r="AJ213" i="63" s="1"/>
  <c r="AJ215" i="63" s="1"/>
  <c r="AJ217" i="63" s="1"/>
  <c r="AJ219" i="63" s="1"/>
  <c r="AJ221" i="63" s="1"/>
  <c r="AJ223" i="63" s="1"/>
  <c r="AJ225" i="63" s="1"/>
  <c r="AJ227" i="63" s="1"/>
  <c r="AJ229" i="63" s="1"/>
  <c r="AJ231" i="63" s="1"/>
  <c r="AJ233" i="63" s="1"/>
  <c r="AJ235" i="63" s="1"/>
  <c r="AJ237" i="63" s="1"/>
  <c r="AJ239" i="63" s="1"/>
  <c r="AJ241" i="63" s="1"/>
  <c r="AJ243" i="63" s="1"/>
  <c r="O11" i="63"/>
  <c r="K11" i="63"/>
  <c r="AC7" i="63"/>
  <c r="AC6" i="63"/>
  <c r="M184" i="71" l="1"/>
  <c r="K12" i="71"/>
  <c r="L12" i="71"/>
  <c r="E185" i="71"/>
  <c r="X218" i="70"/>
  <c r="N217" i="70"/>
  <c r="I217" i="70" s="1"/>
  <c r="W218" i="70"/>
  <c r="M217" i="70"/>
  <c r="H217" i="70" s="1"/>
  <c r="V218" i="70"/>
  <c r="L217" i="70"/>
  <c r="G217" i="70" s="1"/>
  <c r="N12" i="69"/>
  <c r="U229" i="63"/>
  <c r="W231" i="63"/>
  <c r="I11" i="63"/>
  <c r="H11" i="63"/>
  <c r="E12" i="70"/>
  <c r="J12" i="70" s="1"/>
  <c r="L13" i="71"/>
  <c r="Q14" i="71"/>
  <c r="M13" i="71"/>
  <c r="R14" i="71"/>
  <c r="S14" i="71"/>
  <c r="N13" i="71"/>
  <c r="C14" i="71"/>
  <c r="E13" i="71"/>
  <c r="T14" i="71"/>
  <c r="O13" i="71"/>
  <c r="K13" i="71"/>
  <c r="P14" i="71"/>
  <c r="E12" i="71"/>
  <c r="M12" i="71"/>
  <c r="N12" i="71"/>
  <c r="O12" i="71"/>
  <c r="U185" i="71"/>
  <c r="U186" i="71" s="1"/>
  <c r="U187" i="71" s="1"/>
  <c r="U188" i="71" s="1"/>
  <c r="U189" i="71" s="1"/>
  <c r="U190" i="71" s="1"/>
  <c r="U191" i="71" s="1"/>
  <c r="U192" i="71" s="1"/>
  <c r="U193" i="71" s="1"/>
  <c r="U194" i="71" s="1"/>
  <c r="U195" i="71" s="1"/>
  <c r="U196" i="71" s="1"/>
  <c r="U197" i="71" s="1"/>
  <c r="U198" i="71" s="1"/>
  <c r="U199" i="71" s="1"/>
  <c r="U200" i="71" s="1"/>
  <c r="U201" i="71" s="1"/>
  <c r="U202" i="71" s="1"/>
  <c r="U203" i="71" s="1"/>
  <c r="U204" i="71" s="1"/>
  <c r="U205" i="71" s="1"/>
  <c r="U206" i="71" s="1"/>
  <c r="U207" i="71" s="1"/>
  <c r="U208" i="71" s="1"/>
  <c r="U209" i="71" s="1"/>
  <c r="U210" i="71" s="1"/>
  <c r="U211" i="71" s="1"/>
  <c r="U212" i="71" s="1"/>
  <c r="U213" i="71" s="1"/>
  <c r="U214" i="71" s="1"/>
  <c r="U215" i="71" s="1"/>
  <c r="U216" i="71" s="1"/>
  <c r="U217" i="71" s="1"/>
  <c r="U218" i="71" s="1"/>
  <c r="U219" i="71" s="1"/>
  <c r="U220" i="71" s="1"/>
  <c r="U221" i="71" s="1"/>
  <c r="U222" i="71" s="1"/>
  <c r="U223" i="71" s="1"/>
  <c r="U224" i="71" s="1"/>
  <c r="U225" i="71" s="1"/>
  <c r="U226" i="71" s="1"/>
  <c r="U227" i="71" s="1"/>
  <c r="U228" i="71" s="1"/>
  <c r="U229" i="71" s="1"/>
  <c r="U230" i="71" s="1"/>
  <c r="U231" i="71" s="1"/>
  <c r="U232" i="71" s="1"/>
  <c r="U233" i="71" s="1"/>
  <c r="U234" i="71" s="1"/>
  <c r="K184" i="71"/>
  <c r="P186" i="71"/>
  <c r="L184" i="71"/>
  <c r="Q185" i="71"/>
  <c r="Y185" i="71"/>
  <c r="Y186" i="71" s="1"/>
  <c r="Y187" i="71" s="1"/>
  <c r="Y188" i="71" s="1"/>
  <c r="Y189" i="71" s="1"/>
  <c r="Y190" i="71" s="1"/>
  <c r="Y191" i="71" s="1"/>
  <c r="Y192" i="71" s="1"/>
  <c r="Y193" i="71" s="1"/>
  <c r="Y194" i="71" s="1"/>
  <c r="Y195" i="71" s="1"/>
  <c r="Y196" i="71" s="1"/>
  <c r="Y197" i="71" s="1"/>
  <c r="Y198" i="71" s="1"/>
  <c r="Y199" i="71" s="1"/>
  <c r="Y200" i="71" s="1"/>
  <c r="Y201" i="71" s="1"/>
  <c r="Y202" i="71" s="1"/>
  <c r="Y203" i="71" s="1"/>
  <c r="Y204" i="71" s="1"/>
  <c r="Y205" i="71" s="1"/>
  <c r="Y206" i="71" s="1"/>
  <c r="Y207" i="71" s="1"/>
  <c r="Y208" i="71" s="1"/>
  <c r="Y209" i="71" s="1"/>
  <c r="Y210" i="71" s="1"/>
  <c r="Y211" i="71" s="1"/>
  <c r="Y212" i="71" s="1"/>
  <c r="Y213" i="71" s="1"/>
  <c r="Y214" i="71" s="1"/>
  <c r="Y215" i="71" s="1"/>
  <c r="Y216" i="71" s="1"/>
  <c r="Y217" i="71" s="1"/>
  <c r="O184" i="71"/>
  <c r="C186" i="71"/>
  <c r="N184" i="71"/>
  <c r="S185" i="71"/>
  <c r="E184" i="71"/>
  <c r="M185" i="71"/>
  <c r="H185" i="71" s="1"/>
  <c r="R186" i="71"/>
  <c r="T186" i="71"/>
  <c r="L12" i="70"/>
  <c r="G12" i="70" s="1"/>
  <c r="N12" i="70"/>
  <c r="I12" i="70" s="1"/>
  <c r="C13" i="70"/>
  <c r="E13" i="70" s="1"/>
  <c r="K14" i="70"/>
  <c r="P15" i="70"/>
  <c r="K13" i="70"/>
  <c r="Q14" i="70"/>
  <c r="L13" i="70"/>
  <c r="S14" i="70"/>
  <c r="N13" i="70"/>
  <c r="F12" i="70"/>
  <c r="R13" i="70"/>
  <c r="M12" i="70"/>
  <c r="T13" i="70"/>
  <c r="M12" i="69"/>
  <c r="B192" i="63"/>
  <c r="B193" i="63" s="1"/>
  <c r="B194" i="63" s="1"/>
  <c r="B195" i="63" s="1"/>
  <c r="B196" i="63" s="1"/>
  <c r="B197" i="63" s="1"/>
  <c r="B198" i="63" s="1"/>
  <c r="B199" i="63" s="1"/>
  <c r="B200" i="63" s="1"/>
  <c r="B201" i="63" s="1"/>
  <c r="B202" i="63" s="1"/>
  <c r="B203" i="63" s="1"/>
  <c r="B204" i="63" s="1"/>
  <c r="B205" i="63" s="1"/>
  <c r="B206" i="63" s="1"/>
  <c r="B207" i="63" s="1"/>
  <c r="B208" i="63" s="1"/>
  <c r="B209" i="63" s="1"/>
  <c r="B210" i="63" s="1"/>
  <c r="B211" i="63" s="1"/>
  <c r="B212" i="63" s="1"/>
  <c r="B213" i="63" s="1"/>
  <c r="B214" i="63" s="1"/>
  <c r="B215" i="63" s="1"/>
  <c r="B216" i="63" s="1"/>
  <c r="B217" i="63" s="1"/>
  <c r="B218" i="63" s="1"/>
  <c r="B219" i="63" s="1"/>
  <c r="B220" i="63" s="1"/>
  <c r="B221" i="63" s="1"/>
  <c r="B222" i="63" s="1"/>
  <c r="B223" i="63" s="1"/>
  <c r="B224" i="63" s="1"/>
  <c r="B225" i="63" s="1"/>
  <c r="B226" i="63" s="1"/>
  <c r="B227" i="63" s="1"/>
  <c r="B228" i="63" s="1"/>
  <c r="B229" i="63" s="1"/>
  <c r="B230" i="63" s="1"/>
  <c r="B231" i="63" s="1"/>
  <c r="B232" i="63" s="1"/>
  <c r="B233" i="63" s="1"/>
  <c r="B234" i="63" s="1"/>
  <c r="B235" i="63" s="1"/>
  <c r="B236" i="63" s="1"/>
  <c r="B237" i="63" s="1"/>
  <c r="B238" i="63" s="1"/>
  <c r="B239" i="63" s="1"/>
  <c r="B240" i="63" s="1"/>
  <c r="B241" i="63" s="1"/>
  <c r="B242" i="63" s="1"/>
  <c r="B243" i="63" s="1"/>
  <c r="AE191" i="63"/>
  <c r="L12" i="69"/>
  <c r="O12" i="69"/>
  <c r="E12" i="69"/>
  <c r="J12" i="69" s="1"/>
  <c r="S14" i="69"/>
  <c r="N13" i="69"/>
  <c r="T14" i="69"/>
  <c r="O13" i="69"/>
  <c r="Q14" i="69"/>
  <c r="P14" i="69"/>
  <c r="K13" i="69"/>
  <c r="E13" i="69"/>
  <c r="C14" i="69"/>
  <c r="M13" i="69"/>
  <c r="R14" i="69"/>
  <c r="V13" i="69"/>
  <c r="V14" i="69" s="1"/>
  <c r="V15" i="69" s="1"/>
  <c r="V16" i="69" s="1"/>
  <c r="V17" i="69" s="1"/>
  <c r="V18" i="69" s="1"/>
  <c r="V19" i="69" s="1"/>
  <c r="V20" i="69" s="1"/>
  <c r="V21" i="69" s="1"/>
  <c r="V22" i="69" s="1"/>
  <c r="V23" i="69" s="1"/>
  <c r="V24" i="69" s="1"/>
  <c r="V25" i="69" s="1"/>
  <c r="V26" i="69" s="1"/>
  <c r="V27" i="69" s="1"/>
  <c r="V28" i="69" s="1"/>
  <c r="V29" i="69" s="1"/>
  <c r="V30" i="69" s="1"/>
  <c r="V31" i="69" s="1"/>
  <c r="V32" i="69" s="1"/>
  <c r="V33" i="69" s="1"/>
  <c r="V34" i="69" s="1"/>
  <c r="V35" i="69" s="1"/>
  <c r="V36" i="69" s="1"/>
  <c r="V37" i="69" s="1"/>
  <c r="V38" i="69" s="1"/>
  <c r="V39" i="69" s="1"/>
  <c r="V40" i="69" s="1"/>
  <c r="V41" i="69" s="1"/>
  <c r="V42" i="69" s="1"/>
  <c r="V43" i="69" s="1"/>
  <c r="V44" i="69" s="1"/>
  <c r="V45" i="69" s="1"/>
  <c r="V46" i="69" s="1"/>
  <c r="V47" i="69" s="1"/>
  <c r="V48" i="69" s="1"/>
  <c r="V49" i="69" s="1"/>
  <c r="V50" i="69" s="1"/>
  <c r="V51" i="69" s="1"/>
  <c r="V52" i="69" s="1"/>
  <c r="V53" i="69" s="1"/>
  <c r="V54" i="69" s="1"/>
  <c r="V55" i="69" s="1"/>
  <c r="V56" i="69" s="1"/>
  <c r="V57" i="69" s="1"/>
  <c r="V58" i="69" s="1"/>
  <c r="V59" i="69" s="1"/>
  <c r="V60" i="69" s="1"/>
  <c r="V61" i="69" s="1"/>
  <c r="V62" i="69" s="1"/>
  <c r="V63" i="69" s="1"/>
  <c r="V64" i="69" s="1"/>
  <c r="V65" i="69" s="1"/>
  <c r="V66" i="69" s="1"/>
  <c r="V67" i="69" s="1"/>
  <c r="V68" i="69" s="1"/>
  <c r="V69" i="69" s="1"/>
  <c r="V70" i="69" s="1"/>
  <c r="V71" i="69" s="1"/>
  <c r="V72" i="69" s="1"/>
  <c r="V73" i="69" s="1"/>
  <c r="V74" i="69" s="1"/>
  <c r="V75" i="69" s="1"/>
  <c r="V76" i="69" s="1"/>
  <c r="V77" i="69" s="1"/>
  <c r="V78" i="69" s="1"/>
  <c r="V79" i="69" s="1"/>
  <c r="V80" i="69" s="1"/>
  <c r="V81" i="69" s="1"/>
  <c r="V82" i="69" s="1"/>
  <c r="V83" i="69" s="1"/>
  <c r="V84" i="69" s="1"/>
  <c r="V85" i="69" s="1"/>
  <c r="V86" i="69" s="1"/>
  <c r="V87" i="69" s="1"/>
  <c r="V88" i="69" s="1"/>
  <c r="V89" i="69" s="1"/>
  <c r="V90" i="69" s="1"/>
  <c r="V91" i="69" s="1"/>
  <c r="V92" i="69" s="1"/>
  <c r="V93" i="69" s="1"/>
  <c r="V94" i="69" s="1"/>
  <c r="V95" i="69" s="1"/>
  <c r="V96" i="69" s="1"/>
  <c r="V97" i="69" s="1"/>
  <c r="V98" i="69" s="1"/>
  <c r="V99" i="69" s="1"/>
  <c r="V100" i="69" s="1"/>
  <c r="V101" i="69" s="1"/>
  <c r="V102" i="69" s="1"/>
  <c r="V103" i="69" s="1"/>
  <c r="V104" i="69" s="1"/>
  <c r="V105" i="69" s="1"/>
  <c r="V106" i="69" s="1"/>
  <c r="V107" i="69" s="1"/>
  <c r="V108" i="69" s="1"/>
  <c r="V109" i="69" s="1"/>
  <c r="V110" i="69" s="1"/>
  <c r="V111" i="69" s="1"/>
  <c r="V112" i="69" s="1"/>
  <c r="V113" i="69" s="1"/>
  <c r="V114" i="69" s="1"/>
  <c r="V115" i="69" s="1"/>
  <c r="V116" i="69" s="1"/>
  <c r="V117" i="69" s="1"/>
  <c r="V118" i="69" s="1"/>
  <c r="V119" i="69" s="1"/>
  <c r="V120" i="69" s="1"/>
  <c r="V121" i="69" s="1"/>
  <c r="V122" i="69" s="1"/>
  <c r="V123" i="69" s="1"/>
  <c r="V124" i="69" s="1"/>
  <c r="V125" i="69" s="1"/>
  <c r="V126" i="69" s="1"/>
  <c r="V127" i="69" s="1"/>
  <c r="V128" i="69" s="1"/>
  <c r="V129" i="69" s="1"/>
  <c r="V130" i="69" s="1"/>
  <c r="V131" i="69" s="1"/>
  <c r="V132" i="69" s="1"/>
  <c r="V133" i="69" s="1"/>
  <c r="V134" i="69" s="1"/>
  <c r="V135" i="69" s="1"/>
  <c r="V136" i="69" s="1"/>
  <c r="V137" i="69" s="1"/>
  <c r="V138" i="69" s="1"/>
  <c r="V139" i="69" s="1"/>
  <c r="V140" i="69" s="1"/>
  <c r="V141" i="69" s="1"/>
  <c r="V142" i="69" s="1"/>
  <c r="V143" i="69" s="1"/>
  <c r="V144" i="69" s="1"/>
  <c r="V145" i="69" s="1"/>
  <c r="V146" i="69" s="1"/>
  <c r="V147" i="69" s="1"/>
  <c r="V148" i="69" s="1"/>
  <c r="V149" i="69" s="1"/>
  <c r="V150" i="69" s="1"/>
  <c r="V151" i="69" s="1"/>
  <c r="V152" i="69" s="1"/>
  <c r="V153" i="69" s="1"/>
  <c r="V154" i="69" s="1"/>
  <c r="V155" i="69" s="1"/>
  <c r="V156" i="69" s="1"/>
  <c r="V157" i="69" s="1"/>
  <c r="V158" i="69" s="1"/>
  <c r="V159" i="69" s="1"/>
  <c r="V160" i="69" s="1"/>
  <c r="V161" i="69" s="1"/>
  <c r="V162" i="69" s="1"/>
  <c r="V163" i="69" s="1"/>
  <c r="V164" i="69" s="1"/>
  <c r="V165" i="69" s="1"/>
  <c r="V166" i="69" s="1"/>
  <c r="V167" i="69" s="1"/>
  <c r="V168" i="69" s="1"/>
  <c r="V169" i="69" s="1"/>
  <c r="V170" i="69" s="1"/>
  <c r="V171" i="69" s="1"/>
  <c r="V172" i="69" s="1"/>
  <c r="V173" i="69" s="1"/>
  <c r="V174" i="69" s="1"/>
  <c r="V175" i="69" s="1"/>
  <c r="V176" i="69" s="1"/>
  <c r="V177" i="69" s="1"/>
  <c r="V178" i="69" s="1"/>
  <c r="V179" i="69" s="1"/>
  <c r="V180" i="69" s="1"/>
  <c r="V181" i="69" s="1"/>
  <c r="V182" i="69" s="1"/>
  <c r="V183" i="69" s="1"/>
  <c r="V184" i="69" s="1"/>
  <c r="V185" i="69" s="1"/>
  <c r="V186" i="69" s="1"/>
  <c r="V187" i="69" s="1"/>
  <c r="V188" i="69" s="1"/>
  <c r="V189" i="69" s="1"/>
  <c r="V190" i="69" s="1"/>
  <c r="V191" i="69" s="1"/>
  <c r="V192" i="69" s="1"/>
  <c r="V193" i="69" s="1"/>
  <c r="V194" i="69" s="1"/>
  <c r="V195" i="69" s="1"/>
  <c r="V196" i="69" s="1"/>
  <c r="V197" i="69" s="1"/>
  <c r="V198" i="69" s="1"/>
  <c r="V199" i="69" s="1"/>
  <c r="V200" i="69" s="1"/>
  <c r="V201" i="69" s="1"/>
  <c r="V202" i="69" s="1"/>
  <c r="V203" i="69" s="1"/>
  <c r="V204" i="69" s="1"/>
  <c r="V205" i="69" s="1"/>
  <c r="V206" i="69" s="1"/>
  <c r="V207" i="69" s="1"/>
  <c r="V208" i="69" s="1"/>
  <c r="V209" i="69" s="1"/>
  <c r="V210" i="69" s="1"/>
  <c r="V211" i="69" s="1"/>
  <c r="V212" i="69" s="1"/>
  <c r="V213" i="69" s="1"/>
  <c r="V214" i="69" s="1"/>
  <c r="V215" i="69" s="1"/>
  <c r="V216" i="69" s="1"/>
  <c r="V217" i="69" s="1"/>
  <c r="V218" i="69" s="1"/>
  <c r="V219" i="69" s="1"/>
  <c r="V220" i="69" s="1"/>
  <c r="V221" i="69" s="1"/>
  <c r="V222" i="69" s="1"/>
  <c r="V223" i="69" s="1"/>
  <c r="V224" i="69" s="1"/>
  <c r="V225" i="69" s="1"/>
  <c r="V226" i="69" s="1"/>
  <c r="V227" i="69" s="1"/>
  <c r="V228" i="69" s="1"/>
  <c r="V229" i="69" s="1"/>
  <c r="V230" i="69" s="1"/>
  <c r="V231" i="69" s="1"/>
  <c r="V232" i="69" s="1"/>
  <c r="V233" i="69" s="1"/>
  <c r="V234" i="69" s="1"/>
  <c r="V235" i="69" s="1"/>
  <c r="V236" i="69" s="1"/>
  <c r="V237" i="69" s="1"/>
  <c r="V238" i="69" s="1"/>
  <c r="V239" i="69" s="1"/>
  <c r="V240" i="69" s="1"/>
  <c r="V241" i="69" s="1"/>
  <c r="V242" i="69" s="1"/>
  <c r="V243" i="69" s="1"/>
  <c r="K12" i="69"/>
  <c r="AF192" i="63"/>
  <c r="AF194" i="63" s="1"/>
  <c r="AF196" i="63" s="1"/>
  <c r="AF198" i="63" s="1"/>
  <c r="AF200" i="63" s="1"/>
  <c r="AF202" i="63" s="1"/>
  <c r="AF204" i="63" s="1"/>
  <c r="AF206" i="63" s="1"/>
  <c r="AF208" i="63" s="1"/>
  <c r="AF210" i="63" s="1"/>
  <c r="AF212" i="63" s="1"/>
  <c r="AF214" i="63" s="1"/>
  <c r="AF216" i="63" s="1"/>
  <c r="AF218" i="63" s="1"/>
  <c r="AF220" i="63" s="1"/>
  <c r="AF222" i="63" s="1"/>
  <c r="AF224" i="63" s="1"/>
  <c r="AF226" i="63" s="1"/>
  <c r="AF228" i="63" s="1"/>
  <c r="AF230" i="63" s="1"/>
  <c r="AF232" i="63" s="1"/>
  <c r="AF234" i="63" s="1"/>
  <c r="AF236" i="63" s="1"/>
  <c r="AF238" i="63" s="1"/>
  <c r="AF240" i="63" s="1"/>
  <c r="AF242" i="63" s="1"/>
  <c r="AG192" i="63"/>
  <c r="AG194" i="63" s="1"/>
  <c r="AG196" i="63" s="1"/>
  <c r="AG198" i="63" s="1"/>
  <c r="AG200" i="63" s="1"/>
  <c r="AG202" i="63" s="1"/>
  <c r="AG204" i="63" s="1"/>
  <c r="AG206" i="63" s="1"/>
  <c r="AG208" i="63" s="1"/>
  <c r="AG210" i="63" s="1"/>
  <c r="AG212" i="63" s="1"/>
  <c r="AG214" i="63" s="1"/>
  <c r="AG216" i="63" s="1"/>
  <c r="AG218" i="63" s="1"/>
  <c r="AG220" i="63" s="1"/>
  <c r="AG222" i="63" s="1"/>
  <c r="AG224" i="63" s="1"/>
  <c r="AG226" i="63" s="1"/>
  <c r="AG228" i="63" s="1"/>
  <c r="AG230" i="63" s="1"/>
  <c r="AG232" i="63" s="1"/>
  <c r="AG234" i="63" s="1"/>
  <c r="AG236" i="63" s="1"/>
  <c r="AG238" i="63" s="1"/>
  <c r="AG240" i="63" s="1"/>
  <c r="AG242" i="63" s="1"/>
  <c r="U192" i="63"/>
  <c r="U194" i="63" s="1"/>
  <c r="U196" i="63" s="1"/>
  <c r="U198" i="63" s="1"/>
  <c r="U200" i="63" s="1"/>
  <c r="U202" i="63" s="1"/>
  <c r="U204" i="63" s="1"/>
  <c r="U206" i="63" s="1"/>
  <c r="U208" i="63" s="1"/>
  <c r="U210" i="63" s="1"/>
  <c r="U212" i="63" s="1"/>
  <c r="U214" i="63" s="1"/>
  <c r="U216" i="63" s="1"/>
  <c r="U218" i="63" s="1"/>
  <c r="U220" i="63" s="1"/>
  <c r="U222" i="63" s="1"/>
  <c r="U224" i="63" s="1"/>
  <c r="U226" i="63" s="1"/>
  <c r="U228" i="63" s="1"/>
  <c r="U230" i="63" s="1"/>
  <c r="U232" i="63" s="1"/>
  <c r="U234" i="63" s="1"/>
  <c r="U236" i="63" s="1"/>
  <c r="U238" i="63" s="1"/>
  <c r="U240" i="63" s="1"/>
  <c r="U242" i="63" s="1"/>
  <c r="AH192" i="63"/>
  <c r="AH194" i="63" s="1"/>
  <c r="AH196" i="63" s="1"/>
  <c r="AH198" i="63" s="1"/>
  <c r="AH200" i="63" s="1"/>
  <c r="AH202" i="63" s="1"/>
  <c r="AH204" i="63" s="1"/>
  <c r="AH206" i="63" s="1"/>
  <c r="AH208" i="63" s="1"/>
  <c r="AH210" i="63" s="1"/>
  <c r="AH212" i="63" s="1"/>
  <c r="AH214" i="63" s="1"/>
  <c r="AH216" i="63" s="1"/>
  <c r="AH218" i="63" s="1"/>
  <c r="AH220" i="63" s="1"/>
  <c r="AH222" i="63" s="1"/>
  <c r="AH224" i="63" s="1"/>
  <c r="AH226" i="63" s="1"/>
  <c r="AH228" i="63" s="1"/>
  <c r="AH230" i="63" s="1"/>
  <c r="AH232" i="63" s="1"/>
  <c r="AH234" i="63" s="1"/>
  <c r="AH236" i="63" s="1"/>
  <c r="AH238" i="63" s="1"/>
  <c r="AH240" i="63" s="1"/>
  <c r="AH242" i="63" s="1"/>
  <c r="V192" i="63"/>
  <c r="V194" i="63" s="1"/>
  <c r="V196" i="63" s="1"/>
  <c r="AI192" i="63"/>
  <c r="AI194" i="63" s="1"/>
  <c r="AI196" i="63" s="1"/>
  <c r="AI198" i="63" s="1"/>
  <c r="AI200" i="63" s="1"/>
  <c r="AI202" i="63" s="1"/>
  <c r="AI204" i="63" s="1"/>
  <c r="AI206" i="63" s="1"/>
  <c r="AI208" i="63" s="1"/>
  <c r="AI210" i="63" s="1"/>
  <c r="AI212" i="63" s="1"/>
  <c r="AI214" i="63" s="1"/>
  <c r="AI216" i="63" s="1"/>
  <c r="AI218" i="63" s="1"/>
  <c r="AI220" i="63" s="1"/>
  <c r="AI222" i="63" s="1"/>
  <c r="AI224" i="63" s="1"/>
  <c r="AI226" i="63" s="1"/>
  <c r="AI228" i="63" s="1"/>
  <c r="AI230" i="63" s="1"/>
  <c r="AI232" i="63" s="1"/>
  <c r="AI234" i="63" s="1"/>
  <c r="AI236" i="63" s="1"/>
  <c r="AI238" i="63" s="1"/>
  <c r="AI240" i="63" s="1"/>
  <c r="AI242" i="63" s="1"/>
  <c r="D192" i="63"/>
  <c r="D194" i="63" s="1"/>
  <c r="D196" i="63" s="1"/>
  <c r="D198" i="63" s="1"/>
  <c r="D200" i="63" s="1"/>
  <c r="D202" i="63" s="1"/>
  <c r="D204" i="63" s="1"/>
  <c r="D206" i="63" s="1"/>
  <c r="D208" i="63" s="1"/>
  <c r="D210" i="63" s="1"/>
  <c r="D212" i="63" s="1"/>
  <c r="D214" i="63" s="1"/>
  <c r="D216" i="63" s="1"/>
  <c r="D218" i="63" s="1"/>
  <c r="D220" i="63" s="1"/>
  <c r="D222" i="63" s="1"/>
  <c r="D224" i="63" s="1"/>
  <c r="D226" i="63" s="1"/>
  <c r="D228" i="63" s="1"/>
  <c r="D230" i="63" s="1"/>
  <c r="D232" i="63" s="1"/>
  <c r="D234" i="63" s="1"/>
  <c r="D236" i="63" s="1"/>
  <c r="D238" i="63" s="1"/>
  <c r="D240" i="63" s="1"/>
  <c r="W192" i="63"/>
  <c r="W194" i="63" s="1"/>
  <c r="AJ192" i="63"/>
  <c r="AJ194" i="63" s="1"/>
  <c r="AJ196" i="63" s="1"/>
  <c r="AJ198" i="63" s="1"/>
  <c r="AJ200" i="63" s="1"/>
  <c r="AJ202" i="63" s="1"/>
  <c r="AJ204" i="63" s="1"/>
  <c r="AJ206" i="63" s="1"/>
  <c r="AJ208" i="63" s="1"/>
  <c r="AJ210" i="63" s="1"/>
  <c r="AJ212" i="63" s="1"/>
  <c r="AJ214" i="63" s="1"/>
  <c r="AJ216" i="63" s="1"/>
  <c r="AJ218" i="63" s="1"/>
  <c r="AJ220" i="63" s="1"/>
  <c r="AJ222" i="63" s="1"/>
  <c r="AJ224" i="63" s="1"/>
  <c r="AJ226" i="63" s="1"/>
  <c r="AJ228" i="63" s="1"/>
  <c r="AJ230" i="63" s="1"/>
  <c r="AJ232" i="63" s="1"/>
  <c r="AJ234" i="63" s="1"/>
  <c r="AJ236" i="63" s="1"/>
  <c r="AJ238" i="63" s="1"/>
  <c r="AJ240" i="63" s="1"/>
  <c r="AJ242" i="63" s="1"/>
  <c r="X192" i="63"/>
  <c r="X194" i="63" s="1"/>
  <c r="AL192" i="63"/>
  <c r="AL194" i="63" s="1"/>
  <c r="AL196" i="63" s="1"/>
  <c r="AL198" i="63" s="1"/>
  <c r="AL200" i="63" s="1"/>
  <c r="AL202" i="63" s="1"/>
  <c r="AL204" i="63" s="1"/>
  <c r="AL206" i="63" s="1"/>
  <c r="AL208" i="63" s="1"/>
  <c r="AL210" i="63" s="1"/>
  <c r="AL212" i="63" s="1"/>
  <c r="AL214" i="63" s="1"/>
  <c r="AL216" i="63" s="1"/>
  <c r="AL218" i="63" s="1"/>
  <c r="AL220" i="63" s="1"/>
  <c r="AL222" i="63" s="1"/>
  <c r="AL224" i="63" s="1"/>
  <c r="AL226" i="63" s="1"/>
  <c r="AL228" i="63" s="1"/>
  <c r="AL230" i="63" s="1"/>
  <c r="AL232" i="63" s="1"/>
  <c r="AL234" i="63" s="1"/>
  <c r="AL236" i="63" s="1"/>
  <c r="AL238" i="63" s="1"/>
  <c r="AL240" i="63" s="1"/>
  <c r="AL242" i="63" s="1"/>
  <c r="AE193" i="63"/>
  <c r="AE194" i="63" s="1"/>
  <c r="AE195" i="63" s="1"/>
  <c r="AE196" i="63" s="1"/>
  <c r="AE197" i="63" s="1"/>
  <c r="AE198" i="63" s="1"/>
  <c r="AE199" i="63" s="1"/>
  <c r="AE200" i="63" s="1"/>
  <c r="AE201" i="63" s="1"/>
  <c r="AE202" i="63" s="1"/>
  <c r="AE203" i="63" s="1"/>
  <c r="AE204" i="63" s="1"/>
  <c r="AE205" i="63" s="1"/>
  <c r="AE206" i="63" s="1"/>
  <c r="AE207" i="63" s="1"/>
  <c r="AE208" i="63" s="1"/>
  <c r="AE209" i="63" s="1"/>
  <c r="AE210" i="63" s="1"/>
  <c r="AE211" i="63" s="1"/>
  <c r="AE212" i="63" s="1"/>
  <c r="AE213" i="63" s="1"/>
  <c r="AE214" i="63" s="1"/>
  <c r="AE215" i="63" s="1"/>
  <c r="AE216" i="63" s="1"/>
  <c r="AE217" i="63" s="1"/>
  <c r="AE218" i="63" s="1"/>
  <c r="AE219" i="63" s="1"/>
  <c r="AE220" i="63" s="1"/>
  <c r="AE221" i="63" s="1"/>
  <c r="AE222" i="63" s="1"/>
  <c r="AE223" i="63" s="1"/>
  <c r="AE224" i="63" s="1"/>
  <c r="AE225" i="63" s="1"/>
  <c r="AE226" i="63" s="1"/>
  <c r="AE227" i="63" s="1"/>
  <c r="AE228" i="63" s="1"/>
  <c r="AE229" i="63" s="1"/>
  <c r="AE230" i="63" s="1"/>
  <c r="AE231" i="63" s="1"/>
  <c r="AE232" i="63" s="1"/>
  <c r="AE233" i="63" s="1"/>
  <c r="AE234" i="63" s="1"/>
  <c r="AE235" i="63" s="1"/>
  <c r="AE236" i="63" s="1"/>
  <c r="AE237" i="63" s="1"/>
  <c r="AE238" i="63" s="1"/>
  <c r="AE239" i="63" s="1"/>
  <c r="AE240" i="63" s="1"/>
  <c r="AE241" i="63" s="1"/>
  <c r="AE242" i="63" s="1"/>
  <c r="AE243" i="63" s="1"/>
  <c r="J11" i="63"/>
  <c r="M12" i="63"/>
  <c r="L12" i="63"/>
  <c r="N12" i="63"/>
  <c r="O12" i="63"/>
  <c r="E12" i="63"/>
  <c r="O13" i="63"/>
  <c r="Y14" i="63"/>
  <c r="Y15" i="63" s="1"/>
  <c r="Y16" i="63" s="1"/>
  <c r="Y17" i="63" s="1"/>
  <c r="Y18" i="63" s="1"/>
  <c r="Y19" i="63" s="1"/>
  <c r="Y20" i="63" s="1"/>
  <c r="Y21" i="63" s="1"/>
  <c r="Y22" i="63" s="1"/>
  <c r="Y23" i="63" s="1"/>
  <c r="Y24" i="63" s="1"/>
  <c r="Y25" i="63" s="1"/>
  <c r="Y26" i="63" s="1"/>
  <c r="Y27" i="63" s="1"/>
  <c r="Y28" i="63" s="1"/>
  <c r="Y29" i="63" s="1"/>
  <c r="Y30" i="63" s="1"/>
  <c r="Y31" i="63" s="1"/>
  <c r="Y32" i="63" s="1"/>
  <c r="Y33" i="63" s="1"/>
  <c r="Y34" i="63" s="1"/>
  <c r="Y35" i="63" s="1"/>
  <c r="Y36" i="63" s="1"/>
  <c r="Y37" i="63" s="1"/>
  <c r="Y38" i="63" s="1"/>
  <c r="Y39" i="63" s="1"/>
  <c r="Y40" i="63" s="1"/>
  <c r="Y41" i="63" s="1"/>
  <c r="Y42" i="63" s="1"/>
  <c r="Y43" i="63" s="1"/>
  <c r="Y44" i="63" s="1"/>
  <c r="Y45" i="63" s="1"/>
  <c r="Y46" i="63" s="1"/>
  <c r="Y47" i="63" s="1"/>
  <c r="Y48" i="63" s="1"/>
  <c r="Y49" i="63" s="1"/>
  <c r="Y50" i="63" s="1"/>
  <c r="Y51" i="63" s="1"/>
  <c r="Y52" i="63" s="1"/>
  <c r="Y53" i="63" s="1"/>
  <c r="Y54" i="63" s="1"/>
  <c r="Y55" i="63" s="1"/>
  <c r="Y56" i="63" s="1"/>
  <c r="Y57" i="63" s="1"/>
  <c r="Y58" i="63" s="1"/>
  <c r="Y59" i="63" s="1"/>
  <c r="Y60" i="63" s="1"/>
  <c r="Y61" i="63" s="1"/>
  <c r="Y62" i="63" s="1"/>
  <c r="Y63" i="63" s="1"/>
  <c r="Y64" i="63" s="1"/>
  <c r="Y65" i="63" s="1"/>
  <c r="Y66" i="63" s="1"/>
  <c r="Y67" i="63" s="1"/>
  <c r="Y68" i="63" s="1"/>
  <c r="Y69" i="63" s="1"/>
  <c r="Y70" i="63" s="1"/>
  <c r="Y71" i="63" s="1"/>
  <c r="Y72" i="63" s="1"/>
  <c r="Y73" i="63" s="1"/>
  <c r="Y74" i="63" s="1"/>
  <c r="Y75" i="63" s="1"/>
  <c r="Y76" i="63" s="1"/>
  <c r="Y77" i="63" s="1"/>
  <c r="Y78" i="63" s="1"/>
  <c r="Y79" i="63" s="1"/>
  <c r="Y80" i="63" s="1"/>
  <c r="Y81" i="63" s="1"/>
  <c r="Y82" i="63" s="1"/>
  <c r="Y83" i="63" s="1"/>
  <c r="Y84" i="63" s="1"/>
  <c r="Y85" i="63" s="1"/>
  <c r="Y86" i="63" s="1"/>
  <c r="Y87" i="63" s="1"/>
  <c r="Y88" i="63" s="1"/>
  <c r="Y89" i="63" s="1"/>
  <c r="Y90" i="63" s="1"/>
  <c r="Y91" i="63" s="1"/>
  <c r="Y92" i="63" s="1"/>
  <c r="Y93" i="63" s="1"/>
  <c r="Y94" i="63" s="1"/>
  <c r="Y95" i="63" s="1"/>
  <c r="Y96" i="63" s="1"/>
  <c r="Y97" i="63" s="1"/>
  <c r="Y98" i="63" s="1"/>
  <c r="Y99" i="63" s="1"/>
  <c r="Y100" i="63" s="1"/>
  <c r="Y101" i="63" s="1"/>
  <c r="Y102" i="63" s="1"/>
  <c r="Y103" i="63" s="1"/>
  <c r="Y104" i="63" s="1"/>
  <c r="Y105" i="63" s="1"/>
  <c r="Y106" i="63" s="1"/>
  <c r="Y107" i="63" s="1"/>
  <c r="Y108" i="63" s="1"/>
  <c r="Y109" i="63" s="1"/>
  <c r="Y110" i="63" s="1"/>
  <c r="Y111" i="63" s="1"/>
  <c r="Y112" i="63" s="1"/>
  <c r="Y113" i="63" s="1"/>
  <c r="Y114" i="63" s="1"/>
  <c r="Y115" i="63" s="1"/>
  <c r="Y116" i="63" s="1"/>
  <c r="Y117" i="63" s="1"/>
  <c r="Y118" i="63" s="1"/>
  <c r="Y119" i="63" s="1"/>
  <c r="Y120" i="63" s="1"/>
  <c r="Y121" i="63" s="1"/>
  <c r="Y122" i="63" s="1"/>
  <c r="Y123" i="63" s="1"/>
  <c r="Y124" i="63" s="1"/>
  <c r="Y125" i="63" s="1"/>
  <c r="Y126" i="63" s="1"/>
  <c r="Y127" i="63" s="1"/>
  <c r="Y128" i="63" s="1"/>
  <c r="Y129" i="63" s="1"/>
  <c r="Y130" i="63" s="1"/>
  <c r="Y131" i="63" s="1"/>
  <c r="Y132" i="63" s="1"/>
  <c r="Y133" i="63" s="1"/>
  <c r="Y134" i="63" s="1"/>
  <c r="Y135" i="63" s="1"/>
  <c r="Y136" i="63" s="1"/>
  <c r="Y137" i="63" s="1"/>
  <c r="Y138" i="63" s="1"/>
  <c r="Y139" i="63" s="1"/>
  <c r="Y140" i="63" s="1"/>
  <c r="Y141" i="63" s="1"/>
  <c r="Y142" i="63" s="1"/>
  <c r="Y143" i="63" s="1"/>
  <c r="Y144" i="63" s="1"/>
  <c r="Y145" i="63" s="1"/>
  <c r="Y146" i="63" s="1"/>
  <c r="Y147" i="63" s="1"/>
  <c r="Y148" i="63" s="1"/>
  <c r="Y149" i="63" s="1"/>
  <c r="Y150" i="63" s="1"/>
  <c r="Y151" i="63" s="1"/>
  <c r="Y152" i="63" s="1"/>
  <c r="Y153" i="63" s="1"/>
  <c r="Y154" i="63" s="1"/>
  <c r="Y155" i="63" s="1"/>
  <c r="Y156" i="63" s="1"/>
  <c r="Y157" i="63" s="1"/>
  <c r="Y158" i="63" s="1"/>
  <c r="Y159" i="63" s="1"/>
  <c r="Y160" i="63" s="1"/>
  <c r="Y161" i="63" s="1"/>
  <c r="Y162" i="63" s="1"/>
  <c r="Y163" i="63" s="1"/>
  <c r="Y164" i="63" s="1"/>
  <c r="Y165" i="63" s="1"/>
  <c r="Y166" i="63" s="1"/>
  <c r="Y167" i="63" s="1"/>
  <c r="Y168" i="63" s="1"/>
  <c r="Y169" i="63" s="1"/>
  <c r="Y170" i="63" s="1"/>
  <c r="Y171" i="63" s="1"/>
  <c r="Y172" i="63" s="1"/>
  <c r="Y173" i="63" s="1"/>
  <c r="Y174" i="63" s="1"/>
  <c r="Y175" i="63" s="1"/>
  <c r="Y176" i="63" s="1"/>
  <c r="Y177" i="63" s="1"/>
  <c r="Y178" i="63" s="1"/>
  <c r="Y179" i="63" s="1"/>
  <c r="Y180" i="63" s="1"/>
  <c r="Y181" i="63" s="1"/>
  <c r="Y182" i="63" s="1"/>
  <c r="Y183" i="63" s="1"/>
  <c r="Y184" i="63" s="1"/>
  <c r="Y185" i="63" s="1"/>
  <c r="Y186" i="63" s="1"/>
  <c r="Y187" i="63" s="1"/>
  <c r="Y188" i="63" s="1"/>
  <c r="Y189" i="63" s="1"/>
  <c r="Y190" i="63" s="1"/>
  <c r="Y191" i="63" s="1"/>
  <c r="P14" i="63"/>
  <c r="K13" i="63"/>
  <c r="T15" i="63"/>
  <c r="E13" i="63"/>
  <c r="C14" i="63"/>
  <c r="M13" i="63"/>
  <c r="R14" i="63"/>
  <c r="S14" i="63"/>
  <c r="N13" i="63"/>
  <c r="F11" i="63"/>
  <c r="Q13" i="63"/>
  <c r="K12" i="63"/>
  <c r="Y218" i="71" l="1"/>
  <c r="Y219" i="71" s="1"/>
  <c r="Y220" i="71" s="1"/>
  <c r="Y221" i="71" s="1"/>
  <c r="Y222" i="71" s="1"/>
  <c r="Y223" i="71" s="1"/>
  <c r="Y224" i="71" s="1"/>
  <c r="Y225" i="71" s="1"/>
  <c r="Y226" i="71" s="1"/>
  <c r="Y227" i="71" s="1"/>
  <c r="K185" i="71"/>
  <c r="F185" i="71" s="1"/>
  <c r="X219" i="70"/>
  <c r="N218" i="70"/>
  <c r="I218" i="70" s="1"/>
  <c r="W219" i="70"/>
  <c r="M218" i="70"/>
  <c r="H218" i="70" s="1"/>
  <c r="V219" i="70"/>
  <c r="L218" i="70"/>
  <c r="G218" i="70" s="1"/>
  <c r="C14" i="70"/>
  <c r="H12" i="70"/>
  <c r="W233" i="63"/>
  <c r="W235" i="63" s="1"/>
  <c r="W237" i="63" s="1"/>
  <c r="W239" i="63" s="1"/>
  <c r="W241" i="63" s="1"/>
  <c r="U231" i="63"/>
  <c r="U233" i="63" s="1"/>
  <c r="U235" i="63" s="1"/>
  <c r="U237" i="63" s="1"/>
  <c r="U239" i="63" s="1"/>
  <c r="U241" i="63" s="1"/>
  <c r="D242" i="63"/>
  <c r="G12" i="69"/>
  <c r="H12" i="69"/>
  <c r="F12" i="69"/>
  <c r="N185" i="71"/>
  <c r="I185" i="71" s="1"/>
  <c r="S186" i="71"/>
  <c r="J13" i="71"/>
  <c r="I13" i="71"/>
  <c r="H13" i="71"/>
  <c r="G13" i="71"/>
  <c r="F13" i="71"/>
  <c r="L185" i="71"/>
  <c r="G185" i="71" s="1"/>
  <c r="Q186" i="71"/>
  <c r="E14" i="71"/>
  <c r="C15" i="71"/>
  <c r="E186" i="71"/>
  <c r="C187" i="71"/>
  <c r="O186" i="71"/>
  <c r="T187" i="71"/>
  <c r="J12" i="71"/>
  <c r="I12" i="71"/>
  <c r="H12" i="71"/>
  <c r="G12" i="71"/>
  <c r="F12" i="71"/>
  <c r="S15" i="71"/>
  <c r="N14" i="71"/>
  <c r="M186" i="71"/>
  <c r="R187" i="71"/>
  <c r="P187" i="71"/>
  <c r="K186" i="71"/>
  <c r="K14" i="71"/>
  <c r="P15" i="71"/>
  <c r="M14" i="71"/>
  <c r="R15" i="71"/>
  <c r="F184" i="71"/>
  <c r="J184" i="71"/>
  <c r="H184" i="71"/>
  <c r="G184" i="71"/>
  <c r="I184" i="71"/>
  <c r="L14" i="71"/>
  <c r="Q15" i="71"/>
  <c r="O185" i="71"/>
  <c r="J185" i="71" s="1"/>
  <c r="T15" i="71"/>
  <c r="O14" i="71"/>
  <c r="I13" i="70"/>
  <c r="G13" i="70"/>
  <c r="F13" i="70"/>
  <c r="S15" i="70"/>
  <c r="N14" i="70"/>
  <c r="C15" i="70"/>
  <c r="E14" i="70"/>
  <c r="R14" i="70"/>
  <c r="M13" i="70"/>
  <c r="H13" i="70" s="1"/>
  <c r="Q15" i="70"/>
  <c r="L14" i="70"/>
  <c r="K15" i="70"/>
  <c r="P16" i="70"/>
  <c r="T14" i="70"/>
  <c r="O13" i="70"/>
  <c r="J13" i="70" s="1"/>
  <c r="I12" i="69"/>
  <c r="K14" i="69"/>
  <c r="P15" i="69"/>
  <c r="L14" i="69"/>
  <c r="Q15" i="69"/>
  <c r="L13" i="69"/>
  <c r="G13" i="69" s="1"/>
  <c r="M14" i="69"/>
  <c r="R15" i="69"/>
  <c r="T15" i="69"/>
  <c r="O14" i="69"/>
  <c r="E14" i="69"/>
  <c r="C15" i="69"/>
  <c r="J13" i="69"/>
  <c r="I13" i="69"/>
  <c r="H13" i="69"/>
  <c r="F13" i="69"/>
  <c r="N14" i="69"/>
  <c r="S15" i="69"/>
  <c r="X196" i="63"/>
  <c r="W196" i="63"/>
  <c r="V198" i="63"/>
  <c r="V200" i="63" s="1"/>
  <c r="V202" i="63" s="1"/>
  <c r="V204" i="63" s="1"/>
  <c r="V206" i="63" s="1"/>
  <c r="V208" i="63" s="1"/>
  <c r="V210" i="63" s="1"/>
  <c r="V212" i="63" s="1"/>
  <c r="V214" i="63" s="1"/>
  <c r="V216" i="63" s="1"/>
  <c r="V218" i="63" s="1"/>
  <c r="V220" i="63" s="1"/>
  <c r="V222" i="63" s="1"/>
  <c r="V224" i="63" s="1"/>
  <c r="V226" i="63" s="1"/>
  <c r="V228" i="63" s="1"/>
  <c r="Y192" i="63"/>
  <c r="J12" i="63"/>
  <c r="G12" i="63"/>
  <c r="O14" i="63"/>
  <c r="F12" i="63"/>
  <c r="I12" i="63"/>
  <c r="H12" i="63"/>
  <c r="M14" i="63"/>
  <c r="R15" i="63"/>
  <c r="E14" i="63"/>
  <c r="C15" i="63"/>
  <c r="F13" i="63"/>
  <c r="J13" i="63"/>
  <c r="I13" i="63"/>
  <c r="H13" i="63"/>
  <c r="O15" i="63"/>
  <c r="T16" i="63"/>
  <c r="L13" i="63"/>
  <c r="G13" i="63" s="1"/>
  <c r="Q14" i="63"/>
  <c r="N14" i="63"/>
  <c r="S15" i="63"/>
  <c r="K14" i="63"/>
  <c r="P15" i="63"/>
  <c r="Y228" i="71" l="1"/>
  <c r="Y229" i="71" s="1"/>
  <c r="Y230" i="71" s="1"/>
  <c r="Y231" i="71" s="1"/>
  <c r="Y232" i="71" s="1"/>
  <c r="Y233" i="71" s="1"/>
  <c r="Y234" i="71" s="1"/>
  <c r="X220" i="70"/>
  <c r="N219" i="70"/>
  <c r="I219" i="70" s="1"/>
  <c r="W220" i="70"/>
  <c r="M219" i="70"/>
  <c r="H219" i="70" s="1"/>
  <c r="V220" i="70"/>
  <c r="L219" i="70"/>
  <c r="G219" i="70" s="1"/>
  <c r="V230" i="63"/>
  <c r="U243" i="63"/>
  <c r="W243" i="63"/>
  <c r="R188" i="71"/>
  <c r="M187" i="71"/>
  <c r="M15" i="71"/>
  <c r="R16" i="71"/>
  <c r="L15" i="71"/>
  <c r="Q16" i="71"/>
  <c r="N15" i="71"/>
  <c r="S16" i="71"/>
  <c r="E187" i="71"/>
  <c r="C188" i="71"/>
  <c r="O187" i="71"/>
  <c r="T188" i="71"/>
  <c r="K15" i="71"/>
  <c r="P16" i="71"/>
  <c r="H186" i="71"/>
  <c r="F186" i="71"/>
  <c r="J186" i="71"/>
  <c r="E15" i="71"/>
  <c r="C16" i="71"/>
  <c r="J14" i="71"/>
  <c r="I14" i="71"/>
  <c r="H14" i="71"/>
  <c r="G14" i="71"/>
  <c r="F14" i="71"/>
  <c r="N186" i="71"/>
  <c r="I186" i="71" s="1"/>
  <c r="S187" i="71"/>
  <c r="O15" i="71"/>
  <c r="T16" i="71"/>
  <c r="P188" i="71"/>
  <c r="K187" i="71"/>
  <c r="Q187" i="71"/>
  <c r="L186" i="71"/>
  <c r="G186" i="71" s="1"/>
  <c r="T15" i="70"/>
  <c r="O14" i="70"/>
  <c r="J14" i="70" s="1"/>
  <c r="C16" i="70"/>
  <c r="E15" i="70"/>
  <c r="K16" i="70"/>
  <c r="P17" i="70"/>
  <c r="S16" i="70"/>
  <c r="N15" i="70"/>
  <c r="L15" i="70"/>
  <c r="Q16" i="70"/>
  <c r="R15" i="70"/>
  <c r="M14" i="70"/>
  <c r="H14" i="70" s="1"/>
  <c r="I14" i="70"/>
  <c r="G14" i="70"/>
  <c r="F14" i="70"/>
  <c r="O15" i="69"/>
  <c r="T16" i="69"/>
  <c r="R16" i="69"/>
  <c r="M15" i="69"/>
  <c r="L15" i="69"/>
  <c r="Q16" i="69"/>
  <c r="E15" i="69"/>
  <c r="C16" i="69"/>
  <c r="N15" i="69"/>
  <c r="S16" i="69"/>
  <c r="F14" i="69"/>
  <c r="J14" i="69"/>
  <c r="H14" i="69"/>
  <c r="I14" i="69"/>
  <c r="G14" i="69"/>
  <c r="P16" i="69"/>
  <c r="K15" i="69"/>
  <c r="X198" i="63"/>
  <c r="W198" i="63"/>
  <c r="Y193" i="63"/>
  <c r="Y194" i="63" s="1"/>
  <c r="Y195" i="63" s="1"/>
  <c r="Y196" i="63" s="1"/>
  <c r="Y197" i="63" s="1"/>
  <c r="Y198" i="63" s="1"/>
  <c r="Y199" i="63" s="1"/>
  <c r="Y200" i="63" s="1"/>
  <c r="Y201" i="63" s="1"/>
  <c r="Y202" i="63" s="1"/>
  <c r="Y203" i="63" s="1"/>
  <c r="Y204" i="63" s="1"/>
  <c r="Y205" i="63" s="1"/>
  <c r="Y206" i="63" s="1"/>
  <c r="Y207" i="63" s="1"/>
  <c r="Y208" i="63" s="1"/>
  <c r="Y209" i="63" s="1"/>
  <c r="Y210" i="63" s="1"/>
  <c r="Y211" i="63" s="1"/>
  <c r="Y212" i="63" s="1"/>
  <c r="Y213" i="63" s="1"/>
  <c r="Y214" i="63" s="1"/>
  <c r="Y215" i="63" s="1"/>
  <c r="Y216" i="63" s="1"/>
  <c r="Y217" i="63" s="1"/>
  <c r="Y218" i="63" s="1"/>
  <c r="Y219" i="63" s="1"/>
  <c r="Y220" i="63" s="1"/>
  <c r="Y221" i="63" s="1"/>
  <c r="Y222" i="63" s="1"/>
  <c r="Y223" i="63" s="1"/>
  <c r="Y224" i="63" s="1"/>
  <c r="Y225" i="63" s="1"/>
  <c r="Y226" i="63" s="1"/>
  <c r="Y227" i="63" s="1"/>
  <c r="Y228" i="63" s="1"/>
  <c r="Y229" i="63" s="1"/>
  <c r="Y230" i="63" s="1"/>
  <c r="Y231" i="63" s="1"/>
  <c r="Y232" i="63" s="1"/>
  <c r="Y233" i="63" s="1"/>
  <c r="Y234" i="63" s="1"/>
  <c r="Y235" i="63" s="1"/>
  <c r="Y236" i="63" s="1"/>
  <c r="Y237" i="63" s="1"/>
  <c r="Y238" i="63" s="1"/>
  <c r="Y239" i="63" s="1"/>
  <c r="Y240" i="63" s="1"/>
  <c r="Y241" i="63" s="1"/>
  <c r="N15" i="63"/>
  <c r="S16" i="63"/>
  <c r="L14" i="63"/>
  <c r="G14" i="63" s="1"/>
  <c r="Q15" i="63"/>
  <c r="E15" i="63"/>
  <c r="C16" i="63"/>
  <c r="O16" i="63"/>
  <c r="T17" i="63"/>
  <c r="F14" i="63"/>
  <c r="H14" i="63"/>
  <c r="J14" i="63"/>
  <c r="I14" i="63"/>
  <c r="M15" i="63"/>
  <c r="R16" i="63"/>
  <c r="P16" i="63"/>
  <c r="K15" i="63"/>
  <c r="X221" i="70" l="1"/>
  <c r="N220" i="70"/>
  <c r="I220" i="70" s="1"/>
  <c r="W221" i="70"/>
  <c r="M220" i="70"/>
  <c r="H220" i="70" s="1"/>
  <c r="V221" i="70"/>
  <c r="L220" i="70"/>
  <c r="G220" i="70" s="1"/>
  <c r="Y242" i="63"/>
  <c r="Y243" i="63" s="1"/>
  <c r="V232" i="63"/>
  <c r="V234" i="63" s="1"/>
  <c r="V236" i="63" s="1"/>
  <c r="V238" i="63" s="1"/>
  <c r="V240" i="63" s="1"/>
  <c r="N16" i="71"/>
  <c r="S17" i="71"/>
  <c r="O16" i="71"/>
  <c r="T17" i="71"/>
  <c r="P17" i="71"/>
  <c r="K16" i="71"/>
  <c r="Q17" i="71"/>
  <c r="L16" i="71"/>
  <c r="E16" i="71"/>
  <c r="C17" i="71"/>
  <c r="N187" i="71"/>
  <c r="I187" i="71" s="1"/>
  <c r="S188" i="71"/>
  <c r="F15" i="71"/>
  <c r="J15" i="71"/>
  <c r="I15" i="71"/>
  <c r="H15" i="71"/>
  <c r="G15" i="71"/>
  <c r="O188" i="71"/>
  <c r="T189" i="71"/>
  <c r="M16" i="71"/>
  <c r="R17" i="71"/>
  <c r="P189" i="71"/>
  <c r="K188" i="71"/>
  <c r="C189" i="71"/>
  <c r="E188" i="71"/>
  <c r="Q188" i="71"/>
  <c r="L187" i="71"/>
  <c r="H187" i="71"/>
  <c r="G187" i="71"/>
  <c r="F187" i="71"/>
  <c r="J187" i="71"/>
  <c r="R189" i="71"/>
  <c r="M188" i="71"/>
  <c r="N16" i="70"/>
  <c r="S17" i="70"/>
  <c r="P18" i="70"/>
  <c r="K17" i="70"/>
  <c r="I15" i="70"/>
  <c r="G15" i="70"/>
  <c r="F15" i="70"/>
  <c r="R16" i="70"/>
  <c r="M15" i="70"/>
  <c r="H15" i="70" s="1"/>
  <c r="E16" i="70"/>
  <c r="C17" i="70"/>
  <c r="L16" i="70"/>
  <c r="Q17" i="70"/>
  <c r="T16" i="70"/>
  <c r="O15" i="70"/>
  <c r="J15" i="70" s="1"/>
  <c r="C17" i="69"/>
  <c r="E16" i="69"/>
  <c r="G15" i="69"/>
  <c r="F15" i="69"/>
  <c r="I15" i="69"/>
  <c r="J15" i="69"/>
  <c r="H15" i="69"/>
  <c r="Q17" i="69"/>
  <c r="L16" i="69"/>
  <c r="P17" i="69"/>
  <c r="K16" i="69"/>
  <c r="M16" i="69"/>
  <c r="R17" i="69"/>
  <c r="N16" i="69"/>
  <c r="S17" i="69"/>
  <c r="O16" i="69"/>
  <c r="T17" i="69"/>
  <c r="X200" i="63"/>
  <c r="W200" i="63"/>
  <c r="P17" i="63"/>
  <c r="K16" i="63"/>
  <c r="T18" i="63"/>
  <c r="O17" i="63"/>
  <c r="R17" i="63"/>
  <c r="M16" i="63"/>
  <c r="F15" i="63"/>
  <c r="H15" i="63"/>
  <c r="I15" i="63"/>
  <c r="J15" i="63"/>
  <c r="L15" i="63"/>
  <c r="G15" i="63" s="1"/>
  <c r="Q16" i="63"/>
  <c r="E16" i="63"/>
  <c r="C17" i="63"/>
  <c r="S17" i="63"/>
  <c r="N16" i="63"/>
  <c r="X222" i="70" l="1"/>
  <c r="N221" i="70"/>
  <c r="I221" i="70" s="1"/>
  <c r="W222" i="70"/>
  <c r="M221" i="70"/>
  <c r="H221" i="70" s="1"/>
  <c r="V222" i="70"/>
  <c r="L221" i="70"/>
  <c r="G221" i="70" s="1"/>
  <c r="V242" i="63"/>
  <c r="C190" i="71"/>
  <c r="E189" i="71"/>
  <c r="Q18" i="71"/>
  <c r="L17" i="71"/>
  <c r="K189" i="71"/>
  <c r="P190" i="71"/>
  <c r="P18" i="71"/>
  <c r="K17" i="71"/>
  <c r="S189" i="71"/>
  <c r="N188" i="71"/>
  <c r="O17" i="71"/>
  <c r="T18" i="71"/>
  <c r="T190" i="71"/>
  <c r="O189" i="71"/>
  <c r="R18" i="71"/>
  <c r="M17" i="71"/>
  <c r="Q189" i="71"/>
  <c r="L188" i="71"/>
  <c r="G188" i="71" s="1"/>
  <c r="E17" i="71"/>
  <c r="C18" i="71"/>
  <c r="N17" i="71"/>
  <c r="S18" i="71"/>
  <c r="R190" i="71"/>
  <c r="M189" i="71"/>
  <c r="J188" i="71"/>
  <c r="I188" i="71"/>
  <c r="H188" i="71"/>
  <c r="F188" i="71"/>
  <c r="G16" i="71"/>
  <c r="F16" i="71"/>
  <c r="H16" i="71"/>
  <c r="J16" i="71"/>
  <c r="I16" i="71"/>
  <c r="L17" i="70"/>
  <c r="Q18" i="70"/>
  <c r="T17" i="70"/>
  <c r="O16" i="70"/>
  <c r="J16" i="70" s="1"/>
  <c r="P19" i="70"/>
  <c r="K18" i="70"/>
  <c r="I16" i="70"/>
  <c r="F16" i="70"/>
  <c r="G16" i="70"/>
  <c r="M16" i="70"/>
  <c r="H16" i="70" s="1"/>
  <c r="R17" i="70"/>
  <c r="N17" i="70"/>
  <c r="S18" i="70"/>
  <c r="E17" i="70"/>
  <c r="C18" i="70"/>
  <c r="Q18" i="69"/>
  <c r="L17" i="69"/>
  <c r="R18" i="69"/>
  <c r="M17" i="69"/>
  <c r="P18" i="69"/>
  <c r="K17" i="69"/>
  <c r="H16" i="69"/>
  <c r="G16" i="69"/>
  <c r="J16" i="69"/>
  <c r="F16" i="69"/>
  <c r="I16" i="69"/>
  <c r="N17" i="69"/>
  <c r="S18" i="69"/>
  <c r="O17" i="69"/>
  <c r="T18" i="69"/>
  <c r="E17" i="69"/>
  <c r="C18" i="69"/>
  <c r="X202" i="63"/>
  <c r="W202" i="63"/>
  <c r="E17" i="63"/>
  <c r="C18" i="63"/>
  <c r="S18" i="63"/>
  <c r="N17" i="63"/>
  <c r="R18" i="63"/>
  <c r="M17" i="63"/>
  <c r="I16" i="63"/>
  <c r="H16" i="63"/>
  <c r="F16" i="63"/>
  <c r="J16" i="63"/>
  <c r="Q17" i="63"/>
  <c r="L16" i="63"/>
  <c r="G16" i="63" s="1"/>
  <c r="T19" i="63"/>
  <c r="O18" i="63"/>
  <c r="P18" i="63"/>
  <c r="K17" i="63"/>
  <c r="X223" i="70" l="1"/>
  <c r="N222" i="70"/>
  <c r="I222" i="70" s="1"/>
  <c r="W223" i="70"/>
  <c r="M222" i="70"/>
  <c r="H222" i="70" s="1"/>
  <c r="V223" i="70"/>
  <c r="L222" i="70"/>
  <c r="G222" i="70" s="1"/>
  <c r="R191" i="71"/>
  <c r="M190" i="71"/>
  <c r="R19" i="71"/>
  <c r="M18" i="71"/>
  <c r="P19" i="71"/>
  <c r="K18" i="71"/>
  <c r="N18" i="71"/>
  <c r="S19" i="71"/>
  <c r="K190" i="71"/>
  <c r="P191" i="71"/>
  <c r="E18" i="71"/>
  <c r="C19" i="71"/>
  <c r="O18" i="71"/>
  <c r="T19" i="71"/>
  <c r="H17" i="71"/>
  <c r="G17" i="71"/>
  <c r="F17" i="71"/>
  <c r="I17" i="71"/>
  <c r="J17" i="71"/>
  <c r="Q19" i="71"/>
  <c r="L18" i="71"/>
  <c r="T191" i="71"/>
  <c r="O190" i="71"/>
  <c r="J189" i="71"/>
  <c r="H189" i="71"/>
  <c r="F189" i="71"/>
  <c r="Q190" i="71"/>
  <c r="L189" i="71"/>
  <c r="G189" i="71" s="1"/>
  <c r="S190" i="71"/>
  <c r="N189" i="71"/>
  <c r="I189" i="71" s="1"/>
  <c r="C191" i="71"/>
  <c r="E190" i="71"/>
  <c r="N18" i="70"/>
  <c r="S19" i="70"/>
  <c r="P20" i="70"/>
  <c r="K19" i="70"/>
  <c r="T18" i="70"/>
  <c r="O17" i="70"/>
  <c r="J17" i="70" s="1"/>
  <c r="M17" i="70"/>
  <c r="H17" i="70" s="1"/>
  <c r="R18" i="70"/>
  <c r="L18" i="70"/>
  <c r="Q19" i="70"/>
  <c r="F17" i="70"/>
  <c r="G17" i="70"/>
  <c r="I17" i="70"/>
  <c r="E18" i="70"/>
  <c r="C19" i="70"/>
  <c r="I17" i="69"/>
  <c r="H17" i="69"/>
  <c r="G17" i="69"/>
  <c r="F17" i="69"/>
  <c r="J17" i="69"/>
  <c r="S19" i="69"/>
  <c r="N18" i="69"/>
  <c r="P19" i="69"/>
  <c r="K18" i="69"/>
  <c r="O18" i="69"/>
  <c r="T19" i="69"/>
  <c r="R19" i="69"/>
  <c r="M18" i="69"/>
  <c r="C19" i="69"/>
  <c r="E18" i="69"/>
  <c r="L18" i="69"/>
  <c r="Q19" i="69"/>
  <c r="X204" i="63"/>
  <c r="W204" i="63"/>
  <c r="S19" i="63"/>
  <c r="N18" i="63"/>
  <c r="K18" i="63"/>
  <c r="P19" i="63"/>
  <c r="T20" i="63"/>
  <c r="O19" i="63"/>
  <c r="R19" i="63"/>
  <c r="M18" i="63"/>
  <c r="Q18" i="63"/>
  <c r="L17" i="63"/>
  <c r="G17" i="63" s="1"/>
  <c r="C19" i="63"/>
  <c r="E18" i="63"/>
  <c r="I17" i="63"/>
  <c r="H17" i="63"/>
  <c r="F17" i="63"/>
  <c r="J17" i="63"/>
  <c r="X224" i="70" l="1"/>
  <c r="N223" i="70"/>
  <c r="I223" i="70" s="1"/>
  <c r="W224" i="70"/>
  <c r="M223" i="70"/>
  <c r="H223" i="70" s="1"/>
  <c r="V224" i="70"/>
  <c r="L223" i="70"/>
  <c r="G223" i="70" s="1"/>
  <c r="S20" i="71"/>
  <c r="N19" i="71"/>
  <c r="O19" i="71"/>
  <c r="T20" i="71"/>
  <c r="L190" i="71"/>
  <c r="G190" i="71" s="1"/>
  <c r="Q191" i="71"/>
  <c r="K19" i="71"/>
  <c r="P20" i="71"/>
  <c r="S191" i="71"/>
  <c r="N190" i="71"/>
  <c r="I190" i="71" s="1"/>
  <c r="Q20" i="71"/>
  <c r="L19" i="71"/>
  <c r="C20" i="71"/>
  <c r="E19" i="71"/>
  <c r="T192" i="71"/>
  <c r="O191" i="71"/>
  <c r="I18" i="71"/>
  <c r="H18" i="71"/>
  <c r="G18" i="71"/>
  <c r="F18" i="71"/>
  <c r="J18" i="71"/>
  <c r="R20" i="71"/>
  <c r="M19" i="71"/>
  <c r="J190" i="71"/>
  <c r="H190" i="71"/>
  <c r="F190" i="71"/>
  <c r="K191" i="71"/>
  <c r="P192" i="71"/>
  <c r="E191" i="71"/>
  <c r="C192" i="71"/>
  <c r="M191" i="71"/>
  <c r="R192" i="71"/>
  <c r="O18" i="70"/>
  <c r="T19" i="70"/>
  <c r="P21" i="70"/>
  <c r="K20" i="70"/>
  <c r="M18" i="70"/>
  <c r="H18" i="70" s="1"/>
  <c r="R19" i="70"/>
  <c r="Q20" i="70"/>
  <c r="L19" i="70"/>
  <c r="N19" i="70"/>
  <c r="S20" i="70"/>
  <c r="G18" i="70"/>
  <c r="F18" i="70"/>
  <c r="J18" i="70"/>
  <c r="I18" i="70"/>
  <c r="E19" i="70"/>
  <c r="C20" i="70"/>
  <c r="K19" i="69"/>
  <c r="P20" i="69"/>
  <c r="S20" i="69"/>
  <c r="N19" i="69"/>
  <c r="R20" i="69"/>
  <c r="M19" i="69"/>
  <c r="J18" i="69"/>
  <c r="I18" i="69"/>
  <c r="H18" i="69"/>
  <c r="G18" i="69"/>
  <c r="F18" i="69"/>
  <c r="T20" i="69"/>
  <c r="O19" i="69"/>
  <c r="C20" i="69"/>
  <c r="E19" i="69"/>
  <c r="Q20" i="69"/>
  <c r="L19" i="69"/>
  <c r="X206" i="63"/>
  <c r="W206" i="63"/>
  <c r="R20" i="63"/>
  <c r="M19" i="63"/>
  <c r="J18" i="63"/>
  <c r="I18" i="63"/>
  <c r="H18" i="63"/>
  <c r="F18" i="63"/>
  <c r="C20" i="63"/>
  <c r="E19" i="63"/>
  <c r="T21" i="63"/>
  <c r="O20" i="63"/>
  <c r="K19" i="63"/>
  <c r="P20" i="63"/>
  <c r="Q19" i="63"/>
  <c r="L18" i="63"/>
  <c r="G18" i="63" s="1"/>
  <c r="S20" i="63"/>
  <c r="N19" i="63"/>
  <c r="X225" i="70" l="1"/>
  <c r="N224" i="70"/>
  <c r="I224" i="70" s="1"/>
  <c r="W225" i="70"/>
  <c r="M224" i="70"/>
  <c r="H224" i="70" s="1"/>
  <c r="V225" i="70"/>
  <c r="L224" i="70"/>
  <c r="G224" i="70" s="1"/>
  <c r="J191" i="71"/>
  <c r="F191" i="71"/>
  <c r="H191" i="71"/>
  <c r="T193" i="71"/>
  <c r="O192" i="71"/>
  <c r="R21" i="71"/>
  <c r="M20" i="71"/>
  <c r="J19" i="71"/>
  <c r="I19" i="71"/>
  <c r="H19" i="71"/>
  <c r="G19" i="71"/>
  <c r="F19" i="71"/>
  <c r="L191" i="71"/>
  <c r="G191" i="71" s="1"/>
  <c r="Q192" i="71"/>
  <c r="C21" i="71"/>
  <c r="E20" i="71"/>
  <c r="T21" i="71"/>
  <c r="O20" i="71"/>
  <c r="K20" i="71"/>
  <c r="P21" i="71"/>
  <c r="L20" i="71"/>
  <c r="Q21" i="71"/>
  <c r="E192" i="71"/>
  <c r="C193" i="71"/>
  <c r="K192" i="71"/>
  <c r="P193" i="71"/>
  <c r="M192" i="71"/>
  <c r="R193" i="71"/>
  <c r="S192" i="71"/>
  <c r="N191" i="71"/>
  <c r="I191" i="71" s="1"/>
  <c r="S21" i="71"/>
  <c r="N20" i="71"/>
  <c r="Q21" i="70"/>
  <c r="L20" i="70"/>
  <c r="M19" i="70"/>
  <c r="R20" i="70"/>
  <c r="K21" i="70"/>
  <c r="P22" i="70"/>
  <c r="H19" i="70"/>
  <c r="G19" i="70"/>
  <c r="I19" i="70"/>
  <c r="F19" i="70"/>
  <c r="N20" i="70"/>
  <c r="S21" i="70"/>
  <c r="O19" i="70"/>
  <c r="J19" i="70" s="1"/>
  <c r="T20" i="70"/>
  <c r="E20" i="70"/>
  <c r="C21" i="70"/>
  <c r="J19" i="69"/>
  <c r="I19" i="69"/>
  <c r="H19" i="69"/>
  <c r="G19" i="69"/>
  <c r="F19" i="69"/>
  <c r="R21" i="69"/>
  <c r="M20" i="69"/>
  <c r="L20" i="69"/>
  <c r="Q21" i="69"/>
  <c r="C21" i="69"/>
  <c r="E20" i="69"/>
  <c r="T21" i="69"/>
  <c r="O20" i="69"/>
  <c r="S21" i="69"/>
  <c r="N20" i="69"/>
  <c r="K20" i="69"/>
  <c r="P21" i="69"/>
  <c r="X208" i="63"/>
  <c r="W208" i="63"/>
  <c r="S21" i="63"/>
  <c r="N20" i="63"/>
  <c r="C21" i="63"/>
  <c r="E20" i="63"/>
  <c r="K20" i="63"/>
  <c r="P21" i="63"/>
  <c r="L19" i="63"/>
  <c r="G19" i="63" s="1"/>
  <c r="Q20" i="63"/>
  <c r="T22" i="63"/>
  <c r="O21" i="63"/>
  <c r="J19" i="63"/>
  <c r="I19" i="63"/>
  <c r="H19" i="63"/>
  <c r="F19" i="63"/>
  <c r="R21" i="63"/>
  <c r="M20" i="63"/>
  <c r="X226" i="70" l="1"/>
  <c r="N225" i="70"/>
  <c r="I225" i="70" s="1"/>
  <c r="W226" i="70"/>
  <c r="M225" i="70"/>
  <c r="H225" i="70" s="1"/>
  <c r="V226" i="70"/>
  <c r="L225" i="70"/>
  <c r="G225" i="70" s="1"/>
  <c r="L21" i="71"/>
  <c r="Q22" i="71"/>
  <c r="L192" i="71"/>
  <c r="G192" i="71" s="1"/>
  <c r="Q193" i="71"/>
  <c r="M21" i="71"/>
  <c r="R22" i="71"/>
  <c r="N192" i="71"/>
  <c r="I192" i="71" s="1"/>
  <c r="S193" i="71"/>
  <c r="M193" i="71"/>
  <c r="R194" i="71"/>
  <c r="K21" i="71"/>
  <c r="P22" i="71"/>
  <c r="O193" i="71"/>
  <c r="T194" i="71"/>
  <c r="P194" i="71"/>
  <c r="K193" i="71"/>
  <c r="T22" i="71"/>
  <c r="O21" i="71"/>
  <c r="E193" i="71"/>
  <c r="C194" i="71"/>
  <c r="J20" i="71"/>
  <c r="I20" i="71"/>
  <c r="H20" i="71"/>
  <c r="G20" i="71"/>
  <c r="F20" i="71"/>
  <c r="S22" i="71"/>
  <c r="N21" i="71"/>
  <c r="F192" i="71"/>
  <c r="J192" i="71"/>
  <c r="H192" i="71"/>
  <c r="C22" i="71"/>
  <c r="E21" i="71"/>
  <c r="O20" i="70"/>
  <c r="J20" i="70" s="1"/>
  <c r="T21" i="70"/>
  <c r="K22" i="70"/>
  <c r="P23" i="70"/>
  <c r="S22" i="70"/>
  <c r="N21" i="70"/>
  <c r="R21" i="70"/>
  <c r="M20" i="70"/>
  <c r="H20" i="70" s="1"/>
  <c r="I20" i="70"/>
  <c r="G20" i="70"/>
  <c r="F20" i="70"/>
  <c r="C22" i="70"/>
  <c r="E21" i="70"/>
  <c r="Q22" i="70"/>
  <c r="L21" i="70"/>
  <c r="S22" i="69"/>
  <c r="N21" i="69"/>
  <c r="M21" i="69"/>
  <c r="R22" i="69"/>
  <c r="T22" i="69"/>
  <c r="O21" i="69"/>
  <c r="J20" i="69"/>
  <c r="F20" i="69"/>
  <c r="I20" i="69"/>
  <c r="H20" i="69"/>
  <c r="G20" i="69"/>
  <c r="E21" i="69"/>
  <c r="C22" i="69"/>
  <c r="P22" i="69"/>
  <c r="K21" i="69"/>
  <c r="L21" i="69"/>
  <c r="Q22" i="69"/>
  <c r="X210" i="63"/>
  <c r="W210" i="63"/>
  <c r="M21" i="63"/>
  <c r="R22" i="63"/>
  <c r="L20" i="63"/>
  <c r="G20" i="63" s="1"/>
  <c r="Q21" i="63"/>
  <c r="P22" i="63"/>
  <c r="K21" i="63"/>
  <c r="J20" i="63"/>
  <c r="F20" i="63"/>
  <c r="I20" i="63"/>
  <c r="H20" i="63"/>
  <c r="E21" i="63"/>
  <c r="C22" i="63"/>
  <c r="O22" i="63"/>
  <c r="T23" i="63"/>
  <c r="N21" i="63"/>
  <c r="S22" i="63"/>
  <c r="X227" i="70" l="1"/>
  <c r="N226" i="70"/>
  <c r="I226" i="70" s="1"/>
  <c r="W227" i="70"/>
  <c r="M226" i="70"/>
  <c r="H226" i="70" s="1"/>
  <c r="V227" i="70"/>
  <c r="L226" i="70"/>
  <c r="G226" i="70" s="1"/>
  <c r="N193" i="71"/>
  <c r="I193" i="71" s="1"/>
  <c r="S194" i="71"/>
  <c r="P195" i="71"/>
  <c r="K194" i="71"/>
  <c r="T195" i="71"/>
  <c r="O194" i="71"/>
  <c r="M22" i="71"/>
  <c r="R23" i="71"/>
  <c r="E194" i="71"/>
  <c r="C195" i="71"/>
  <c r="K22" i="71"/>
  <c r="P23" i="71"/>
  <c r="L193" i="71"/>
  <c r="G193" i="71" s="1"/>
  <c r="Q194" i="71"/>
  <c r="F193" i="71"/>
  <c r="H193" i="71"/>
  <c r="J193" i="71"/>
  <c r="J21" i="71"/>
  <c r="I21" i="71"/>
  <c r="H21" i="71"/>
  <c r="G21" i="71"/>
  <c r="F21" i="71"/>
  <c r="S23" i="71"/>
  <c r="N22" i="71"/>
  <c r="R195" i="71"/>
  <c r="M194" i="71"/>
  <c r="L22" i="71"/>
  <c r="Q23" i="71"/>
  <c r="E22" i="71"/>
  <c r="C23" i="71"/>
  <c r="T23" i="71"/>
  <c r="O22" i="71"/>
  <c r="Q23" i="70"/>
  <c r="L22" i="70"/>
  <c r="R22" i="70"/>
  <c r="M21" i="70"/>
  <c r="H21" i="70" s="1"/>
  <c r="S23" i="70"/>
  <c r="N22" i="70"/>
  <c r="I21" i="70"/>
  <c r="G21" i="70"/>
  <c r="F21" i="70"/>
  <c r="K23" i="70"/>
  <c r="P24" i="70"/>
  <c r="C23" i="70"/>
  <c r="E22" i="70"/>
  <c r="T22" i="70"/>
  <c r="O21" i="70"/>
  <c r="J21" i="70" s="1"/>
  <c r="E22" i="69"/>
  <c r="C23" i="69"/>
  <c r="T23" i="69"/>
  <c r="O22" i="69"/>
  <c r="G21" i="69"/>
  <c r="J21" i="69"/>
  <c r="I21" i="69"/>
  <c r="H21" i="69"/>
  <c r="F21" i="69"/>
  <c r="M22" i="69"/>
  <c r="R23" i="69"/>
  <c r="K22" i="69"/>
  <c r="P23" i="69"/>
  <c r="L22" i="69"/>
  <c r="Q23" i="69"/>
  <c r="N22" i="69"/>
  <c r="S23" i="69"/>
  <c r="X212" i="63"/>
  <c r="W212" i="63"/>
  <c r="T24" i="63"/>
  <c r="O23" i="63"/>
  <c r="P23" i="63"/>
  <c r="K22" i="63"/>
  <c r="F21" i="63"/>
  <c r="J21" i="63"/>
  <c r="I21" i="63"/>
  <c r="H21" i="63"/>
  <c r="L21" i="63"/>
  <c r="G21" i="63" s="1"/>
  <c r="Q22" i="63"/>
  <c r="E22" i="63"/>
  <c r="C23" i="63"/>
  <c r="M22" i="63"/>
  <c r="R23" i="63"/>
  <c r="N22" i="63"/>
  <c r="S23" i="63"/>
  <c r="X228" i="70" l="1"/>
  <c r="N227" i="70"/>
  <c r="I227" i="70" s="1"/>
  <c r="W228" i="70"/>
  <c r="M227" i="70"/>
  <c r="H227" i="70" s="1"/>
  <c r="V228" i="70"/>
  <c r="L227" i="70"/>
  <c r="G227" i="70" s="1"/>
  <c r="E23" i="71"/>
  <c r="C24" i="71"/>
  <c r="M23" i="71"/>
  <c r="R24" i="71"/>
  <c r="J22" i="71"/>
  <c r="I22" i="71"/>
  <c r="H22" i="71"/>
  <c r="F22" i="71"/>
  <c r="G22" i="71"/>
  <c r="L23" i="71"/>
  <c r="Q24" i="71"/>
  <c r="Q195" i="71"/>
  <c r="L194" i="71"/>
  <c r="G194" i="71" s="1"/>
  <c r="T196" i="71"/>
  <c r="O195" i="71"/>
  <c r="K23" i="71"/>
  <c r="P24" i="71"/>
  <c r="R196" i="71"/>
  <c r="M195" i="71"/>
  <c r="P196" i="71"/>
  <c r="K195" i="71"/>
  <c r="C196" i="71"/>
  <c r="E195" i="71"/>
  <c r="S195" i="71"/>
  <c r="N194" i="71"/>
  <c r="I194" i="71" s="1"/>
  <c r="T24" i="71"/>
  <c r="O23" i="71"/>
  <c r="N23" i="71"/>
  <c r="S24" i="71"/>
  <c r="H194" i="71"/>
  <c r="F194" i="71"/>
  <c r="J194" i="71"/>
  <c r="T23" i="70"/>
  <c r="O22" i="70"/>
  <c r="J22" i="70" s="1"/>
  <c r="I22" i="70"/>
  <c r="G22" i="70"/>
  <c r="F22" i="70"/>
  <c r="C24" i="70"/>
  <c r="E23" i="70"/>
  <c r="K24" i="70"/>
  <c r="P25" i="70"/>
  <c r="S24" i="70"/>
  <c r="N23" i="70"/>
  <c r="R23" i="70"/>
  <c r="M22" i="70"/>
  <c r="H22" i="70" s="1"/>
  <c r="L23" i="70"/>
  <c r="Q24" i="70"/>
  <c r="P24" i="69"/>
  <c r="K23" i="69"/>
  <c r="L23" i="69"/>
  <c r="Q24" i="69"/>
  <c r="M23" i="69"/>
  <c r="R24" i="69"/>
  <c r="O23" i="69"/>
  <c r="T24" i="69"/>
  <c r="E23" i="69"/>
  <c r="C24" i="69"/>
  <c r="N23" i="69"/>
  <c r="S24" i="69"/>
  <c r="F22" i="69"/>
  <c r="H22" i="69"/>
  <c r="J22" i="69"/>
  <c r="I22" i="69"/>
  <c r="G22" i="69"/>
  <c r="X214" i="63"/>
  <c r="W214" i="63"/>
  <c r="R24" i="63"/>
  <c r="M23" i="63"/>
  <c r="C24" i="63"/>
  <c r="E23" i="63"/>
  <c r="F22" i="63"/>
  <c r="J22" i="63"/>
  <c r="I22" i="63"/>
  <c r="H22" i="63"/>
  <c r="L22" i="63"/>
  <c r="G22" i="63" s="1"/>
  <c r="Q23" i="63"/>
  <c r="P24" i="63"/>
  <c r="K23" i="63"/>
  <c r="S24" i="63"/>
  <c r="N23" i="63"/>
  <c r="O24" i="63"/>
  <c r="T25" i="63"/>
  <c r="X229" i="70" l="1"/>
  <c r="N228" i="70"/>
  <c r="I228" i="70" s="1"/>
  <c r="W229" i="70"/>
  <c r="M228" i="70"/>
  <c r="H228" i="70" s="1"/>
  <c r="V229" i="70"/>
  <c r="L228" i="70"/>
  <c r="G228" i="70" s="1"/>
  <c r="S196" i="71"/>
  <c r="N195" i="71"/>
  <c r="I195" i="71" s="1"/>
  <c r="H195" i="71"/>
  <c r="F195" i="71"/>
  <c r="J195" i="71"/>
  <c r="C197" i="71"/>
  <c r="E196" i="71"/>
  <c r="T197" i="71"/>
  <c r="O196" i="71"/>
  <c r="N24" i="71"/>
  <c r="S25" i="71"/>
  <c r="K196" i="71"/>
  <c r="P197" i="71"/>
  <c r="Q196" i="71"/>
  <c r="L195" i="71"/>
  <c r="G195" i="71" s="1"/>
  <c r="M24" i="71"/>
  <c r="R25" i="71"/>
  <c r="L24" i="71"/>
  <c r="Q25" i="71"/>
  <c r="O24" i="71"/>
  <c r="T25" i="71"/>
  <c r="M196" i="71"/>
  <c r="R197" i="71"/>
  <c r="E24" i="71"/>
  <c r="C25" i="71"/>
  <c r="P25" i="71"/>
  <c r="K24" i="71"/>
  <c r="F23" i="71"/>
  <c r="J23" i="71"/>
  <c r="I23" i="71"/>
  <c r="H23" i="71"/>
  <c r="G23" i="71"/>
  <c r="E24" i="70"/>
  <c r="C25" i="70"/>
  <c r="M23" i="70"/>
  <c r="H23" i="70" s="1"/>
  <c r="R24" i="70"/>
  <c r="N24" i="70"/>
  <c r="S25" i="70"/>
  <c r="P26" i="70"/>
  <c r="K25" i="70"/>
  <c r="L24" i="70"/>
  <c r="Q25" i="70"/>
  <c r="I23" i="70"/>
  <c r="G23" i="70"/>
  <c r="F23" i="70"/>
  <c r="T24" i="70"/>
  <c r="O23" i="70"/>
  <c r="J23" i="70" s="1"/>
  <c r="O24" i="69"/>
  <c r="T25" i="69"/>
  <c r="M24" i="69"/>
  <c r="R25" i="69"/>
  <c r="N24" i="69"/>
  <c r="S25" i="69"/>
  <c r="Q25" i="69"/>
  <c r="L24" i="69"/>
  <c r="E24" i="69"/>
  <c r="C25" i="69"/>
  <c r="G23" i="69"/>
  <c r="F23" i="69"/>
  <c r="J23" i="69"/>
  <c r="H23" i="69"/>
  <c r="I23" i="69"/>
  <c r="P25" i="69"/>
  <c r="K24" i="69"/>
  <c r="X216" i="63"/>
  <c r="W216" i="63"/>
  <c r="S25" i="63"/>
  <c r="N24" i="63"/>
  <c r="P25" i="63"/>
  <c r="K24" i="63"/>
  <c r="H23" i="63"/>
  <c r="F23" i="63"/>
  <c r="I23" i="63"/>
  <c r="J23" i="63"/>
  <c r="Q24" i="63"/>
  <c r="L23" i="63"/>
  <c r="G23" i="63" s="1"/>
  <c r="C25" i="63"/>
  <c r="E24" i="63"/>
  <c r="T26" i="63"/>
  <c r="O25" i="63"/>
  <c r="R25" i="63"/>
  <c r="M24" i="63"/>
  <c r="X230" i="70" l="1"/>
  <c r="N229" i="70"/>
  <c r="I229" i="70" s="1"/>
  <c r="W230" i="70"/>
  <c r="M229" i="70"/>
  <c r="H229" i="70" s="1"/>
  <c r="V230" i="70"/>
  <c r="L229" i="70"/>
  <c r="G229" i="70" s="1"/>
  <c r="L196" i="71"/>
  <c r="G196" i="71" s="1"/>
  <c r="Q197" i="71"/>
  <c r="E197" i="71"/>
  <c r="C198" i="71"/>
  <c r="O25" i="71"/>
  <c r="T26" i="71"/>
  <c r="Q26" i="71"/>
  <c r="L25" i="71"/>
  <c r="N25" i="71"/>
  <c r="S26" i="71"/>
  <c r="P26" i="71"/>
  <c r="K25" i="71"/>
  <c r="P198" i="71"/>
  <c r="K197" i="71"/>
  <c r="E25" i="71"/>
  <c r="C26" i="71"/>
  <c r="M25" i="71"/>
  <c r="R26" i="71"/>
  <c r="G24" i="71"/>
  <c r="F24" i="71"/>
  <c r="J24" i="71"/>
  <c r="I24" i="71"/>
  <c r="H24" i="71"/>
  <c r="O197" i="71"/>
  <c r="T198" i="71"/>
  <c r="M197" i="71"/>
  <c r="R198" i="71"/>
  <c r="J196" i="71"/>
  <c r="H196" i="71"/>
  <c r="F196" i="71"/>
  <c r="S197" i="71"/>
  <c r="N196" i="71"/>
  <c r="I196" i="71" s="1"/>
  <c r="T25" i="70"/>
  <c r="O24" i="70"/>
  <c r="J24" i="70" s="1"/>
  <c r="M24" i="70"/>
  <c r="R25" i="70"/>
  <c r="N25" i="70"/>
  <c r="S26" i="70"/>
  <c r="L25" i="70"/>
  <c r="Q26" i="70"/>
  <c r="E25" i="70"/>
  <c r="C26" i="70"/>
  <c r="P27" i="70"/>
  <c r="K26" i="70"/>
  <c r="F24" i="70"/>
  <c r="I24" i="70"/>
  <c r="H24" i="70"/>
  <c r="G24" i="70"/>
  <c r="Q26" i="69"/>
  <c r="L25" i="69"/>
  <c r="N25" i="69"/>
  <c r="S26" i="69"/>
  <c r="R26" i="69"/>
  <c r="M25" i="69"/>
  <c r="P26" i="69"/>
  <c r="K25" i="69"/>
  <c r="E25" i="69"/>
  <c r="C26" i="69"/>
  <c r="T26" i="69"/>
  <c r="O25" i="69"/>
  <c r="H24" i="69"/>
  <c r="J24" i="69"/>
  <c r="G24" i="69"/>
  <c r="F24" i="69"/>
  <c r="I24" i="69"/>
  <c r="X218" i="63"/>
  <c r="W218" i="63"/>
  <c r="R26" i="63"/>
  <c r="M25" i="63"/>
  <c r="T27" i="63"/>
  <c r="O26" i="63"/>
  <c r="J24" i="63"/>
  <c r="I24" i="63"/>
  <c r="F24" i="63"/>
  <c r="H24" i="63"/>
  <c r="C26" i="63"/>
  <c r="E25" i="63"/>
  <c r="K25" i="63"/>
  <c r="P26" i="63"/>
  <c r="Q25" i="63"/>
  <c r="L24" i="63"/>
  <c r="G24" i="63" s="1"/>
  <c r="S26" i="63"/>
  <c r="N25" i="63"/>
  <c r="X231" i="70" l="1"/>
  <c r="N230" i="70"/>
  <c r="I230" i="70" s="1"/>
  <c r="W231" i="70"/>
  <c r="M230" i="70"/>
  <c r="H230" i="70" s="1"/>
  <c r="V231" i="70"/>
  <c r="L230" i="70"/>
  <c r="G230" i="70" s="1"/>
  <c r="Q27" i="71"/>
  <c r="L26" i="71"/>
  <c r="E26" i="71"/>
  <c r="C27" i="71"/>
  <c r="H25" i="71"/>
  <c r="G25" i="71"/>
  <c r="F25" i="71"/>
  <c r="I25" i="71"/>
  <c r="J25" i="71"/>
  <c r="O26" i="71"/>
  <c r="T27" i="71"/>
  <c r="P199" i="71"/>
  <c r="K198" i="71"/>
  <c r="E198" i="71"/>
  <c r="C199" i="71"/>
  <c r="M198" i="71"/>
  <c r="R199" i="71"/>
  <c r="P27" i="71"/>
  <c r="K26" i="71"/>
  <c r="J197" i="71"/>
  <c r="H197" i="71"/>
  <c r="F197" i="71"/>
  <c r="R27" i="71"/>
  <c r="M26" i="71"/>
  <c r="S27" i="71"/>
  <c r="N26" i="71"/>
  <c r="L197" i="71"/>
  <c r="G197" i="71" s="1"/>
  <c r="Q198" i="71"/>
  <c r="N197" i="71"/>
  <c r="I197" i="71" s="1"/>
  <c r="S198" i="71"/>
  <c r="O198" i="71"/>
  <c r="T199" i="71"/>
  <c r="L26" i="70"/>
  <c r="Q27" i="70"/>
  <c r="N26" i="70"/>
  <c r="S27" i="70"/>
  <c r="M25" i="70"/>
  <c r="H25" i="70" s="1"/>
  <c r="R26" i="70"/>
  <c r="P28" i="70"/>
  <c r="K27" i="70"/>
  <c r="E26" i="70"/>
  <c r="C27" i="70"/>
  <c r="F25" i="70"/>
  <c r="I25" i="70"/>
  <c r="G25" i="70"/>
  <c r="T26" i="70"/>
  <c r="O25" i="70"/>
  <c r="J25" i="70" s="1"/>
  <c r="P27" i="69"/>
  <c r="K26" i="69"/>
  <c r="R27" i="69"/>
  <c r="M26" i="69"/>
  <c r="S27" i="69"/>
  <c r="N26" i="69"/>
  <c r="O26" i="69"/>
  <c r="T27" i="69"/>
  <c r="C27" i="69"/>
  <c r="E26" i="69"/>
  <c r="I25" i="69"/>
  <c r="H25" i="69"/>
  <c r="G25" i="69"/>
  <c r="F25" i="69"/>
  <c r="J25" i="69"/>
  <c r="Q27" i="69"/>
  <c r="L26" i="69"/>
  <c r="X220" i="63"/>
  <c r="W220" i="63"/>
  <c r="S27" i="63"/>
  <c r="N26" i="63"/>
  <c r="K26" i="63"/>
  <c r="P27" i="63"/>
  <c r="T28" i="63"/>
  <c r="O27" i="63"/>
  <c r="J25" i="63"/>
  <c r="H25" i="63"/>
  <c r="F25" i="63"/>
  <c r="I25" i="63"/>
  <c r="C27" i="63"/>
  <c r="E26" i="63"/>
  <c r="Q26" i="63"/>
  <c r="L25" i="63"/>
  <c r="G25" i="63" s="1"/>
  <c r="R27" i="63"/>
  <c r="M26" i="63"/>
  <c r="X232" i="70" l="1"/>
  <c r="N231" i="70"/>
  <c r="I231" i="70" s="1"/>
  <c r="W232" i="70"/>
  <c r="M231" i="70"/>
  <c r="H231" i="70" s="1"/>
  <c r="V232" i="70"/>
  <c r="L231" i="70"/>
  <c r="G231" i="70" s="1"/>
  <c r="N198" i="71"/>
  <c r="I198" i="71" s="1"/>
  <c r="S199" i="71"/>
  <c r="E199" i="71"/>
  <c r="C200" i="71"/>
  <c r="Q199" i="71"/>
  <c r="L198" i="71"/>
  <c r="G198" i="71" s="1"/>
  <c r="H198" i="71"/>
  <c r="F198" i="71"/>
  <c r="J198" i="71"/>
  <c r="P200" i="71"/>
  <c r="K199" i="71"/>
  <c r="C28" i="71"/>
  <c r="E27" i="71"/>
  <c r="S28" i="71"/>
  <c r="N27" i="71"/>
  <c r="O27" i="71"/>
  <c r="T28" i="71"/>
  <c r="I26" i="71"/>
  <c r="H26" i="71"/>
  <c r="J26" i="71"/>
  <c r="G26" i="71"/>
  <c r="F26" i="71"/>
  <c r="O199" i="71"/>
  <c r="T200" i="71"/>
  <c r="P28" i="71"/>
  <c r="K27" i="71"/>
  <c r="R28" i="71"/>
  <c r="M27" i="71"/>
  <c r="R200" i="71"/>
  <c r="M199" i="71"/>
  <c r="Q28" i="71"/>
  <c r="L27" i="71"/>
  <c r="O26" i="70"/>
  <c r="T27" i="70"/>
  <c r="P29" i="70"/>
  <c r="K28" i="70"/>
  <c r="M26" i="70"/>
  <c r="H26" i="70" s="1"/>
  <c r="R27" i="70"/>
  <c r="N27" i="70"/>
  <c r="S28" i="70"/>
  <c r="Q28" i="70"/>
  <c r="L27" i="70"/>
  <c r="E27" i="70"/>
  <c r="C28" i="70"/>
  <c r="G26" i="70"/>
  <c r="F26" i="70"/>
  <c r="J26" i="70"/>
  <c r="I26" i="70"/>
  <c r="T28" i="69"/>
  <c r="O27" i="69"/>
  <c r="Q28" i="69"/>
  <c r="L27" i="69"/>
  <c r="S28" i="69"/>
  <c r="N27" i="69"/>
  <c r="M27" i="69"/>
  <c r="R28" i="69"/>
  <c r="J26" i="69"/>
  <c r="I26" i="69"/>
  <c r="H26" i="69"/>
  <c r="G26" i="69"/>
  <c r="F26" i="69"/>
  <c r="C28" i="69"/>
  <c r="E27" i="69"/>
  <c r="K27" i="69"/>
  <c r="P28" i="69"/>
  <c r="X222" i="63"/>
  <c r="W222" i="63"/>
  <c r="M27" i="63"/>
  <c r="R28" i="63"/>
  <c r="L26" i="63"/>
  <c r="G26" i="63" s="1"/>
  <c r="Q27" i="63"/>
  <c r="T29" i="63"/>
  <c r="O28" i="63"/>
  <c r="I26" i="63"/>
  <c r="H26" i="63"/>
  <c r="J26" i="63"/>
  <c r="F26" i="63"/>
  <c r="K27" i="63"/>
  <c r="P28" i="63"/>
  <c r="E27" i="63"/>
  <c r="C28" i="63"/>
  <c r="S28" i="63"/>
  <c r="N27" i="63"/>
  <c r="X233" i="70" l="1"/>
  <c r="N232" i="70"/>
  <c r="I232" i="70" s="1"/>
  <c r="W233" i="70"/>
  <c r="M232" i="70"/>
  <c r="H232" i="70" s="1"/>
  <c r="V233" i="70"/>
  <c r="L232" i="70"/>
  <c r="G232" i="70" s="1"/>
  <c r="S29" i="71"/>
  <c r="N28" i="71"/>
  <c r="R201" i="71"/>
  <c r="M200" i="71"/>
  <c r="J27" i="71"/>
  <c r="I27" i="71"/>
  <c r="H27" i="71"/>
  <c r="G27" i="71"/>
  <c r="F27" i="71"/>
  <c r="C29" i="71"/>
  <c r="E28" i="71"/>
  <c r="L199" i="71"/>
  <c r="G199" i="71" s="1"/>
  <c r="Q200" i="71"/>
  <c r="P201" i="71"/>
  <c r="K200" i="71"/>
  <c r="C201" i="71"/>
  <c r="E200" i="71"/>
  <c r="R29" i="71"/>
  <c r="M28" i="71"/>
  <c r="K28" i="71"/>
  <c r="P29" i="71"/>
  <c r="T29" i="71"/>
  <c r="O28" i="71"/>
  <c r="I199" i="71"/>
  <c r="F199" i="71"/>
  <c r="J199" i="71"/>
  <c r="H199" i="71"/>
  <c r="O200" i="71"/>
  <c r="T201" i="71"/>
  <c r="N199" i="71"/>
  <c r="S200" i="71"/>
  <c r="Q29" i="71"/>
  <c r="L28" i="71"/>
  <c r="S29" i="70"/>
  <c r="N28" i="70"/>
  <c r="M27" i="70"/>
  <c r="H27" i="70" s="1"/>
  <c r="R28" i="70"/>
  <c r="P30" i="70"/>
  <c r="K29" i="70"/>
  <c r="E28" i="70"/>
  <c r="C29" i="70"/>
  <c r="O27" i="70"/>
  <c r="T28" i="70"/>
  <c r="G27" i="70"/>
  <c r="F27" i="70"/>
  <c r="I27" i="70"/>
  <c r="J27" i="70"/>
  <c r="Q29" i="70"/>
  <c r="L28" i="70"/>
  <c r="R29" i="69"/>
  <c r="M28" i="69"/>
  <c r="J27" i="69"/>
  <c r="I27" i="69"/>
  <c r="H27" i="69"/>
  <c r="G27" i="69"/>
  <c r="F27" i="69"/>
  <c r="C29" i="69"/>
  <c r="E28" i="69"/>
  <c r="N28" i="69"/>
  <c r="S29" i="69"/>
  <c r="L28" i="69"/>
  <c r="Q29" i="69"/>
  <c r="K28" i="69"/>
  <c r="P29" i="69"/>
  <c r="T29" i="69"/>
  <c r="O28" i="69"/>
  <c r="X224" i="63"/>
  <c r="X226" i="63" s="1"/>
  <c r="X228" i="63" s="1"/>
  <c r="X230" i="63" s="1"/>
  <c r="X232" i="63" s="1"/>
  <c r="X234" i="63" s="1"/>
  <c r="X236" i="63" s="1"/>
  <c r="X238" i="63" s="1"/>
  <c r="X240" i="63" s="1"/>
  <c r="W224" i="63"/>
  <c r="W226" i="63" s="1"/>
  <c r="W228" i="63" s="1"/>
  <c r="W230" i="63" s="1"/>
  <c r="W232" i="63" s="1"/>
  <c r="W234" i="63" s="1"/>
  <c r="W236" i="63" s="1"/>
  <c r="W238" i="63" s="1"/>
  <c r="W240" i="63" s="1"/>
  <c r="W242" i="63" s="1"/>
  <c r="N28" i="63"/>
  <c r="S29" i="63"/>
  <c r="E28" i="63"/>
  <c r="C29" i="63"/>
  <c r="J27" i="63"/>
  <c r="I27" i="63"/>
  <c r="H27" i="63"/>
  <c r="F27" i="63"/>
  <c r="O29" i="63"/>
  <c r="T30" i="63"/>
  <c r="L27" i="63"/>
  <c r="G27" i="63" s="1"/>
  <c r="Q28" i="63"/>
  <c r="K28" i="63"/>
  <c r="P29" i="63"/>
  <c r="M28" i="63"/>
  <c r="R29" i="63"/>
  <c r="X234" i="70" l="1"/>
  <c r="N234" i="70" s="1"/>
  <c r="I234" i="70" s="1"/>
  <c r="N233" i="70"/>
  <c r="I233" i="70" s="1"/>
  <c r="W234" i="70"/>
  <c r="M234" i="70" s="1"/>
  <c r="H234" i="70" s="1"/>
  <c r="M233" i="70"/>
  <c r="H233" i="70" s="1"/>
  <c r="L233" i="70"/>
  <c r="G233" i="70" s="1"/>
  <c r="V234" i="70"/>
  <c r="L234" i="70" s="1"/>
  <c r="G234" i="70" s="1"/>
  <c r="X242" i="63"/>
  <c r="E201" i="71"/>
  <c r="C202" i="71"/>
  <c r="S201" i="71"/>
  <c r="N200" i="71"/>
  <c r="I200" i="71" s="1"/>
  <c r="T202" i="71"/>
  <c r="O201" i="71"/>
  <c r="T30" i="71"/>
  <c r="O29" i="71"/>
  <c r="K201" i="71"/>
  <c r="P202" i="71"/>
  <c r="K29" i="71"/>
  <c r="P30" i="71"/>
  <c r="Q201" i="71"/>
  <c r="L200" i="71"/>
  <c r="G200" i="71" s="1"/>
  <c r="J28" i="71"/>
  <c r="I28" i="71"/>
  <c r="H28" i="71"/>
  <c r="G28" i="71"/>
  <c r="F28" i="71"/>
  <c r="R202" i="71"/>
  <c r="M201" i="71"/>
  <c r="M29" i="71"/>
  <c r="R30" i="71"/>
  <c r="C30" i="71"/>
  <c r="E29" i="71"/>
  <c r="L29" i="71"/>
  <c r="Q30" i="71"/>
  <c r="J200" i="71"/>
  <c r="H200" i="71"/>
  <c r="F200" i="71"/>
  <c r="S30" i="71"/>
  <c r="N29" i="71"/>
  <c r="Q30" i="70"/>
  <c r="L29" i="70"/>
  <c r="C30" i="70"/>
  <c r="E29" i="70"/>
  <c r="K30" i="70"/>
  <c r="P31" i="70"/>
  <c r="R29" i="70"/>
  <c r="M28" i="70"/>
  <c r="H28" i="70" s="1"/>
  <c r="I28" i="70"/>
  <c r="G28" i="70"/>
  <c r="F28" i="70"/>
  <c r="O28" i="70"/>
  <c r="J28" i="70" s="1"/>
  <c r="T29" i="70"/>
  <c r="S30" i="70"/>
  <c r="N29" i="70"/>
  <c r="E29" i="69"/>
  <c r="C30" i="69"/>
  <c r="K29" i="69"/>
  <c r="P30" i="69"/>
  <c r="T30" i="69"/>
  <c r="O29" i="69"/>
  <c r="S30" i="69"/>
  <c r="N29" i="69"/>
  <c r="L29" i="69"/>
  <c r="Q30" i="69"/>
  <c r="J28" i="69"/>
  <c r="I28" i="69"/>
  <c r="H28" i="69"/>
  <c r="G28" i="69"/>
  <c r="F28" i="69"/>
  <c r="M29" i="69"/>
  <c r="R30" i="69"/>
  <c r="P30" i="63"/>
  <c r="K29" i="63"/>
  <c r="L28" i="63"/>
  <c r="G28" i="63" s="1"/>
  <c r="Q29" i="63"/>
  <c r="E29" i="63"/>
  <c r="C30" i="63"/>
  <c r="O30" i="63"/>
  <c r="T31" i="63"/>
  <c r="F28" i="63"/>
  <c r="J28" i="63"/>
  <c r="I28" i="63"/>
  <c r="H28" i="63"/>
  <c r="N29" i="63"/>
  <c r="S30" i="63"/>
  <c r="M29" i="63"/>
  <c r="R30" i="63"/>
  <c r="T31" i="71" l="1"/>
  <c r="O30" i="71"/>
  <c r="E30" i="71"/>
  <c r="C31" i="71"/>
  <c r="T203" i="71"/>
  <c r="O202" i="71"/>
  <c r="R203" i="71"/>
  <c r="M202" i="71"/>
  <c r="K30" i="71"/>
  <c r="P31" i="71"/>
  <c r="Q202" i="71"/>
  <c r="L201" i="71"/>
  <c r="G201" i="71" s="1"/>
  <c r="L30" i="71"/>
  <c r="Q31" i="71"/>
  <c r="N201" i="71"/>
  <c r="I201" i="71" s="1"/>
  <c r="S202" i="71"/>
  <c r="M30" i="71"/>
  <c r="R31" i="71"/>
  <c r="K202" i="71"/>
  <c r="P203" i="71"/>
  <c r="C203" i="71"/>
  <c r="E202" i="71"/>
  <c r="S31" i="71"/>
  <c r="N30" i="71"/>
  <c r="J29" i="71"/>
  <c r="I29" i="71"/>
  <c r="H29" i="71"/>
  <c r="G29" i="71"/>
  <c r="F29" i="71"/>
  <c r="H201" i="71"/>
  <c r="J201" i="71"/>
  <c r="F201" i="71"/>
  <c r="O29" i="70"/>
  <c r="T30" i="70"/>
  <c r="S31" i="70"/>
  <c r="N30" i="70"/>
  <c r="K31" i="70"/>
  <c r="P32" i="70"/>
  <c r="J29" i="70"/>
  <c r="I29" i="70"/>
  <c r="G29" i="70"/>
  <c r="F29" i="70"/>
  <c r="C31" i="70"/>
  <c r="E30" i="70"/>
  <c r="R30" i="70"/>
  <c r="M29" i="70"/>
  <c r="H29" i="70" s="1"/>
  <c r="Q31" i="70"/>
  <c r="L30" i="70"/>
  <c r="N30" i="69"/>
  <c r="S31" i="69"/>
  <c r="T31" i="69"/>
  <c r="O30" i="69"/>
  <c r="K30" i="69"/>
  <c r="P31" i="69"/>
  <c r="L30" i="69"/>
  <c r="Q31" i="69"/>
  <c r="E30" i="69"/>
  <c r="C31" i="69"/>
  <c r="M30" i="69"/>
  <c r="R31" i="69"/>
  <c r="G29" i="69"/>
  <c r="J29" i="69"/>
  <c r="I29" i="69"/>
  <c r="H29" i="69"/>
  <c r="F29" i="69"/>
  <c r="N30" i="63"/>
  <c r="S31" i="63"/>
  <c r="E30" i="63"/>
  <c r="C31" i="63"/>
  <c r="F29" i="63"/>
  <c r="J29" i="63"/>
  <c r="I29" i="63"/>
  <c r="H29" i="63"/>
  <c r="L29" i="63"/>
  <c r="G29" i="63" s="1"/>
  <c r="Q30" i="63"/>
  <c r="O31" i="63"/>
  <c r="T32" i="63"/>
  <c r="M30" i="63"/>
  <c r="R31" i="63"/>
  <c r="P31" i="63"/>
  <c r="K30" i="63"/>
  <c r="S203" i="71" l="1"/>
  <c r="N202" i="71"/>
  <c r="T204" i="71"/>
  <c r="O203" i="71"/>
  <c r="M203" i="71"/>
  <c r="R204" i="71"/>
  <c r="J202" i="71"/>
  <c r="I202" i="71"/>
  <c r="H202" i="71"/>
  <c r="F202" i="71"/>
  <c r="E203" i="71"/>
  <c r="C204" i="71"/>
  <c r="K203" i="71"/>
  <c r="P204" i="71"/>
  <c r="E31" i="71"/>
  <c r="C32" i="71"/>
  <c r="L31" i="71"/>
  <c r="Q32" i="71"/>
  <c r="L202" i="71"/>
  <c r="G202" i="71" s="1"/>
  <c r="Q203" i="71"/>
  <c r="J30" i="71"/>
  <c r="I30" i="71"/>
  <c r="F30" i="71"/>
  <c r="H30" i="71"/>
  <c r="G30" i="71"/>
  <c r="N31" i="71"/>
  <c r="S32" i="71"/>
  <c r="M31" i="71"/>
  <c r="R32" i="71"/>
  <c r="P32" i="71"/>
  <c r="K31" i="71"/>
  <c r="O31" i="71"/>
  <c r="T32" i="71"/>
  <c r="L31" i="70"/>
  <c r="Q32" i="70"/>
  <c r="K32" i="70"/>
  <c r="P33" i="70"/>
  <c r="J30" i="70"/>
  <c r="I30" i="70"/>
  <c r="G30" i="70"/>
  <c r="F30" i="70"/>
  <c r="C32" i="70"/>
  <c r="E31" i="70"/>
  <c r="R31" i="70"/>
  <c r="M30" i="70"/>
  <c r="H30" i="70" s="1"/>
  <c r="S32" i="70"/>
  <c r="N31" i="70"/>
  <c r="T31" i="70"/>
  <c r="O30" i="70"/>
  <c r="L31" i="69"/>
  <c r="Q32" i="69"/>
  <c r="P32" i="69"/>
  <c r="K31" i="69"/>
  <c r="O31" i="69"/>
  <c r="T32" i="69"/>
  <c r="M31" i="69"/>
  <c r="R32" i="69"/>
  <c r="E31" i="69"/>
  <c r="C32" i="69"/>
  <c r="N31" i="69"/>
  <c r="S32" i="69"/>
  <c r="F30" i="69"/>
  <c r="H30" i="69"/>
  <c r="J30" i="69"/>
  <c r="I30" i="69"/>
  <c r="G30" i="69"/>
  <c r="P32" i="63"/>
  <c r="K31" i="63"/>
  <c r="R32" i="63"/>
  <c r="M31" i="63"/>
  <c r="O32" i="63"/>
  <c r="T33" i="63"/>
  <c r="E31" i="63"/>
  <c r="C32" i="63"/>
  <c r="Q31" i="63"/>
  <c r="L30" i="63"/>
  <c r="G30" i="63" s="1"/>
  <c r="H30" i="63"/>
  <c r="F30" i="63"/>
  <c r="J30" i="63"/>
  <c r="I30" i="63"/>
  <c r="N31" i="63"/>
  <c r="S32" i="63"/>
  <c r="F31" i="71" l="1"/>
  <c r="J31" i="71"/>
  <c r="I31" i="71"/>
  <c r="G31" i="71"/>
  <c r="H31" i="71"/>
  <c r="P33" i="71"/>
  <c r="K32" i="71"/>
  <c r="K204" i="71"/>
  <c r="P205" i="71"/>
  <c r="M32" i="71"/>
  <c r="R33" i="71"/>
  <c r="M204" i="71"/>
  <c r="R205" i="71"/>
  <c r="L203" i="71"/>
  <c r="G203" i="71" s="1"/>
  <c r="Q204" i="71"/>
  <c r="C205" i="71"/>
  <c r="E204" i="71"/>
  <c r="N32" i="71"/>
  <c r="S33" i="71"/>
  <c r="J203" i="71"/>
  <c r="H203" i="71"/>
  <c r="F203" i="71"/>
  <c r="L32" i="71"/>
  <c r="Q33" i="71"/>
  <c r="T205" i="71"/>
  <c r="O204" i="71"/>
  <c r="O32" i="71"/>
  <c r="T33" i="71"/>
  <c r="E32" i="71"/>
  <c r="C33" i="71"/>
  <c r="S204" i="71"/>
  <c r="N203" i="71"/>
  <c r="I203" i="71" s="1"/>
  <c r="T32" i="70"/>
  <c r="O31" i="70"/>
  <c r="J31" i="70" s="1"/>
  <c r="S33" i="70"/>
  <c r="N32" i="70"/>
  <c r="R32" i="70"/>
  <c r="M31" i="70"/>
  <c r="H31" i="70" s="1"/>
  <c r="P34" i="70"/>
  <c r="K33" i="70"/>
  <c r="I31" i="70"/>
  <c r="G31" i="70"/>
  <c r="F31" i="70"/>
  <c r="E32" i="70"/>
  <c r="C33" i="70"/>
  <c r="L32" i="70"/>
  <c r="Q33" i="70"/>
  <c r="M32" i="69"/>
  <c r="R33" i="69"/>
  <c r="O32" i="69"/>
  <c r="T33" i="69"/>
  <c r="N32" i="69"/>
  <c r="S33" i="69"/>
  <c r="P33" i="69"/>
  <c r="K32" i="69"/>
  <c r="E32" i="69"/>
  <c r="C33" i="69"/>
  <c r="Q33" i="69"/>
  <c r="L32" i="69"/>
  <c r="G31" i="69"/>
  <c r="F31" i="69"/>
  <c r="J31" i="69"/>
  <c r="H31" i="69"/>
  <c r="I31" i="69"/>
  <c r="C33" i="63"/>
  <c r="E32" i="63"/>
  <c r="I31" i="63"/>
  <c r="H31" i="63"/>
  <c r="F31" i="63"/>
  <c r="J31" i="63"/>
  <c r="T34" i="63"/>
  <c r="O33" i="63"/>
  <c r="R33" i="63"/>
  <c r="M32" i="63"/>
  <c r="S33" i="63"/>
  <c r="N32" i="63"/>
  <c r="Q32" i="63"/>
  <c r="L31" i="63"/>
  <c r="G31" i="63" s="1"/>
  <c r="P33" i="63"/>
  <c r="K32" i="63"/>
  <c r="E33" i="71" l="1"/>
  <c r="C34" i="71"/>
  <c r="E205" i="71"/>
  <c r="C206" i="71"/>
  <c r="G32" i="71"/>
  <c r="F32" i="71"/>
  <c r="H32" i="71"/>
  <c r="J32" i="71"/>
  <c r="I32" i="71"/>
  <c r="L204" i="71"/>
  <c r="Q205" i="71"/>
  <c r="O33" i="71"/>
  <c r="T34" i="71"/>
  <c r="P34" i="71"/>
  <c r="K33" i="71"/>
  <c r="M205" i="71"/>
  <c r="R206" i="71"/>
  <c r="O205" i="71"/>
  <c r="T206" i="71"/>
  <c r="N33" i="71"/>
  <c r="S34" i="71"/>
  <c r="M33" i="71"/>
  <c r="R34" i="71"/>
  <c r="Q34" i="71"/>
  <c r="L33" i="71"/>
  <c r="N204" i="71"/>
  <c r="S205" i="71"/>
  <c r="F204" i="71"/>
  <c r="J204" i="71"/>
  <c r="H204" i="71"/>
  <c r="I204" i="71"/>
  <c r="G204" i="71"/>
  <c r="P206" i="71"/>
  <c r="K205" i="71"/>
  <c r="E33" i="70"/>
  <c r="C34" i="70"/>
  <c r="P35" i="70"/>
  <c r="K34" i="70"/>
  <c r="I32" i="70"/>
  <c r="H32" i="70"/>
  <c r="G32" i="70"/>
  <c r="F32" i="70"/>
  <c r="M32" i="70"/>
  <c r="R33" i="70"/>
  <c r="N33" i="70"/>
  <c r="S34" i="70"/>
  <c r="L33" i="70"/>
  <c r="Q34" i="70"/>
  <c r="T33" i="70"/>
  <c r="O32" i="70"/>
  <c r="J32" i="70" s="1"/>
  <c r="P34" i="69"/>
  <c r="K33" i="69"/>
  <c r="N33" i="69"/>
  <c r="S34" i="69"/>
  <c r="T34" i="69"/>
  <c r="O33" i="69"/>
  <c r="Q34" i="69"/>
  <c r="L33" i="69"/>
  <c r="E33" i="69"/>
  <c r="C34" i="69"/>
  <c r="R34" i="69"/>
  <c r="M33" i="69"/>
  <c r="H32" i="69"/>
  <c r="G32" i="69"/>
  <c r="F32" i="69"/>
  <c r="J32" i="69"/>
  <c r="I32" i="69"/>
  <c r="K33" i="63"/>
  <c r="P34" i="63"/>
  <c r="T35" i="63"/>
  <c r="O34" i="63"/>
  <c r="Q33" i="63"/>
  <c r="L32" i="63"/>
  <c r="G32" i="63" s="1"/>
  <c r="S34" i="63"/>
  <c r="N33" i="63"/>
  <c r="R34" i="63"/>
  <c r="M33" i="63"/>
  <c r="J32" i="63"/>
  <c r="I32" i="63"/>
  <c r="H32" i="63"/>
  <c r="F32" i="63"/>
  <c r="C34" i="63"/>
  <c r="E33" i="63"/>
  <c r="Q35" i="71" l="1"/>
  <c r="L34" i="71"/>
  <c r="P35" i="71"/>
  <c r="K34" i="71"/>
  <c r="N34" i="71"/>
  <c r="S35" i="71"/>
  <c r="O34" i="71"/>
  <c r="T35" i="71"/>
  <c r="E206" i="71"/>
  <c r="C207" i="71"/>
  <c r="N205" i="71"/>
  <c r="I205" i="71" s="1"/>
  <c r="S206" i="71"/>
  <c r="O206" i="71"/>
  <c r="T207" i="71"/>
  <c r="L205" i="71"/>
  <c r="G205" i="71" s="1"/>
  <c r="Q206" i="71"/>
  <c r="J205" i="71"/>
  <c r="H205" i="71"/>
  <c r="F205" i="71"/>
  <c r="R35" i="71"/>
  <c r="M34" i="71"/>
  <c r="E34" i="71"/>
  <c r="C35" i="71"/>
  <c r="K206" i="71"/>
  <c r="P207" i="71"/>
  <c r="M206" i="71"/>
  <c r="R207" i="71"/>
  <c r="H33" i="71"/>
  <c r="G33" i="71"/>
  <c r="F33" i="71"/>
  <c r="I33" i="71"/>
  <c r="J33" i="71"/>
  <c r="T34" i="70"/>
  <c r="O33" i="70"/>
  <c r="Q35" i="70"/>
  <c r="L34" i="70"/>
  <c r="N34" i="70"/>
  <c r="S35" i="70"/>
  <c r="M33" i="70"/>
  <c r="H33" i="70" s="1"/>
  <c r="R34" i="70"/>
  <c r="P36" i="70"/>
  <c r="K35" i="70"/>
  <c r="E34" i="70"/>
  <c r="C35" i="70"/>
  <c r="F33" i="70"/>
  <c r="G33" i="70"/>
  <c r="J33" i="70"/>
  <c r="I33" i="70"/>
  <c r="Q35" i="69"/>
  <c r="L34" i="69"/>
  <c r="O34" i="69"/>
  <c r="T35" i="69"/>
  <c r="S35" i="69"/>
  <c r="N34" i="69"/>
  <c r="R35" i="69"/>
  <c r="M34" i="69"/>
  <c r="C35" i="69"/>
  <c r="E34" i="69"/>
  <c r="I33" i="69"/>
  <c r="H33" i="69"/>
  <c r="G33" i="69"/>
  <c r="F33" i="69"/>
  <c r="J33" i="69"/>
  <c r="P35" i="69"/>
  <c r="K34" i="69"/>
  <c r="C35" i="63"/>
  <c r="E34" i="63"/>
  <c r="S35" i="63"/>
  <c r="N34" i="63"/>
  <c r="Q34" i="63"/>
  <c r="L33" i="63"/>
  <c r="G33" i="63" s="1"/>
  <c r="T36" i="63"/>
  <c r="O35" i="63"/>
  <c r="K34" i="63"/>
  <c r="P35" i="63"/>
  <c r="J33" i="63"/>
  <c r="I33" i="63"/>
  <c r="H33" i="63"/>
  <c r="F33" i="63"/>
  <c r="R35" i="63"/>
  <c r="M34" i="63"/>
  <c r="I34" i="71" l="1"/>
  <c r="H34" i="71"/>
  <c r="G34" i="71"/>
  <c r="F34" i="71"/>
  <c r="J34" i="71"/>
  <c r="Q207" i="71"/>
  <c r="L206" i="71"/>
  <c r="G206" i="71" s="1"/>
  <c r="O35" i="71"/>
  <c r="T36" i="71"/>
  <c r="R36" i="71"/>
  <c r="M35" i="71"/>
  <c r="O207" i="71"/>
  <c r="T208" i="71"/>
  <c r="S36" i="71"/>
  <c r="N35" i="71"/>
  <c r="N206" i="71"/>
  <c r="I206" i="71" s="1"/>
  <c r="S207" i="71"/>
  <c r="R208" i="71"/>
  <c r="M207" i="71"/>
  <c r="P208" i="71"/>
  <c r="K207" i="71"/>
  <c r="P36" i="71"/>
  <c r="K35" i="71"/>
  <c r="E207" i="71"/>
  <c r="C208" i="71"/>
  <c r="C36" i="71"/>
  <c r="E35" i="71"/>
  <c r="H206" i="71"/>
  <c r="F206" i="71"/>
  <c r="J206" i="71"/>
  <c r="Q36" i="71"/>
  <c r="L35" i="71"/>
  <c r="M34" i="70"/>
  <c r="H34" i="70" s="1"/>
  <c r="R35" i="70"/>
  <c r="N35" i="70"/>
  <c r="S36" i="70"/>
  <c r="E35" i="70"/>
  <c r="C36" i="70"/>
  <c r="G34" i="70"/>
  <c r="F34" i="70"/>
  <c r="I34" i="70"/>
  <c r="Q36" i="70"/>
  <c r="L35" i="70"/>
  <c r="P37" i="70"/>
  <c r="K36" i="70"/>
  <c r="O34" i="70"/>
  <c r="J34" i="70" s="1"/>
  <c r="T35" i="70"/>
  <c r="K35" i="69"/>
  <c r="P36" i="69"/>
  <c r="M35" i="69"/>
  <c r="R36" i="69"/>
  <c r="S36" i="69"/>
  <c r="N35" i="69"/>
  <c r="T36" i="69"/>
  <c r="O35" i="69"/>
  <c r="J34" i="69"/>
  <c r="I34" i="69"/>
  <c r="H34" i="69"/>
  <c r="G34" i="69"/>
  <c r="F34" i="69"/>
  <c r="C36" i="69"/>
  <c r="E35" i="69"/>
  <c r="Q36" i="69"/>
  <c r="L35" i="69"/>
  <c r="M35" i="63"/>
  <c r="R36" i="63"/>
  <c r="T37" i="63"/>
  <c r="O36" i="63"/>
  <c r="L34" i="63"/>
  <c r="G34" i="63" s="1"/>
  <c r="Q35" i="63"/>
  <c r="S36" i="63"/>
  <c r="N35" i="63"/>
  <c r="J34" i="63"/>
  <c r="I34" i="63"/>
  <c r="H34" i="63"/>
  <c r="F34" i="63"/>
  <c r="K35" i="63"/>
  <c r="P36" i="63"/>
  <c r="E35" i="63"/>
  <c r="C36" i="63"/>
  <c r="F207" i="71" l="1"/>
  <c r="J207" i="71"/>
  <c r="H207" i="71"/>
  <c r="K36" i="71"/>
  <c r="P37" i="71"/>
  <c r="S37" i="71"/>
  <c r="N36" i="71"/>
  <c r="Q208" i="71"/>
  <c r="L207" i="71"/>
  <c r="G207" i="71" s="1"/>
  <c r="O208" i="71"/>
  <c r="T209" i="71"/>
  <c r="P209" i="71"/>
  <c r="K208" i="71"/>
  <c r="J35" i="71"/>
  <c r="I35" i="71"/>
  <c r="H35" i="71"/>
  <c r="G35" i="71"/>
  <c r="F35" i="71"/>
  <c r="C37" i="71"/>
  <c r="E36" i="71"/>
  <c r="M208" i="71"/>
  <c r="R209" i="71"/>
  <c r="R37" i="71"/>
  <c r="M36" i="71"/>
  <c r="Q37" i="71"/>
  <c r="L36" i="71"/>
  <c r="C209" i="71"/>
  <c r="E208" i="71"/>
  <c r="N207" i="71"/>
  <c r="I207" i="71" s="1"/>
  <c r="S208" i="71"/>
  <c r="T37" i="71"/>
  <c r="O36" i="71"/>
  <c r="P38" i="70"/>
  <c r="K37" i="70"/>
  <c r="E36" i="70"/>
  <c r="C37" i="70"/>
  <c r="G35" i="70"/>
  <c r="F35" i="70"/>
  <c r="I35" i="70"/>
  <c r="N36" i="70"/>
  <c r="S37" i="70"/>
  <c r="Q37" i="70"/>
  <c r="L36" i="70"/>
  <c r="R36" i="70"/>
  <c r="M35" i="70"/>
  <c r="H35" i="70" s="1"/>
  <c r="O35" i="70"/>
  <c r="J35" i="70" s="1"/>
  <c r="T36" i="70"/>
  <c r="L36" i="69"/>
  <c r="Q37" i="69"/>
  <c r="J35" i="69"/>
  <c r="I35" i="69"/>
  <c r="H35" i="69"/>
  <c r="G35" i="69"/>
  <c r="F35" i="69"/>
  <c r="T37" i="69"/>
  <c r="O36" i="69"/>
  <c r="C37" i="69"/>
  <c r="E36" i="69"/>
  <c r="N36" i="69"/>
  <c r="S37" i="69"/>
  <c r="R37" i="69"/>
  <c r="M36" i="69"/>
  <c r="K36" i="69"/>
  <c r="P37" i="69"/>
  <c r="J35" i="63"/>
  <c r="I35" i="63"/>
  <c r="H35" i="63"/>
  <c r="F35" i="63"/>
  <c r="N36" i="63"/>
  <c r="S37" i="63"/>
  <c r="K36" i="63"/>
  <c r="P37" i="63"/>
  <c r="L35" i="63"/>
  <c r="G35" i="63" s="1"/>
  <c r="Q36" i="63"/>
  <c r="O37" i="63"/>
  <c r="T38" i="63"/>
  <c r="M36" i="63"/>
  <c r="R37" i="63"/>
  <c r="E36" i="63"/>
  <c r="C37" i="63"/>
  <c r="S209" i="71" l="1"/>
  <c r="N208" i="71"/>
  <c r="I208" i="71" s="1"/>
  <c r="R210" i="71"/>
  <c r="M209" i="71"/>
  <c r="S38" i="71"/>
  <c r="N37" i="71"/>
  <c r="J208" i="71"/>
  <c r="H208" i="71"/>
  <c r="F208" i="71"/>
  <c r="J36" i="71"/>
  <c r="I36" i="71"/>
  <c r="H36" i="71"/>
  <c r="G36" i="71"/>
  <c r="F36" i="71"/>
  <c r="K209" i="71"/>
  <c r="P210" i="71"/>
  <c r="K37" i="71"/>
  <c r="P38" i="71"/>
  <c r="E209" i="71"/>
  <c r="C210" i="71"/>
  <c r="C38" i="71"/>
  <c r="E37" i="71"/>
  <c r="T210" i="71"/>
  <c r="O209" i="71"/>
  <c r="L37" i="71"/>
  <c r="Q38" i="71"/>
  <c r="Q209" i="71"/>
  <c r="L208" i="71"/>
  <c r="G208" i="71" s="1"/>
  <c r="T38" i="71"/>
  <c r="O37" i="71"/>
  <c r="R38" i="71"/>
  <c r="M37" i="71"/>
  <c r="R37" i="70"/>
  <c r="M36" i="70"/>
  <c r="H36" i="70" s="1"/>
  <c r="Q38" i="70"/>
  <c r="L37" i="70"/>
  <c r="C38" i="70"/>
  <c r="E37" i="70"/>
  <c r="S38" i="70"/>
  <c r="N37" i="70"/>
  <c r="I36" i="70"/>
  <c r="G36" i="70"/>
  <c r="F36" i="70"/>
  <c r="O36" i="70"/>
  <c r="J36" i="70" s="1"/>
  <c r="T37" i="70"/>
  <c r="K38" i="70"/>
  <c r="P39" i="70"/>
  <c r="T38" i="69"/>
  <c r="O37" i="69"/>
  <c r="S38" i="69"/>
  <c r="N37" i="69"/>
  <c r="M37" i="69"/>
  <c r="R38" i="69"/>
  <c r="J36" i="69"/>
  <c r="I36" i="69"/>
  <c r="H36" i="69"/>
  <c r="F36" i="69"/>
  <c r="G36" i="69"/>
  <c r="E37" i="69"/>
  <c r="C38" i="69"/>
  <c r="L37" i="69"/>
  <c r="Q38" i="69"/>
  <c r="K37" i="69"/>
  <c r="P38" i="69"/>
  <c r="F36" i="63"/>
  <c r="J36" i="63"/>
  <c r="I36" i="63"/>
  <c r="H36" i="63"/>
  <c r="N37" i="63"/>
  <c r="S38" i="63"/>
  <c r="T39" i="63"/>
  <c r="O38" i="63"/>
  <c r="L36" i="63"/>
  <c r="G36" i="63" s="1"/>
  <c r="Q37" i="63"/>
  <c r="M37" i="63"/>
  <c r="R38" i="63"/>
  <c r="E37" i="63"/>
  <c r="C38" i="63"/>
  <c r="P38" i="63"/>
  <c r="K37" i="63"/>
  <c r="J37" i="71" l="1"/>
  <c r="I37" i="71"/>
  <c r="H37" i="71"/>
  <c r="G37" i="71"/>
  <c r="F37" i="71"/>
  <c r="E38" i="71"/>
  <c r="C39" i="71"/>
  <c r="T39" i="71"/>
  <c r="O38" i="71"/>
  <c r="C211" i="71"/>
  <c r="E210" i="71"/>
  <c r="Q210" i="71"/>
  <c r="L209" i="71"/>
  <c r="G209" i="71" s="1"/>
  <c r="H209" i="71"/>
  <c r="F209" i="71"/>
  <c r="J209" i="71"/>
  <c r="S39" i="71"/>
  <c r="N38" i="71"/>
  <c r="L38" i="71"/>
  <c r="Q39" i="71"/>
  <c r="K38" i="71"/>
  <c r="P39" i="71"/>
  <c r="R211" i="71"/>
  <c r="M210" i="71"/>
  <c r="K210" i="71"/>
  <c r="P211" i="71"/>
  <c r="M38" i="71"/>
  <c r="R39" i="71"/>
  <c r="O210" i="71"/>
  <c r="T211" i="71"/>
  <c r="S210" i="71"/>
  <c r="N209" i="71"/>
  <c r="I209" i="71" s="1"/>
  <c r="S39" i="70"/>
  <c r="N38" i="70"/>
  <c r="I37" i="70"/>
  <c r="G37" i="70"/>
  <c r="F37" i="70"/>
  <c r="C39" i="70"/>
  <c r="E38" i="70"/>
  <c r="O37" i="70"/>
  <c r="J37" i="70" s="1"/>
  <c r="T38" i="70"/>
  <c r="Q39" i="70"/>
  <c r="L38" i="70"/>
  <c r="K39" i="70"/>
  <c r="P40" i="70"/>
  <c r="R38" i="70"/>
  <c r="M37" i="70"/>
  <c r="H37" i="70" s="1"/>
  <c r="L38" i="69"/>
  <c r="Q39" i="69"/>
  <c r="M38" i="69"/>
  <c r="R39" i="69"/>
  <c r="E38" i="69"/>
  <c r="C39" i="69"/>
  <c r="G37" i="69"/>
  <c r="J37" i="69"/>
  <c r="I37" i="69"/>
  <c r="H37" i="69"/>
  <c r="F37" i="69"/>
  <c r="N38" i="69"/>
  <c r="S39" i="69"/>
  <c r="K38" i="69"/>
  <c r="P39" i="69"/>
  <c r="T39" i="69"/>
  <c r="O38" i="69"/>
  <c r="T40" i="63"/>
  <c r="O39" i="63"/>
  <c r="P39" i="63"/>
  <c r="K38" i="63"/>
  <c r="E38" i="63"/>
  <c r="C39" i="63"/>
  <c r="S39" i="63"/>
  <c r="N38" i="63"/>
  <c r="F37" i="63"/>
  <c r="J37" i="63"/>
  <c r="I37" i="63"/>
  <c r="H37" i="63"/>
  <c r="R39" i="63"/>
  <c r="M38" i="63"/>
  <c r="L37" i="63"/>
  <c r="G37" i="63" s="1"/>
  <c r="Q38" i="63"/>
  <c r="O39" i="71" l="1"/>
  <c r="T40" i="71"/>
  <c r="K39" i="71"/>
  <c r="P40" i="71"/>
  <c r="E39" i="71"/>
  <c r="C40" i="71"/>
  <c r="T212" i="71"/>
  <c r="O211" i="71"/>
  <c r="M39" i="71"/>
  <c r="R40" i="71"/>
  <c r="J38" i="71"/>
  <c r="I38" i="71"/>
  <c r="H38" i="71"/>
  <c r="G38" i="71"/>
  <c r="F38" i="71"/>
  <c r="L39" i="71"/>
  <c r="Q40" i="71"/>
  <c r="K211" i="71"/>
  <c r="P212" i="71"/>
  <c r="L210" i="71"/>
  <c r="G210" i="71" s="1"/>
  <c r="Q211" i="71"/>
  <c r="N39" i="71"/>
  <c r="S40" i="71"/>
  <c r="J210" i="71"/>
  <c r="H210" i="71"/>
  <c r="F210" i="71"/>
  <c r="E211" i="71"/>
  <c r="C212" i="71"/>
  <c r="S211" i="71"/>
  <c r="N210" i="71"/>
  <c r="I210" i="71" s="1"/>
  <c r="M211" i="71"/>
  <c r="R212" i="71"/>
  <c r="R39" i="70"/>
  <c r="M38" i="70"/>
  <c r="H38" i="70" s="1"/>
  <c r="C40" i="70"/>
  <c r="E39" i="70"/>
  <c r="L39" i="70"/>
  <c r="Q40" i="70"/>
  <c r="K40" i="70"/>
  <c r="P41" i="70"/>
  <c r="T39" i="70"/>
  <c r="O38" i="70"/>
  <c r="J38" i="70" s="1"/>
  <c r="I38" i="70"/>
  <c r="G38" i="70"/>
  <c r="F38" i="70"/>
  <c r="S40" i="70"/>
  <c r="N39" i="70"/>
  <c r="O39" i="69"/>
  <c r="T40" i="69"/>
  <c r="P40" i="69"/>
  <c r="K39" i="69"/>
  <c r="E39" i="69"/>
  <c r="C40" i="69"/>
  <c r="N39" i="69"/>
  <c r="S40" i="69"/>
  <c r="F38" i="69"/>
  <c r="H38" i="69"/>
  <c r="J38" i="69"/>
  <c r="I38" i="69"/>
  <c r="G38" i="69"/>
  <c r="R40" i="69"/>
  <c r="M39" i="69"/>
  <c r="L39" i="69"/>
  <c r="Q40" i="69"/>
  <c r="S40" i="63"/>
  <c r="N39" i="63"/>
  <c r="R40" i="63"/>
  <c r="M39" i="63"/>
  <c r="C40" i="63"/>
  <c r="E39" i="63"/>
  <c r="H38" i="63"/>
  <c r="F38" i="63"/>
  <c r="J38" i="63"/>
  <c r="I38" i="63"/>
  <c r="P40" i="63"/>
  <c r="K39" i="63"/>
  <c r="Q39" i="63"/>
  <c r="L38" i="63"/>
  <c r="G38" i="63" s="1"/>
  <c r="O40" i="63"/>
  <c r="T41" i="63"/>
  <c r="S212" i="71" l="1"/>
  <c r="N211" i="71"/>
  <c r="I211" i="71" s="1"/>
  <c r="N40" i="71"/>
  <c r="S41" i="71"/>
  <c r="T213" i="71"/>
  <c r="O212" i="71"/>
  <c r="E40" i="71"/>
  <c r="C41" i="71"/>
  <c r="J211" i="71"/>
  <c r="H211" i="71"/>
  <c r="F211" i="71"/>
  <c r="Q212" i="71"/>
  <c r="L211" i="71"/>
  <c r="G211" i="71" s="1"/>
  <c r="F39" i="71"/>
  <c r="J39" i="71"/>
  <c r="I39" i="71"/>
  <c r="H39" i="71"/>
  <c r="G39" i="71"/>
  <c r="P41" i="71"/>
  <c r="K40" i="71"/>
  <c r="K212" i="71"/>
  <c r="P213" i="71"/>
  <c r="M212" i="71"/>
  <c r="R213" i="71"/>
  <c r="M40" i="71"/>
  <c r="R41" i="71"/>
  <c r="O40" i="71"/>
  <c r="T41" i="71"/>
  <c r="C213" i="71"/>
  <c r="E212" i="71"/>
  <c r="L40" i="71"/>
  <c r="Q41" i="71"/>
  <c r="N40" i="70"/>
  <c r="S41" i="70"/>
  <c r="K41" i="70"/>
  <c r="P42" i="70"/>
  <c r="L40" i="70"/>
  <c r="Q41" i="70"/>
  <c r="I39" i="70"/>
  <c r="G39" i="70"/>
  <c r="F39" i="70"/>
  <c r="E40" i="70"/>
  <c r="C41" i="70"/>
  <c r="T40" i="70"/>
  <c r="O39" i="70"/>
  <c r="J39" i="70" s="1"/>
  <c r="R40" i="70"/>
  <c r="M39" i="70"/>
  <c r="H39" i="70" s="1"/>
  <c r="N40" i="69"/>
  <c r="S41" i="69"/>
  <c r="M40" i="69"/>
  <c r="R41" i="69"/>
  <c r="C41" i="69"/>
  <c r="E40" i="69"/>
  <c r="G39" i="69"/>
  <c r="F39" i="69"/>
  <c r="I39" i="69"/>
  <c r="J39" i="69"/>
  <c r="H39" i="69"/>
  <c r="P41" i="69"/>
  <c r="K40" i="69"/>
  <c r="O40" i="69"/>
  <c r="T41" i="69"/>
  <c r="Q41" i="69"/>
  <c r="L40" i="69"/>
  <c r="Q40" i="63"/>
  <c r="L39" i="63"/>
  <c r="G39" i="63" s="1"/>
  <c r="I39" i="63"/>
  <c r="J39" i="63"/>
  <c r="H39" i="63"/>
  <c r="F39" i="63"/>
  <c r="C41" i="63"/>
  <c r="E40" i="63"/>
  <c r="P41" i="63"/>
  <c r="K40" i="63"/>
  <c r="R41" i="63"/>
  <c r="M40" i="63"/>
  <c r="T42" i="63"/>
  <c r="O41" i="63"/>
  <c r="S41" i="63"/>
  <c r="N40" i="63"/>
  <c r="P214" i="71" l="1"/>
  <c r="K213" i="71"/>
  <c r="E41" i="71"/>
  <c r="C42" i="71"/>
  <c r="F212" i="71"/>
  <c r="J212" i="71"/>
  <c r="H212" i="71"/>
  <c r="E213" i="71"/>
  <c r="C214" i="71"/>
  <c r="G40" i="71"/>
  <c r="F40" i="71"/>
  <c r="J40" i="71"/>
  <c r="H40" i="71"/>
  <c r="I40" i="71"/>
  <c r="O41" i="71"/>
  <c r="T42" i="71"/>
  <c r="L212" i="71"/>
  <c r="G212" i="71" s="1"/>
  <c r="Q213" i="71"/>
  <c r="P42" i="71"/>
  <c r="K41" i="71"/>
  <c r="O213" i="71"/>
  <c r="T214" i="71"/>
  <c r="M41" i="71"/>
  <c r="R42" i="71"/>
  <c r="N41" i="71"/>
  <c r="S42" i="71"/>
  <c r="Q42" i="71"/>
  <c r="L41" i="71"/>
  <c r="M213" i="71"/>
  <c r="R214" i="71"/>
  <c r="N212" i="71"/>
  <c r="I212" i="71" s="1"/>
  <c r="S213" i="71"/>
  <c r="M40" i="70"/>
  <c r="H40" i="70" s="1"/>
  <c r="R41" i="70"/>
  <c r="L41" i="70"/>
  <c r="Q42" i="70"/>
  <c r="T41" i="70"/>
  <c r="O40" i="70"/>
  <c r="J40" i="70" s="1"/>
  <c r="F40" i="70"/>
  <c r="I40" i="70"/>
  <c r="G40" i="70"/>
  <c r="P43" i="70"/>
  <c r="K42" i="70"/>
  <c r="E41" i="70"/>
  <c r="C42" i="70"/>
  <c r="N41" i="70"/>
  <c r="S42" i="70"/>
  <c r="O41" i="69"/>
  <c r="T42" i="69"/>
  <c r="H40" i="69"/>
  <c r="G40" i="69"/>
  <c r="F40" i="69"/>
  <c r="J40" i="69"/>
  <c r="I40" i="69"/>
  <c r="E41" i="69"/>
  <c r="C42" i="69"/>
  <c r="Q42" i="69"/>
  <c r="L41" i="69"/>
  <c r="R42" i="69"/>
  <c r="M41" i="69"/>
  <c r="K41" i="69"/>
  <c r="P42" i="69"/>
  <c r="N41" i="69"/>
  <c r="S42" i="69"/>
  <c r="S42" i="63"/>
  <c r="N41" i="63"/>
  <c r="E41" i="63"/>
  <c r="C42" i="63"/>
  <c r="R42" i="63"/>
  <c r="M41" i="63"/>
  <c r="K41" i="63"/>
  <c r="P42" i="63"/>
  <c r="T43" i="63"/>
  <c r="O42" i="63"/>
  <c r="J40" i="63"/>
  <c r="H40" i="63"/>
  <c r="F40" i="63"/>
  <c r="I40" i="63"/>
  <c r="Q41" i="63"/>
  <c r="L40" i="63"/>
  <c r="G40" i="63" s="1"/>
  <c r="M214" i="71" l="1"/>
  <c r="R215" i="71"/>
  <c r="O214" i="71"/>
  <c r="T215" i="71"/>
  <c r="Q43" i="71"/>
  <c r="L42" i="71"/>
  <c r="P43" i="71"/>
  <c r="K42" i="71"/>
  <c r="N42" i="71"/>
  <c r="S43" i="71"/>
  <c r="L213" i="71"/>
  <c r="G213" i="71" s="1"/>
  <c r="Q214" i="71"/>
  <c r="E42" i="71"/>
  <c r="C43" i="71"/>
  <c r="E214" i="71"/>
  <c r="C215" i="71"/>
  <c r="H41" i="71"/>
  <c r="G41" i="71"/>
  <c r="F41" i="71"/>
  <c r="I41" i="71"/>
  <c r="J41" i="71"/>
  <c r="S214" i="71"/>
  <c r="N213" i="71"/>
  <c r="I213" i="71" s="1"/>
  <c r="R43" i="71"/>
  <c r="M42" i="71"/>
  <c r="O42" i="71"/>
  <c r="T43" i="71"/>
  <c r="J213" i="71"/>
  <c r="H213" i="71"/>
  <c r="F213" i="71"/>
  <c r="K214" i="71"/>
  <c r="P215" i="71"/>
  <c r="E42" i="70"/>
  <c r="C43" i="70"/>
  <c r="F41" i="70"/>
  <c r="I41" i="70"/>
  <c r="G41" i="70"/>
  <c r="O41" i="70"/>
  <c r="J41" i="70" s="1"/>
  <c r="T42" i="70"/>
  <c r="Q43" i="70"/>
  <c r="L42" i="70"/>
  <c r="P44" i="70"/>
  <c r="K43" i="70"/>
  <c r="M41" i="70"/>
  <c r="H41" i="70" s="1"/>
  <c r="R42" i="70"/>
  <c r="N42" i="70"/>
  <c r="S43" i="70"/>
  <c r="I41" i="69"/>
  <c r="H41" i="69"/>
  <c r="G41" i="69"/>
  <c r="F41" i="69"/>
  <c r="J41" i="69"/>
  <c r="P43" i="69"/>
  <c r="K42" i="69"/>
  <c r="R43" i="69"/>
  <c r="M42" i="69"/>
  <c r="L42" i="69"/>
  <c r="Q43" i="69"/>
  <c r="O42" i="69"/>
  <c r="T43" i="69"/>
  <c r="S43" i="69"/>
  <c r="N42" i="69"/>
  <c r="C43" i="69"/>
  <c r="E42" i="69"/>
  <c r="Q42" i="63"/>
  <c r="L41" i="63"/>
  <c r="G41" i="63" s="1"/>
  <c r="K42" i="63"/>
  <c r="P43" i="63"/>
  <c r="R43" i="63"/>
  <c r="M42" i="63"/>
  <c r="C43" i="63"/>
  <c r="E42" i="63"/>
  <c r="I41" i="63"/>
  <c r="H41" i="63"/>
  <c r="J41" i="63"/>
  <c r="F41" i="63"/>
  <c r="T44" i="63"/>
  <c r="O43" i="63"/>
  <c r="S43" i="63"/>
  <c r="N42" i="63"/>
  <c r="R44" i="71" l="1"/>
  <c r="M43" i="71"/>
  <c r="E215" i="71"/>
  <c r="C216" i="71"/>
  <c r="H214" i="71"/>
  <c r="F214" i="71"/>
  <c r="J214" i="71"/>
  <c r="P44" i="71"/>
  <c r="K43" i="71"/>
  <c r="N214" i="71"/>
  <c r="I214" i="71" s="1"/>
  <c r="S215" i="71"/>
  <c r="C44" i="71"/>
  <c r="E43" i="71"/>
  <c r="I42" i="71"/>
  <c r="H42" i="71"/>
  <c r="G42" i="71"/>
  <c r="F42" i="71"/>
  <c r="J42" i="71"/>
  <c r="Q44" i="71"/>
  <c r="L43" i="71"/>
  <c r="Q215" i="71"/>
  <c r="L214" i="71"/>
  <c r="G214" i="71" s="1"/>
  <c r="O215" i="71"/>
  <c r="T216" i="71"/>
  <c r="O43" i="71"/>
  <c r="T44" i="71"/>
  <c r="P216" i="71"/>
  <c r="K215" i="71"/>
  <c r="S44" i="71"/>
  <c r="N43" i="71"/>
  <c r="R216" i="71"/>
  <c r="M215" i="71"/>
  <c r="M42" i="70"/>
  <c r="R43" i="70"/>
  <c r="P45" i="70"/>
  <c r="K44" i="70"/>
  <c r="Q44" i="70"/>
  <c r="L43" i="70"/>
  <c r="E43" i="70"/>
  <c r="C44" i="70"/>
  <c r="N43" i="70"/>
  <c r="S44" i="70"/>
  <c r="O42" i="70"/>
  <c r="T43" i="70"/>
  <c r="G42" i="70"/>
  <c r="F42" i="70"/>
  <c r="H42" i="70"/>
  <c r="J42" i="70"/>
  <c r="I42" i="70"/>
  <c r="E43" i="69"/>
  <c r="C44" i="69"/>
  <c r="R44" i="69"/>
  <c r="M43" i="69"/>
  <c r="S44" i="69"/>
  <c r="N43" i="69"/>
  <c r="K43" i="69"/>
  <c r="P44" i="69"/>
  <c r="T44" i="69"/>
  <c r="O43" i="69"/>
  <c r="Q44" i="69"/>
  <c r="L43" i="69"/>
  <c r="J42" i="69"/>
  <c r="I42" i="69"/>
  <c r="H42" i="69"/>
  <c r="G42" i="69"/>
  <c r="F42" i="69"/>
  <c r="S44" i="63"/>
  <c r="N43" i="63"/>
  <c r="J42" i="63"/>
  <c r="I42" i="63"/>
  <c r="H42" i="63"/>
  <c r="F42" i="63"/>
  <c r="E43" i="63"/>
  <c r="C44" i="63"/>
  <c r="T45" i="63"/>
  <c r="O44" i="63"/>
  <c r="M43" i="63"/>
  <c r="R44" i="63"/>
  <c r="K43" i="63"/>
  <c r="P44" i="63"/>
  <c r="L42" i="63"/>
  <c r="G42" i="63" s="1"/>
  <c r="Q43" i="63"/>
  <c r="O216" i="71" l="1"/>
  <c r="T217" i="71"/>
  <c r="E216" i="71"/>
  <c r="C217" i="71"/>
  <c r="M216" i="71"/>
  <c r="H216" i="71" s="1"/>
  <c r="R217" i="71"/>
  <c r="K216" i="71"/>
  <c r="F216" i="71" s="1"/>
  <c r="P217" i="71"/>
  <c r="S45" i="71"/>
  <c r="N44" i="71"/>
  <c r="L215" i="71"/>
  <c r="G215" i="71" s="1"/>
  <c r="Q216" i="71"/>
  <c r="J43" i="71"/>
  <c r="I43" i="71"/>
  <c r="H43" i="71"/>
  <c r="G43" i="71"/>
  <c r="F43" i="71"/>
  <c r="C45" i="71"/>
  <c r="E44" i="71"/>
  <c r="Q45" i="71"/>
  <c r="L44" i="71"/>
  <c r="N215" i="71"/>
  <c r="I215" i="71" s="1"/>
  <c r="S216" i="71"/>
  <c r="T45" i="71"/>
  <c r="O44" i="71"/>
  <c r="J216" i="71"/>
  <c r="F215" i="71"/>
  <c r="J215" i="71"/>
  <c r="H215" i="71"/>
  <c r="K44" i="71"/>
  <c r="P45" i="71"/>
  <c r="R45" i="71"/>
  <c r="M44" i="71"/>
  <c r="E44" i="70"/>
  <c r="C45" i="70"/>
  <c r="G43" i="70"/>
  <c r="F43" i="70"/>
  <c r="I43" i="70"/>
  <c r="Q45" i="70"/>
  <c r="L44" i="70"/>
  <c r="O43" i="70"/>
  <c r="J43" i="70" s="1"/>
  <c r="T44" i="70"/>
  <c r="P46" i="70"/>
  <c r="K45" i="70"/>
  <c r="S45" i="70"/>
  <c r="N44" i="70"/>
  <c r="M43" i="70"/>
  <c r="H43" i="70" s="1"/>
  <c r="R44" i="70"/>
  <c r="K44" i="69"/>
  <c r="P45" i="69"/>
  <c r="S45" i="69"/>
  <c r="N44" i="69"/>
  <c r="L44" i="69"/>
  <c r="Q45" i="69"/>
  <c r="R45" i="69"/>
  <c r="M44" i="69"/>
  <c r="C45" i="69"/>
  <c r="E44" i="69"/>
  <c r="T45" i="69"/>
  <c r="O44" i="69"/>
  <c r="J43" i="69"/>
  <c r="I43" i="69"/>
  <c r="H43" i="69"/>
  <c r="G43" i="69"/>
  <c r="F43" i="69"/>
  <c r="J43" i="63"/>
  <c r="I43" i="63"/>
  <c r="H43" i="63"/>
  <c r="F43" i="63"/>
  <c r="K44" i="63"/>
  <c r="P45" i="63"/>
  <c r="M44" i="63"/>
  <c r="R45" i="63"/>
  <c r="O45" i="63"/>
  <c r="T46" i="63"/>
  <c r="L43" i="63"/>
  <c r="G43" i="63" s="1"/>
  <c r="Q44" i="63"/>
  <c r="E44" i="63"/>
  <c r="C45" i="63"/>
  <c r="N44" i="63"/>
  <c r="S45" i="63"/>
  <c r="P218" i="71" l="1"/>
  <c r="K217" i="71"/>
  <c r="M217" i="71"/>
  <c r="R218" i="71"/>
  <c r="L216" i="71"/>
  <c r="G216" i="71" s="1"/>
  <c r="Q217" i="71"/>
  <c r="E217" i="71"/>
  <c r="C218" i="71"/>
  <c r="N216" i="71"/>
  <c r="I216" i="71" s="1"/>
  <c r="S217" i="71"/>
  <c r="T218" i="71"/>
  <c r="O217" i="71"/>
  <c r="T46" i="71"/>
  <c r="O45" i="71"/>
  <c r="R46" i="71"/>
  <c r="M45" i="71"/>
  <c r="K45" i="71"/>
  <c r="P46" i="71"/>
  <c r="L45" i="71"/>
  <c r="Q46" i="71"/>
  <c r="J44" i="71"/>
  <c r="I44" i="71"/>
  <c r="H44" i="71"/>
  <c r="G44" i="71"/>
  <c r="F44" i="71"/>
  <c r="C46" i="71"/>
  <c r="E45" i="71"/>
  <c r="S46" i="71"/>
  <c r="N45" i="71"/>
  <c r="Q46" i="70"/>
  <c r="L45" i="70"/>
  <c r="K46" i="70"/>
  <c r="P47" i="70"/>
  <c r="S46" i="70"/>
  <c r="N45" i="70"/>
  <c r="O44" i="70"/>
  <c r="J44" i="70" s="1"/>
  <c r="T45" i="70"/>
  <c r="C46" i="70"/>
  <c r="E45" i="70"/>
  <c r="R45" i="70"/>
  <c r="M44" i="70"/>
  <c r="H44" i="70" s="1"/>
  <c r="I44" i="70"/>
  <c r="G44" i="70"/>
  <c r="F44" i="70"/>
  <c r="M45" i="69"/>
  <c r="R46" i="69"/>
  <c r="L45" i="69"/>
  <c r="Q46" i="69"/>
  <c r="T46" i="69"/>
  <c r="O45" i="69"/>
  <c r="S46" i="69"/>
  <c r="N45" i="69"/>
  <c r="F44" i="69"/>
  <c r="J44" i="69"/>
  <c r="I44" i="69"/>
  <c r="H44" i="69"/>
  <c r="G44" i="69"/>
  <c r="K45" i="69"/>
  <c r="P46" i="69"/>
  <c r="E45" i="69"/>
  <c r="C46" i="69"/>
  <c r="P46" i="63"/>
  <c r="K45" i="63"/>
  <c r="E45" i="63"/>
  <c r="C46" i="63"/>
  <c r="F44" i="63"/>
  <c r="J44" i="63"/>
  <c r="I44" i="63"/>
  <c r="H44" i="63"/>
  <c r="L44" i="63"/>
  <c r="G44" i="63" s="1"/>
  <c r="Q45" i="63"/>
  <c r="O46" i="63"/>
  <c r="T47" i="63"/>
  <c r="N45" i="63"/>
  <c r="S46" i="63"/>
  <c r="M45" i="63"/>
  <c r="R46" i="63"/>
  <c r="H217" i="71" l="1"/>
  <c r="F217" i="71"/>
  <c r="J217" i="71"/>
  <c r="C219" i="71"/>
  <c r="E218" i="71"/>
  <c r="L217" i="71"/>
  <c r="G217" i="71" s="1"/>
  <c r="Q218" i="71"/>
  <c r="M218" i="71"/>
  <c r="R219" i="71"/>
  <c r="T219" i="71"/>
  <c r="O218" i="71"/>
  <c r="S218" i="71"/>
  <c r="N217" i="71"/>
  <c r="I217" i="71" s="1"/>
  <c r="P219" i="71"/>
  <c r="K218" i="71"/>
  <c r="L46" i="71"/>
  <c r="Q47" i="71"/>
  <c r="S47" i="71"/>
  <c r="N46" i="71"/>
  <c r="J45" i="71"/>
  <c r="I45" i="71"/>
  <c r="H45" i="71"/>
  <c r="G45" i="71"/>
  <c r="F45" i="71"/>
  <c r="E46" i="71"/>
  <c r="C47" i="71"/>
  <c r="K46" i="71"/>
  <c r="P47" i="71"/>
  <c r="M46" i="71"/>
  <c r="R47" i="71"/>
  <c r="T47" i="71"/>
  <c r="O46" i="71"/>
  <c r="O45" i="70"/>
  <c r="T46" i="70"/>
  <c r="S47" i="70"/>
  <c r="N46" i="70"/>
  <c r="K47" i="70"/>
  <c r="P48" i="70"/>
  <c r="R46" i="70"/>
  <c r="M45" i="70"/>
  <c r="H45" i="70" s="1"/>
  <c r="J45" i="70"/>
  <c r="I45" i="70"/>
  <c r="G45" i="70"/>
  <c r="F45" i="70"/>
  <c r="C47" i="70"/>
  <c r="E46" i="70"/>
  <c r="L46" i="70"/>
  <c r="Q47" i="70"/>
  <c r="J45" i="69"/>
  <c r="I45" i="69"/>
  <c r="G45" i="69"/>
  <c r="H45" i="69"/>
  <c r="F45" i="69"/>
  <c r="K46" i="69"/>
  <c r="P47" i="69"/>
  <c r="N46" i="69"/>
  <c r="S47" i="69"/>
  <c r="T47" i="69"/>
  <c r="O46" i="69"/>
  <c r="Q47" i="69"/>
  <c r="L46" i="69"/>
  <c r="M46" i="69"/>
  <c r="R47" i="69"/>
  <c r="E46" i="69"/>
  <c r="C47" i="69"/>
  <c r="N46" i="63"/>
  <c r="S47" i="63"/>
  <c r="O47" i="63"/>
  <c r="T48" i="63"/>
  <c r="E46" i="63"/>
  <c r="C47" i="63"/>
  <c r="F45" i="63"/>
  <c r="J45" i="63"/>
  <c r="I45" i="63"/>
  <c r="H45" i="63"/>
  <c r="L45" i="63"/>
  <c r="G45" i="63" s="1"/>
  <c r="Q46" i="63"/>
  <c r="M46" i="63"/>
  <c r="R47" i="63"/>
  <c r="P47" i="63"/>
  <c r="K46" i="63"/>
  <c r="J218" i="71" l="1"/>
  <c r="F218" i="71"/>
  <c r="H218" i="71"/>
  <c r="G218" i="71"/>
  <c r="I218" i="71"/>
  <c r="T220" i="71"/>
  <c r="O219" i="71"/>
  <c r="P220" i="71"/>
  <c r="K219" i="71"/>
  <c r="S219" i="71"/>
  <c r="N218" i="71"/>
  <c r="M219" i="71"/>
  <c r="R220" i="71"/>
  <c r="E219" i="71"/>
  <c r="C220" i="71"/>
  <c r="Q219" i="71"/>
  <c r="L218" i="71"/>
  <c r="T48" i="71"/>
  <c r="O47" i="71"/>
  <c r="M47" i="71"/>
  <c r="R48" i="71"/>
  <c r="K47" i="71"/>
  <c r="P48" i="71"/>
  <c r="E47" i="71"/>
  <c r="C48" i="71"/>
  <c r="N47" i="71"/>
  <c r="S48" i="71"/>
  <c r="J46" i="71"/>
  <c r="I46" i="71"/>
  <c r="H46" i="71"/>
  <c r="G46" i="71"/>
  <c r="F46" i="71"/>
  <c r="L47" i="71"/>
  <c r="Q48" i="71"/>
  <c r="R47" i="70"/>
  <c r="M46" i="70"/>
  <c r="I46" i="70"/>
  <c r="H46" i="70"/>
  <c r="G46" i="70"/>
  <c r="F46" i="70"/>
  <c r="K48" i="70"/>
  <c r="P49" i="70"/>
  <c r="C48" i="70"/>
  <c r="E47" i="70"/>
  <c r="S48" i="70"/>
  <c r="N47" i="70"/>
  <c r="T47" i="70"/>
  <c r="O46" i="70"/>
  <c r="J46" i="70" s="1"/>
  <c r="L47" i="70"/>
  <c r="Q48" i="70"/>
  <c r="P48" i="69"/>
  <c r="K47" i="69"/>
  <c r="F46" i="69"/>
  <c r="H46" i="69"/>
  <c r="J46" i="69"/>
  <c r="I46" i="69"/>
  <c r="G46" i="69"/>
  <c r="M47" i="69"/>
  <c r="R48" i="69"/>
  <c r="L47" i="69"/>
  <c r="Q48" i="69"/>
  <c r="O47" i="69"/>
  <c r="T48" i="69"/>
  <c r="E47" i="69"/>
  <c r="C48" i="69"/>
  <c r="N47" i="69"/>
  <c r="S48" i="69"/>
  <c r="R48" i="63"/>
  <c r="M47" i="63"/>
  <c r="E47" i="63"/>
  <c r="C48" i="63"/>
  <c r="H46" i="63"/>
  <c r="F46" i="63"/>
  <c r="J46" i="63"/>
  <c r="I46" i="63"/>
  <c r="Q47" i="63"/>
  <c r="L46" i="63"/>
  <c r="G46" i="63" s="1"/>
  <c r="O48" i="63"/>
  <c r="T49" i="63"/>
  <c r="P48" i="63"/>
  <c r="K47" i="63"/>
  <c r="N47" i="63"/>
  <c r="S48" i="63"/>
  <c r="Q220" i="71" l="1"/>
  <c r="L219" i="71"/>
  <c r="G219" i="71" s="1"/>
  <c r="P221" i="71"/>
  <c r="K220" i="71"/>
  <c r="C221" i="71"/>
  <c r="E220" i="71"/>
  <c r="T221" i="71"/>
  <c r="O220" i="71"/>
  <c r="F219" i="71"/>
  <c r="H219" i="71"/>
  <c r="J219" i="71"/>
  <c r="N219" i="71"/>
  <c r="I219" i="71" s="1"/>
  <c r="S220" i="71"/>
  <c r="R221" i="71"/>
  <c r="M220" i="71"/>
  <c r="E48" i="71"/>
  <c r="C49" i="71"/>
  <c r="F47" i="71"/>
  <c r="J47" i="71"/>
  <c r="I47" i="71"/>
  <c r="G47" i="71"/>
  <c r="H47" i="71"/>
  <c r="P49" i="71"/>
  <c r="K48" i="71"/>
  <c r="M48" i="71"/>
  <c r="R49" i="71"/>
  <c r="N48" i="71"/>
  <c r="S49" i="71"/>
  <c r="L48" i="71"/>
  <c r="Q49" i="71"/>
  <c r="O48" i="71"/>
  <c r="T49" i="71"/>
  <c r="N48" i="70"/>
  <c r="S49" i="70"/>
  <c r="T48" i="70"/>
  <c r="O47" i="70"/>
  <c r="J47" i="70" s="1"/>
  <c r="I47" i="70"/>
  <c r="G47" i="70"/>
  <c r="F47" i="70"/>
  <c r="E48" i="70"/>
  <c r="C49" i="70"/>
  <c r="L48" i="70"/>
  <c r="Q49" i="70"/>
  <c r="P50" i="70"/>
  <c r="K49" i="70"/>
  <c r="M47" i="70"/>
  <c r="H47" i="70" s="1"/>
  <c r="R48" i="70"/>
  <c r="E48" i="69"/>
  <c r="C49" i="69"/>
  <c r="G47" i="69"/>
  <c r="F47" i="69"/>
  <c r="I47" i="69"/>
  <c r="J47" i="69"/>
  <c r="H47" i="69"/>
  <c r="O48" i="69"/>
  <c r="T49" i="69"/>
  <c r="Q49" i="69"/>
  <c r="L48" i="69"/>
  <c r="S49" i="69"/>
  <c r="N48" i="69"/>
  <c r="M48" i="69"/>
  <c r="R49" i="69"/>
  <c r="P49" i="69"/>
  <c r="K48" i="69"/>
  <c r="P49" i="63"/>
  <c r="K48" i="63"/>
  <c r="T50" i="63"/>
  <c r="O49" i="63"/>
  <c r="C49" i="63"/>
  <c r="E48" i="63"/>
  <c r="I47" i="63"/>
  <c r="H47" i="63"/>
  <c r="F47" i="63"/>
  <c r="J47" i="63"/>
  <c r="Q48" i="63"/>
  <c r="L47" i="63"/>
  <c r="G47" i="63" s="1"/>
  <c r="S49" i="63"/>
  <c r="N48" i="63"/>
  <c r="R49" i="63"/>
  <c r="M48" i="63"/>
  <c r="R222" i="71" l="1"/>
  <c r="M221" i="71"/>
  <c r="S221" i="71"/>
  <c r="N220" i="71"/>
  <c r="I220" i="71" s="1"/>
  <c r="E221" i="71"/>
  <c r="C222" i="71"/>
  <c r="J220" i="71"/>
  <c r="F220" i="71"/>
  <c r="H220" i="71"/>
  <c r="T222" i="71"/>
  <c r="O221" i="71"/>
  <c r="K221" i="71"/>
  <c r="P222" i="71"/>
  <c r="Q221" i="71"/>
  <c r="L220" i="71"/>
  <c r="G220" i="71" s="1"/>
  <c r="P50" i="71"/>
  <c r="K49" i="71"/>
  <c r="Q50" i="71"/>
  <c r="L49" i="71"/>
  <c r="N49" i="71"/>
  <c r="S50" i="71"/>
  <c r="M49" i="71"/>
  <c r="R50" i="71"/>
  <c r="E49" i="71"/>
  <c r="C50" i="71"/>
  <c r="O49" i="71"/>
  <c r="T50" i="71"/>
  <c r="G48" i="71"/>
  <c r="F48" i="71"/>
  <c r="J48" i="71"/>
  <c r="H48" i="71"/>
  <c r="I48" i="71"/>
  <c r="P51" i="70"/>
  <c r="K50" i="70"/>
  <c r="L49" i="70"/>
  <c r="Q50" i="70"/>
  <c r="E49" i="70"/>
  <c r="C50" i="70"/>
  <c r="T49" i="70"/>
  <c r="O48" i="70"/>
  <c r="J48" i="70" s="1"/>
  <c r="I48" i="70"/>
  <c r="G48" i="70"/>
  <c r="F48" i="70"/>
  <c r="N49" i="70"/>
  <c r="S50" i="70"/>
  <c r="M48" i="70"/>
  <c r="H48" i="70" s="1"/>
  <c r="R49" i="70"/>
  <c r="P50" i="69"/>
  <c r="K49" i="69"/>
  <c r="R50" i="69"/>
  <c r="M49" i="69"/>
  <c r="N49" i="69"/>
  <c r="S50" i="69"/>
  <c r="Q50" i="69"/>
  <c r="L49" i="69"/>
  <c r="E49" i="69"/>
  <c r="C50" i="69"/>
  <c r="O49" i="69"/>
  <c r="T50" i="69"/>
  <c r="H48" i="69"/>
  <c r="J48" i="69"/>
  <c r="G48" i="69"/>
  <c r="F48" i="69"/>
  <c r="I48" i="69"/>
  <c r="R50" i="63"/>
  <c r="M49" i="63"/>
  <c r="S50" i="63"/>
  <c r="N49" i="63"/>
  <c r="J48" i="63"/>
  <c r="I48" i="63"/>
  <c r="H48" i="63"/>
  <c r="F48" i="63"/>
  <c r="C50" i="63"/>
  <c r="E49" i="63"/>
  <c r="Q49" i="63"/>
  <c r="L48" i="63"/>
  <c r="G48" i="63" s="1"/>
  <c r="T51" i="63"/>
  <c r="O50" i="63"/>
  <c r="K49" i="63"/>
  <c r="P50" i="63"/>
  <c r="Q222" i="71" l="1"/>
  <c r="L221" i="71"/>
  <c r="G221" i="71" s="1"/>
  <c r="H221" i="71"/>
  <c r="J221" i="71"/>
  <c r="F221" i="71"/>
  <c r="P223" i="71"/>
  <c r="K222" i="71"/>
  <c r="T223" i="71"/>
  <c r="O222" i="71"/>
  <c r="C223" i="71"/>
  <c r="E222" i="71"/>
  <c r="S222" i="71"/>
  <c r="N221" i="71"/>
  <c r="I221" i="71" s="1"/>
  <c r="R223" i="71"/>
  <c r="M222" i="71"/>
  <c r="R51" i="71"/>
  <c r="M50" i="71"/>
  <c r="H49" i="71"/>
  <c r="G49" i="71"/>
  <c r="F49" i="71"/>
  <c r="I49" i="71"/>
  <c r="J49" i="71"/>
  <c r="P51" i="71"/>
  <c r="K50" i="71"/>
  <c r="N50" i="71"/>
  <c r="S51" i="71"/>
  <c r="O50" i="71"/>
  <c r="T51" i="71"/>
  <c r="Q51" i="71"/>
  <c r="L50" i="71"/>
  <c r="E50" i="71"/>
  <c r="C51" i="71"/>
  <c r="N50" i="70"/>
  <c r="S51" i="70"/>
  <c r="T50" i="70"/>
  <c r="O49" i="70"/>
  <c r="J49" i="70" s="1"/>
  <c r="E50" i="70"/>
  <c r="C51" i="70"/>
  <c r="F49" i="70"/>
  <c r="G49" i="70"/>
  <c r="I49" i="70"/>
  <c r="Q51" i="70"/>
  <c r="L50" i="70"/>
  <c r="M49" i="70"/>
  <c r="H49" i="70" s="1"/>
  <c r="R50" i="70"/>
  <c r="P52" i="70"/>
  <c r="K51" i="70"/>
  <c r="Q51" i="69"/>
  <c r="L50" i="69"/>
  <c r="S51" i="69"/>
  <c r="N50" i="69"/>
  <c r="O50" i="69"/>
  <c r="T51" i="69"/>
  <c r="R51" i="69"/>
  <c r="M50" i="69"/>
  <c r="C51" i="69"/>
  <c r="E50" i="69"/>
  <c r="I49" i="69"/>
  <c r="H49" i="69"/>
  <c r="G49" i="69"/>
  <c r="F49" i="69"/>
  <c r="J49" i="69"/>
  <c r="P51" i="69"/>
  <c r="K50" i="69"/>
  <c r="T52" i="63"/>
  <c r="O51" i="63"/>
  <c r="Q50" i="63"/>
  <c r="L49" i="63"/>
  <c r="G49" i="63" s="1"/>
  <c r="J49" i="63"/>
  <c r="I49" i="63"/>
  <c r="H49" i="63"/>
  <c r="F49" i="63"/>
  <c r="S51" i="63"/>
  <c r="N50" i="63"/>
  <c r="C51" i="63"/>
  <c r="E50" i="63"/>
  <c r="K50" i="63"/>
  <c r="P51" i="63"/>
  <c r="R51" i="63"/>
  <c r="M50" i="63"/>
  <c r="M223" i="71" l="1"/>
  <c r="R224" i="71"/>
  <c r="K223" i="71"/>
  <c r="P224" i="71"/>
  <c r="S223" i="71"/>
  <c r="N222" i="71"/>
  <c r="I222" i="71" s="1"/>
  <c r="C224" i="71"/>
  <c r="E223" i="71"/>
  <c r="F222" i="71"/>
  <c r="H222" i="71"/>
  <c r="J222" i="71"/>
  <c r="T224" i="71"/>
  <c r="O223" i="71"/>
  <c r="L222" i="71"/>
  <c r="G222" i="71" s="1"/>
  <c r="Q223" i="71"/>
  <c r="I50" i="71"/>
  <c r="H50" i="71"/>
  <c r="G50" i="71"/>
  <c r="F50" i="71"/>
  <c r="J50" i="71"/>
  <c r="P52" i="71"/>
  <c r="K51" i="71"/>
  <c r="O51" i="71"/>
  <c r="T52" i="71"/>
  <c r="Q52" i="71"/>
  <c r="L51" i="71"/>
  <c r="S52" i="71"/>
  <c r="N51" i="71"/>
  <c r="C52" i="71"/>
  <c r="E51" i="71"/>
  <c r="R52" i="71"/>
  <c r="M51" i="71"/>
  <c r="P53" i="70"/>
  <c r="K52" i="70"/>
  <c r="E51" i="70"/>
  <c r="C52" i="70"/>
  <c r="G50" i="70"/>
  <c r="F50" i="70"/>
  <c r="I50" i="70"/>
  <c r="M50" i="70"/>
  <c r="H50" i="70" s="1"/>
  <c r="R51" i="70"/>
  <c r="Q52" i="70"/>
  <c r="L51" i="70"/>
  <c r="O50" i="70"/>
  <c r="J50" i="70" s="1"/>
  <c r="T51" i="70"/>
  <c r="N51" i="70"/>
  <c r="S52" i="70"/>
  <c r="K51" i="69"/>
  <c r="P52" i="69"/>
  <c r="M51" i="69"/>
  <c r="R52" i="69"/>
  <c r="T52" i="69"/>
  <c r="O51" i="69"/>
  <c r="S52" i="69"/>
  <c r="N51" i="69"/>
  <c r="J50" i="69"/>
  <c r="I50" i="69"/>
  <c r="H50" i="69"/>
  <c r="G50" i="69"/>
  <c r="F50" i="69"/>
  <c r="C52" i="69"/>
  <c r="E51" i="69"/>
  <c r="Q52" i="69"/>
  <c r="L51" i="69"/>
  <c r="M51" i="63"/>
  <c r="R52" i="63"/>
  <c r="K51" i="63"/>
  <c r="P52" i="63"/>
  <c r="J50" i="63"/>
  <c r="I50" i="63"/>
  <c r="H50" i="63"/>
  <c r="F50" i="63"/>
  <c r="E51" i="63"/>
  <c r="C52" i="63"/>
  <c r="L50" i="63"/>
  <c r="G50" i="63" s="1"/>
  <c r="Q51" i="63"/>
  <c r="S52" i="63"/>
  <c r="N51" i="63"/>
  <c r="T53" i="63"/>
  <c r="O52" i="63"/>
  <c r="J223" i="71" l="1"/>
  <c r="I223" i="71"/>
  <c r="G223" i="71"/>
  <c r="H223" i="71"/>
  <c r="F223" i="71"/>
  <c r="C225" i="71"/>
  <c r="E224" i="71"/>
  <c r="S224" i="71"/>
  <c r="N223" i="71"/>
  <c r="K224" i="71"/>
  <c r="P225" i="71"/>
  <c r="R225" i="71"/>
  <c r="M224" i="71"/>
  <c r="T225" i="71"/>
  <c r="O224" i="71"/>
  <c r="Q224" i="71"/>
  <c r="L223" i="71"/>
  <c r="R53" i="71"/>
  <c r="M52" i="71"/>
  <c r="J51" i="71"/>
  <c r="I51" i="71"/>
  <c r="H51" i="71"/>
  <c r="G51" i="71"/>
  <c r="F51" i="71"/>
  <c r="C53" i="71"/>
  <c r="E52" i="71"/>
  <c r="K52" i="71"/>
  <c r="P53" i="71"/>
  <c r="S53" i="71"/>
  <c r="N52" i="71"/>
  <c r="Q53" i="71"/>
  <c r="L52" i="71"/>
  <c r="T53" i="71"/>
  <c r="O52" i="71"/>
  <c r="O51" i="70"/>
  <c r="T52" i="70"/>
  <c r="Q53" i="70"/>
  <c r="L52" i="70"/>
  <c r="C53" i="70"/>
  <c r="E52" i="70"/>
  <c r="R52" i="70"/>
  <c r="M51" i="70"/>
  <c r="H51" i="70" s="1"/>
  <c r="G51" i="70"/>
  <c r="F51" i="70"/>
  <c r="J51" i="70"/>
  <c r="I51" i="70"/>
  <c r="N52" i="70"/>
  <c r="S53" i="70"/>
  <c r="P54" i="70"/>
  <c r="K53" i="70"/>
  <c r="N52" i="69"/>
  <c r="S53" i="69"/>
  <c r="J51" i="69"/>
  <c r="I51" i="69"/>
  <c r="H51" i="69"/>
  <c r="G51" i="69"/>
  <c r="F51" i="69"/>
  <c r="C53" i="69"/>
  <c r="E52" i="69"/>
  <c r="L52" i="69"/>
  <c r="Q53" i="69"/>
  <c r="T53" i="69"/>
  <c r="O52" i="69"/>
  <c r="R53" i="69"/>
  <c r="M52" i="69"/>
  <c r="K52" i="69"/>
  <c r="P53" i="69"/>
  <c r="O53" i="63"/>
  <c r="T54" i="63"/>
  <c r="L51" i="63"/>
  <c r="G51" i="63" s="1"/>
  <c r="Q52" i="63"/>
  <c r="P53" i="63"/>
  <c r="K52" i="63"/>
  <c r="E52" i="63"/>
  <c r="C53" i="63"/>
  <c r="N52" i="63"/>
  <c r="S53" i="63"/>
  <c r="J51" i="63"/>
  <c r="I51" i="63"/>
  <c r="H51" i="63"/>
  <c r="F51" i="63"/>
  <c r="M52" i="63"/>
  <c r="R53" i="63"/>
  <c r="Q225" i="71" l="1"/>
  <c r="L224" i="71"/>
  <c r="G224" i="71" s="1"/>
  <c r="N224" i="71"/>
  <c r="I224" i="71" s="1"/>
  <c r="S225" i="71"/>
  <c r="F224" i="71"/>
  <c r="H224" i="71"/>
  <c r="J224" i="71"/>
  <c r="T226" i="71"/>
  <c r="O225" i="71"/>
  <c r="M225" i="71"/>
  <c r="R226" i="71"/>
  <c r="P226" i="71"/>
  <c r="K225" i="71"/>
  <c r="E225" i="71"/>
  <c r="C226" i="71"/>
  <c r="T54" i="71"/>
  <c r="O53" i="71"/>
  <c r="C54" i="71"/>
  <c r="E53" i="71"/>
  <c r="L53" i="71"/>
  <c r="Q54" i="71"/>
  <c r="S54" i="71"/>
  <c r="N53" i="71"/>
  <c r="K53" i="71"/>
  <c r="P54" i="71"/>
  <c r="J52" i="71"/>
  <c r="I52" i="71"/>
  <c r="H52" i="71"/>
  <c r="G52" i="71"/>
  <c r="F52" i="71"/>
  <c r="R54" i="71"/>
  <c r="M53" i="71"/>
  <c r="K54" i="70"/>
  <c r="P55" i="70"/>
  <c r="S54" i="70"/>
  <c r="N53" i="70"/>
  <c r="R53" i="70"/>
  <c r="M52" i="70"/>
  <c r="H52" i="70" s="1"/>
  <c r="I52" i="70"/>
  <c r="G52" i="70"/>
  <c r="F52" i="70"/>
  <c r="C54" i="70"/>
  <c r="E53" i="70"/>
  <c r="Q54" i="70"/>
  <c r="L53" i="70"/>
  <c r="O52" i="70"/>
  <c r="J52" i="70" s="1"/>
  <c r="T53" i="70"/>
  <c r="E53" i="69"/>
  <c r="C54" i="69"/>
  <c r="M53" i="69"/>
  <c r="R54" i="69"/>
  <c r="T54" i="69"/>
  <c r="O53" i="69"/>
  <c r="L53" i="69"/>
  <c r="Q54" i="69"/>
  <c r="S54" i="69"/>
  <c r="N53" i="69"/>
  <c r="K53" i="69"/>
  <c r="P54" i="69"/>
  <c r="J52" i="69"/>
  <c r="I52" i="69"/>
  <c r="H52" i="69"/>
  <c r="G52" i="69"/>
  <c r="F52" i="69"/>
  <c r="E53" i="63"/>
  <c r="C54" i="63"/>
  <c r="F52" i="63"/>
  <c r="J52" i="63"/>
  <c r="H52" i="63"/>
  <c r="I52" i="63"/>
  <c r="P54" i="63"/>
  <c r="K53" i="63"/>
  <c r="L52" i="63"/>
  <c r="G52" i="63" s="1"/>
  <c r="Q53" i="63"/>
  <c r="N53" i="63"/>
  <c r="S54" i="63"/>
  <c r="O54" i="63"/>
  <c r="T55" i="63"/>
  <c r="M53" i="63"/>
  <c r="R54" i="63"/>
  <c r="S226" i="71" l="1"/>
  <c r="N225" i="71"/>
  <c r="P227" i="71"/>
  <c r="K226" i="71"/>
  <c r="G225" i="71"/>
  <c r="J225" i="71"/>
  <c r="H225" i="71"/>
  <c r="I225" i="71"/>
  <c r="F225" i="71"/>
  <c r="T227" i="71"/>
  <c r="O226" i="71"/>
  <c r="R227" i="71"/>
  <c r="M226" i="71"/>
  <c r="C227" i="71"/>
  <c r="E226" i="71"/>
  <c r="Q226" i="71"/>
  <c r="L225" i="71"/>
  <c r="M54" i="71"/>
  <c r="R55" i="71"/>
  <c r="S55" i="71"/>
  <c r="N54" i="71"/>
  <c r="L54" i="71"/>
  <c r="Q55" i="71"/>
  <c r="J53" i="71"/>
  <c r="I53" i="71"/>
  <c r="H53" i="71"/>
  <c r="G53" i="71"/>
  <c r="F53" i="71"/>
  <c r="E54" i="71"/>
  <c r="C55" i="71"/>
  <c r="K54" i="71"/>
  <c r="P55" i="71"/>
  <c r="T55" i="71"/>
  <c r="O54" i="71"/>
  <c r="R54" i="70"/>
  <c r="M53" i="70"/>
  <c r="H53" i="70" s="1"/>
  <c r="I53" i="70"/>
  <c r="G53" i="70"/>
  <c r="F53" i="70"/>
  <c r="C55" i="70"/>
  <c r="E54" i="70"/>
  <c r="S55" i="70"/>
  <c r="N54" i="70"/>
  <c r="K55" i="70"/>
  <c r="P56" i="70"/>
  <c r="Q55" i="70"/>
  <c r="L54" i="70"/>
  <c r="O53" i="70"/>
  <c r="J53" i="70" s="1"/>
  <c r="T54" i="70"/>
  <c r="L54" i="69"/>
  <c r="Q55" i="69"/>
  <c r="T55" i="69"/>
  <c r="O54" i="69"/>
  <c r="K54" i="69"/>
  <c r="P55" i="69"/>
  <c r="M54" i="69"/>
  <c r="R55" i="69"/>
  <c r="E54" i="69"/>
  <c r="C55" i="69"/>
  <c r="N54" i="69"/>
  <c r="S55" i="69"/>
  <c r="J53" i="69"/>
  <c r="I53" i="69"/>
  <c r="G53" i="69"/>
  <c r="H53" i="69"/>
  <c r="F53" i="69"/>
  <c r="P55" i="63"/>
  <c r="K54" i="63"/>
  <c r="T56" i="63"/>
  <c r="O55" i="63"/>
  <c r="N54" i="63"/>
  <c r="S55" i="63"/>
  <c r="Q54" i="63"/>
  <c r="L53" i="63"/>
  <c r="G53" i="63" s="1"/>
  <c r="E54" i="63"/>
  <c r="C55" i="63"/>
  <c r="R55" i="63"/>
  <c r="M54" i="63"/>
  <c r="F53" i="63"/>
  <c r="I53" i="63"/>
  <c r="J53" i="63"/>
  <c r="H53" i="63"/>
  <c r="Q227" i="71" l="1"/>
  <c r="L226" i="71"/>
  <c r="F226" i="71"/>
  <c r="H226" i="71"/>
  <c r="G226" i="71"/>
  <c r="I226" i="71"/>
  <c r="J226" i="71"/>
  <c r="M227" i="71"/>
  <c r="R228" i="71"/>
  <c r="K227" i="71"/>
  <c r="P228" i="71"/>
  <c r="E227" i="71"/>
  <c r="C228" i="71"/>
  <c r="T228" i="71"/>
  <c r="O227" i="71"/>
  <c r="S227" i="71"/>
  <c r="N226" i="71"/>
  <c r="O55" i="71"/>
  <c r="T56" i="71"/>
  <c r="P56" i="71"/>
  <c r="K55" i="71"/>
  <c r="L55" i="71"/>
  <c r="Q56" i="71"/>
  <c r="E55" i="71"/>
  <c r="C56" i="71"/>
  <c r="N55" i="71"/>
  <c r="S56" i="71"/>
  <c r="J54" i="71"/>
  <c r="I54" i="71"/>
  <c r="H54" i="71"/>
  <c r="F54" i="71"/>
  <c r="G54" i="71"/>
  <c r="M55" i="71"/>
  <c r="R56" i="71"/>
  <c r="C56" i="70"/>
  <c r="E55" i="70"/>
  <c r="L55" i="70"/>
  <c r="Q56" i="70"/>
  <c r="K56" i="70"/>
  <c r="P57" i="70"/>
  <c r="S56" i="70"/>
  <c r="N55" i="70"/>
  <c r="T55" i="70"/>
  <c r="O54" i="70"/>
  <c r="J54" i="70" s="1"/>
  <c r="I54" i="70"/>
  <c r="G54" i="70"/>
  <c r="F54" i="70"/>
  <c r="R55" i="70"/>
  <c r="M54" i="70"/>
  <c r="H54" i="70" s="1"/>
  <c r="M55" i="69"/>
  <c r="R56" i="69"/>
  <c r="P56" i="69"/>
  <c r="K55" i="69"/>
  <c r="N55" i="69"/>
  <c r="S56" i="69"/>
  <c r="O55" i="69"/>
  <c r="T56" i="69"/>
  <c r="E55" i="69"/>
  <c r="C56" i="69"/>
  <c r="Q56" i="69"/>
  <c r="L55" i="69"/>
  <c r="F54" i="69"/>
  <c r="J54" i="69"/>
  <c r="H54" i="69"/>
  <c r="I54" i="69"/>
  <c r="G54" i="69"/>
  <c r="Q55" i="63"/>
  <c r="L54" i="63"/>
  <c r="G54" i="63" s="1"/>
  <c r="S56" i="63"/>
  <c r="N55" i="63"/>
  <c r="R56" i="63"/>
  <c r="M55" i="63"/>
  <c r="T57" i="63"/>
  <c r="O56" i="63"/>
  <c r="C56" i="63"/>
  <c r="E55" i="63"/>
  <c r="I54" i="63"/>
  <c r="H54" i="63"/>
  <c r="F54" i="63"/>
  <c r="J54" i="63"/>
  <c r="P56" i="63"/>
  <c r="K55" i="63"/>
  <c r="N227" i="71" l="1"/>
  <c r="I227" i="71" s="1"/>
  <c r="S228" i="71"/>
  <c r="J227" i="71"/>
  <c r="H227" i="71"/>
  <c r="F227" i="71"/>
  <c r="E228" i="71"/>
  <c r="C229" i="71"/>
  <c r="K228" i="71"/>
  <c r="P229" i="71"/>
  <c r="O228" i="71"/>
  <c r="T229" i="71"/>
  <c r="M228" i="71"/>
  <c r="R229" i="71"/>
  <c r="L227" i="71"/>
  <c r="G227" i="71" s="1"/>
  <c r="Q228" i="71"/>
  <c r="E56" i="71"/>
  <c r="C57" i="71"/>
  <c r="F55" i="71"/>
  <c r="J55" i="71"/>
  <c r="I55" i="71"/>
  <c r="G55" i="71"/>
  <c r="H55" i="71"/>
  <c r="Q57" i="71"/>
  <c r="L56" i="71"/>
  <c r="P57" i="71"/>
  <c r="K56" i="71"/>
  <c r="N56" i="71"/>
  <c r="S57" i="71"/>
  <c r="O56" i="71"/>
  <c r="T57" i="71"/>
  <c r="M56" i="71"/>
  <c r="R57" i="71"/>
  <c r="M55" i="70"/>
  <c r="H55" i="70" s="1"/>
  <c r="R56" i="70"/>
  <c r="P58" i="70"/>
  <c r="K57" i="70"/>
  <c r="N56" i="70"/>
  <c r="S57" i="70"/>
  <c r="L56" i="70"/>
  <c r="Q57" i="70"/>
  <c r="I55" i="70"/>
  <c r="G55" i="70"/>
  <c r="F55" i="70"/>
  <c r="T56" i="70"/>
  <c r="O55" i="70"/>
  <c r="J55" i="70" s="1"/>
  <c r="E56" i="70"/>
  <c r="C57" i="70"/>
  <c r="T57" i="69"/>
  <c r="O56" i="69"/>
  <c r="N56" i="69"/>
  <c r="S57" i="69"/>
  <c r="Q57" i="69"/>
  <c r="L56" i="69"/>
  <c r="P57" i="69"/>
  <c r="K56" i="69"/>
  <c r="E56" i="69"/>
  <c r="C57" i="69"/>
  <c r="R57" i="69"/>
  <c r="M56" i="69"/>
  <c r="G55" i="69"/>
  <c r="F55" i="69"/>
  <c r="I55" i="69"/>
  <c r="J55" i="69"/>
  <c r="H55" i="69"/>
  <c r="K56" i="63"/>
  <c r="P57" i="63"/>
  <c r="T58" i="63"/>
  <c r="O57" i="63"/>
  <c r="R57" i="63"/>
  <c r="M56" i="63"/>
  <c r="S57" i="63"/>
  <c r="N56" i="63"/>
  <c r="J55" i="63"/>
  <c r="I55" i="63"/>
  <c r="H55" i="63"/>
  <c r="F55" i="63"/>
  <c r="C57" i="63"/>
  <c r="E56" i="63"/>
  <c r="Q56" i="63"/>
  <c r="L55" i="63"/>
  <c r="G55" i="63" s="1"/>
  <c r="H228" i="71" l="1"/>
  <c r="J228" i="71"/>
  <c r="F228" i="71"/>
  <c r="M229" i="71"/>
  <c r="R230" i="71"/>
  <c r="O229" i="71"/>
  <c r="T230" i="71"/>
  <c r="P230" i="71"/>
  <c r="K229" i="71"/>
  <c r="N228" i="71"/>
  <c r="I228" i="71" s="1"/>
  <c r="S229" i="71"/>
  <c r="L228" i="71"/>
  <c r="G228" i="71" s="1"/>
  <c r="Q229" i="71"/>
  <c r="E229" i="71"/>
  <c r="C230" i="71"/>
  <c r="Q58" i="71"/>
  <c r="L57" i="71"/>
  <c r="O57" i="71"/>
  <c r="T58" i="71"/>
  <c r="N57" i="71"/>
  <c r="S58" i="71"/>
  <c r="P58" i="71"/>
  <c r="K57" i="71"/>
  <c r="C58" i="71"/>
  <c r="E57" i="71"/>
  <c r="R58" i="71"/>
  <c r="M57" i="71"/>
  <c r="H56" i="71"/>
  <c r="G56" i="71"/>
  <c r="F56" i="71"/>
  <c r="I56" i="71"/>
  <c r="J56" i="71"/>
  <c r="L57" i="70"/>
  <c r="Q58" i="70"/>
  <c r="T57" i="70"/>
  <c r="O56" i="70"/>
  <c r="J56" i="70" s="1"/>
  <c r="N57" i="70"/>
  <c r="S58" i="70"/>
  <c r="P59" i="70"/>
  <c r="K58" i="70"/>
  <c r="F56" i="70"/>
  <c r="I56" i="70"/>
  <c r="G56" i="70"/>
  <c r="M56" i="70"/>
  <c r="H56" i="70" s="1"/>
  <c r="R57" i="70"/>
  <c r="E57" i="70"/>
  <c r="C58" i="70"/>
  <c r="P58" i="69"/>
  <c r="K57" i="69"/>
  <c r="Q58" i="69"/>
  <c r="L57" i="69"/>
  <c r="S58" i="69"/>
  <c r="N57" i="69"/>
  <c r="R58" i="69"/>
  <c r="M57" i="69"/>
  <c r="C58" i="69"/>
  <c r="E57" i="69"/>
  <c r="I56" i="69"/>
  <c r="H56" i="69"/>
  <c r="G56" i="69"/>
  <c r="F56" i="69"/>
  <c r="J56" i="69"/>
  <c r="O57" i="69"/>
  <c r="T58" i="69"/>
  <c r="L56" i="63"/>
  <c r="G56" i="63" s="1"/>
  <c r="Q57" i="63"/>
  <c r="J56" i="63"/>
  <c r="I56" i="63"/>
  <c r="H56" i="63"/>
  <c r="F56" i="63"/>
  <c r="S58" i="63"/>
  <c r="N57" i="63"/>
  <c r="E57" i="63"/>
  <c r="C58" i="63"/>
  <c r="M57" i="63"/>
  <c r="R58" i="63"/>
  <c r="T59" i="63"/>
  <c r="O58" i="63"/>
  <c r="K57" i="63"/>
  <c r="P58" i="63"/>
  <c r="J229" i="71" l="1"/>
  <c r="H229" i="71"/>
  <c r="N229" i="71"/>
  <c r="I229" i="71" s="1"/>
  <c r="S230" i="71"/>
  <c r="F229" i="71"/>
  <c r="L229" i="71"/>
  <c r="G229" i="71" s="1"/>
  <c r="Q230" i="71"/>
  <c r="P231" i="71"/>
  <c r="K230" i="71"/>
  <c r="M230" i="71"/>
  <c r="R231" i="71"/>
  <c r="C231" i="71"/>
  <c r="E230" i="71"/>
  <c r="T231" i="71"/>
  <c r="O230" i="71"/>
  <c r="J230" i="71" s="1"/>
  <c r="O58" i="71"/>
  <c r="T59" i="71"/>
  <c r="P59" i="71"/>
  <c r="K58" i="71"/>
  <c r="S59" i="71"/>
  <c r="N58" i="71"/>
  <c r="R59" i="71"/>
  <c r="M58" i="71"/>
  <c r="I57" i="71"/>
  <c r="H57" i="71"/>
  <c r="G57" i="71"/>
  <c r="F57" i="71"/>
  <c r="J57" i="71"/>
  <c r="C59" i="71"/>
  <c r="E58" i="71"/>
  <c r="Q59" i="71"/>
  <c r="L58" i="71"/>
  <c r="N58" i="70"/>
  <c r="S59" i="70"/>
  <c r="M57" i="70"/>
  <c r="R58" i="70"/>
  <c r="G57" i="70"/>
  <c r="F57" i="70"/>
  <c r="H57" i="70"/>
  <c r="I57" i="70"/>
  <c r="O57" i="70"/>
  <c r="J57" i="70" s="1"/>
  <c r="T58" i="70"/>
  <c r="P60" i="70"/>
  <c r="K59" i="70"/>
  <c r="Q59" i="70"/>
  <c r="L58" i="70"/>
  <c r="E58" i="70"/>
  <c r="C59" i="70"/>
  <c r="R59" i="69"/>
  <c r="M58" i="69"/>
  <c r="S59" i="69"/>
  <c r="N58" i="69"/>
  <c r="Q59" i="69"/>
  <c r="L58" i="69"/>
  <c r="J57" i="69"/>
  <c r="I57" i="69"/>
  <c r="H57" i="69"/>
  <c r="G57" i="69"/>
  <c r="F57" i="69"/>
  <c r="T59" i="69"/>
  <c r="O58" i="69"/>
  <c r="C59" i="69"/>
  <c r="E58" i="69"/>
  <c r="K58" i="69"/>
  <c r="P59" i="69"/>
  <c r="N58" i="63"/>
  <c r="S59" i="63"/>
  <c r="O59" i="63"/>
  <c r="T60" i="63"/>
  <c r="R59" i="63"/>
  <c r="M58" i="63"/>
  <c r="E58" i="63"/>
  <c r="C59" i="63"/>
  <c r="J57" i="63"/>
  <c r="I57" i="63"/>
  <c r="H57" i="63"/>
  <c r="F57" i="63"/>
  <c r="L57" i="63"/>
  <c r="G57" i="63" s="1"/>
  <c r="Q58" i="63"/>
  <c r="P59" i="63"/>
  <c r="K58" i="63"/>
  <c r="P232" i="71" l="1"/>
  <c r="K231" i="71"/>
  <c r="L230" i="71"/>
  <c r="G230" i="71" s="1"/>
  <c r="Q231" i="71"/>
  <c r="E231" i="71"/>
  <c r="C232" i="71"/>
  <c r="S231" i="71"/>
  <c r="N230" i="71"/>
  <c r="I230" i="71" s="1"/>
  <c r="M231" i="71"/>
  <c r="R232" i="71"/>
  <c r="H230" i="71"/>
  <c r="T232" i="71"/>
  <c r="O231" i="71"/>
  <c r="J231" i="71" s="1"/>
  <c r="F230" i="71"/>
  <c r="L59" i="71"/>
  <c r="Q60" i="71"/>
  <c r="J58" i="71"/>
  <c r="I58" i="71"/>
  <c r="H58" i="71"/>
  <c r="G58" i="71"/>
  <c r="F58" i="71"/>
  <c r="R60" i="71"/>
  <c r="M59" i="71"/>
  <c r="S60" i="71"/>
  <c r="N59" i="71"/>
  <c r="C60" i="71"/>
  <c r="E59" i="71"/>
  <c r="K59" i="71"/>
  <c r="P60" i="71"/>
  <c r="T60" i="71"/>
  <c r="O59" i="71"/>
  <c r="Q60" i="70"/>
  <c r="L59" i="70"/>
  <c r="P61" i="70"/>
  <c r="K60" i="70"/>
  <c r="M58" i="70"/>
  <c r="H58" i="70" s="1"/>
  <c r="R59" i="70"/>
  <c r="O58" i="70"/>
  <c r="J58" i="70" s="1"/>
  <c r="T59" i="70"/>
  <c r="N59" i="70"/>
  <c r="S60" i="70"/>
  <c r="G58" i="70"/>
  <c r="F58" i="70"/>
  <c r="I58" i="70"/>
  <c r="E59" i="70"/>
  <c r="C60" i="70"/>
  <c r="J58" i="69"/>
  <c r="I58" i="69"/>
  <c r="H58" i="69"/>
  <c r="G58" i="69"/>
  <c r="F58" i="69"/>
  <c r="L59" i="69"/>
  <c r="Q60" i="69"/>
  <c r="C60" i="69"/>
  <c r="E59" i="69"/>
  <c r="T60" i="69"/>
  <c r="O59" i="69"/>
  <c r="S60" i="69"/>
  <c r="N59" i="69"/>
  <c r="K59" i="69"/>
  <c r="P60" i="69"/>
  <c r="R60" i="69"/>
  <c r="M59" i="69"/>
  <c r="P60" i="63"/>
  <c r="K59" i="63"/>
  <c r="C60" i="63"/>
  <c r="E59" i="63"/>
  <c r="L58" i="63"/>
  <c r="G58" i="63" s="1"/>
  <c r="Q59" i="63"/>
  <c r="F58" i="63"/>
  <c r="J58" i="63"/>
  <c r="I58" i="63"/>
  <c r="H58" i="63"/>
  <c r="M59" i="63"/>
  <c r="R60" i="63"/>
  <c r="T61" i="63"/>
  <c r="O60" i="63"/>
  <c r="S60" i="63"/>
  <c r="N59" i="63"/>
  <c r="S232" i="71" l="1"/>
  <c r="N231" i="71"/>
  <c r="I231" i="71" s="1"/>
  <c r="C233" i="71"/>
  <c r="E232" i="71"/>
  <c r="O232" i="71"/>
  <c r="T233" i="71"/>
  <c r="Q232" i="71"/>
  <c r="L231" i="71"/>
  <c r="G231" i="71" s="1"/>
  <c r="R233" i="71"/>
  <c r="M232" i="71"/>
  <c r="F231" i="71"/>
  <c r="H231" i="71"/>
  <c r="P233" i="71"/>
  <c r="K232" i="71"/>
  <c r="F232" i="71" s="1"/>
  <c r="T61" i="71"/>
  <c r="O60" i="71"/>
  <c r="R61" i="71"/>
  <c r="M60" i="71"/>
  <c r="J59" i="71"/>
  <c r="I59" i="71"/>
  <c r="H59" i="71"/>
  <c r="G59" i="71"/>
  <c r="F59" i="71"/>
  <c r="C61" i="71"/>
  <c r="E60" i="71"/>
  <c r="K60" i="71"/>
  <c r="P61" i="71"/>
  <c r="S61" i="71"/>
  <c r="N60" i="71"/>
  <c r="L60" i="71"/>
  <c r="Q61" i="71"/>
  <c r="R60" i="70"/>
  <c r="M59" i="70"/>
  <c r="H59" i="70" s="1"/>
  <c r="I59" i="70"/>
  <c r="G59" i="70"/>
  <c r="F59" i="70"/>
  <c r="O59" i="70"/>
  <c r="J59" i="70" s="1"/>
  <c r="T60" i="70"/>
  <c r="K61" i="70"/>
  <c r="P62" i="70"/>
  <c r="S61" i="70"/>
  <c r="N60" i="70"/>
  <c r="C61" i="70"/>
  <c r="E60" i="70"/>
  <c r="Q61" i="70"/>
  <c r="L60" i="70"/>
  <c r="M60" i="69"/>
  <c r="R61" i="69"/>
  <c r="E60" i="69"/>
  <c r="C61" i="69"/>
  <c r="K60" i="69"/>
  <c r="P61" i="69"/>
  <c r="L60" i="69"/>
  <c r="Q61" i="69"/>
  <c r="S61" i="69"/>
  <c r="N60" i="69"/>
  <c r="T61" i="69"/>
  <c r="O60" i="69"/>
  <c r="J59" i="69"/>
  <c r="I59" i="69"/>
  <c r="H59" i="69"/>
  <c r="F59" i="69"/>
  <c r="G59" i="69"/>
  <c r="N60" i="63"/>
  <c r="S61" i="63"/>
  <c r="O61" i="63"/>
  <c r="T62" i="63"/>
  <c r="Q60" i="63"/>
  <c r="L59" i="63"/>
  <c r="G59" i="63" s="1"/>
  <c r="R61" i="63"/>
  <c r="M60" i="63"/>
  <c r="J59" i="63"/>
  <c r="H59" i="63"/>
  <c r="I59" i="63"/>
  <c r="F59" i="63"/>
  <c r="E60" i="63"/>
  <c r="C61" i="63"/>
  <c r="K60" i="63"/>
  <c r="P61" i="63"/>
  <c r="Q233" i="71" l="1"/>
  <c r="L232" i="71"/>
  <c r="G232" i="71" s="1"/>
  <c r="J232" i="71"/>
  <c r="E233" i="71"/>
  <c r="C234" i="71"/>
  <c r="E234" i="71" s="1"/>
  <c r="P234" i="71"/>
  <c r="K234" i="71" s="1"/>
  <c r="K233" i="71"/>
  <c r="F233" i="71" s="1"/>
  <c r="H232" i="71"/>
  <c r="O233" i="71"/>
  <c r="T234" i="71"/>
  <c r="O234" i="71" s="1"/>
  <c r="M233" i="71"/>
  <c r="R234" i="71"/>
  <c r="M234" i="71" s="1"/>
  <c r="S233" i="71"/>
  <c r="N232" i="71"/>
  <c r="I232" i="71" s="1"/>
  <c r="S62" i="71"/>
  <c r="N61" i="71"/>
  <c r="K61" i="71"/>
  <c r="P62" i="71"/>
  <c r="J60" i="71"/>
  <c r="I60" i="71"/>
  <c r="H60" i="71"/>
  <c r="G60" i="71"/>
  <c r="F60" i="71"/>
  <c r="M61" i="71"/>
  <c r="R62" i="71"/>
  <c r="E61" i="71"/>
  <c r="C62" i="71"/>
  <c r="L61" i="71"/>
  <c r="Q62" i="71"/>
  <c r="T62" i="71"/>
  <c r="O61" i="71"/>
  <c r="Q62" i="70"/>
  <c r="L61" i="70"/>
  <c r="C62" i="70"/>
  <c r="E61" i="70"/>
  <c r="I60" i="70"/>
  <c r="G60" i="70"/>
  <c r="F60" i="70"/>
  <c r="S62" i="70"/>
  <c r="N61" i="70"/>
  <c r="K62" i="70"/>
  <c r="P63" i="70"/>
  <c r="O60" i="70"/>
  <c r="J60" i="70" s="1"/>
  <c r="T61" i="70"/>
  <c r="R61" i="70"/>
  <c r="M60" i="70"/>
  <c r="H60" i="70" s="1"/>
  <c r="L61" i="69"/>
  <c r="Q62" i="69"/>
  <c r="K61" i="69"/>
  <c r="P62" i="69"/>
  <c r="E61" i="69"/>
  <c r="C62" i="69"/>
  <c r="T62" i="69"/>
  <c r="O61" i="69"/>
  <c r="J60" i="69"/>
  <c r="I60" i="69"/>
  <c r="G60" i="69"/>
  <c r="H60" i="69"/>
  <c r="F60" i="69"/>
  <c r="M61" i="69"/>
  <c r="R62" i="69"/>
  <c r="N61" i="69"/>
  <c r="S62" i="69"/>
  <c r="C62" i="63"/>
  <c r="E61" i="63"/>
  <c r="R62" i="63"/>
  <c r="M61" i="63"/>
  <c r="I60" i="63"/>
  <c r="H60" i="63"/>
  <c r="J60" i="63"/>
  <c r="F60" i="63"/>
  <c r="Q61" i="63"/>
  <c r="L60" i="63"/>
  <c r="G60" i="63" s="1"/>
  <c r="T63" i="63"/>
  <c r="O62" i="63"/>
  <c r="S62" i="63"/>
  <c r="N61" i="63"/>
  <c r="P62" i="63"/>
  <c r="K61" i="63"/>
  <c r="F234" i="71" l="1"/>
  <c r="H234" i="71"/>
  <c r="J234" i="71"/>
  <c r="J233" i="71"/>
  <c r="H233" i="71"/>
  <c r="S234" i="71"/>
  <c r="N234" i="71" s="1"/>
  <c r="I234" i="71" s="1"/>
  <c r="N233" i="71"/>
  <c r="I233" i="71" s="1"/>
  <c r="Q234" i="71"/>
  <c r="L234" i="71" s="1"/>
  <c r="G234" i="71" s="1"/>
  <c r="L233" i="71"/>
  <c r="G233" i="71" s="1"/>
  <c r="T63" i="71"/>
  <c r="O62" i="71"/>
  <c r="L62" i="71"/>
  <c r="Q63" i="71"/>
  <c r="E62" i="71"/>
  <c r="C63" i="71"/>
  <c r="J61" i="71"/>
  <c r="I61" i="71"/>
  <c r="H61" i="71"/>
  <c r="F61" i="71"/>
  <c r="G61" i="71"/>
  <c r="K62" i="71"/>
  <c r="P63" i="71"/>
  <c r="M62" i="71"/>
  <c r="R63" i="71"/>
  <c r="N62" i="71"/>
  <c r="S63" i="71"/>
  <c r="R62" i="70"/>
  <c r="M61" i="70"/>
  <c r="H61" i="70" s="1"/>
  <c r="K63" i="70"/>
  <c r="P64" i="70"/>
  <c r="T62" i="70"/>
  <c r="O61" i="70"/>
  <c r="J61" i="70" s="1"/>
  <c r="I61" i="70"/>
  <c r="G61" i="70"/>
  <c r="F61" i="70"/>
  <c r="E62" i="70"/>
  <c r="C63" i="70"/>
  <c r="S63" i="70"/>
  <c r="N62" i="70"/>
  <c r="L62" i="70"/>
  <c r="Q63" i="70"/>
  <c r="M62" i="69"/>
  <c r="R63" i="69"/>
  <c r="O62" i="69"/>
  <c r="T63" i="69"/>
  <c r="E62" i="69"/>
  <c r="C63" i="69"/>
  <c r="F61" i="69"/>
  <c r="J61" i="69"/>
  <c r="H61" i="69"/>
  <c r="I61" i="69"/>
  <c r="G61" i="69"/>
  <c r="P63" i="69"/>
  <c r="K62" i="69"/>
  <c r="L62" i="69"/>
  <c r="Q63" i="69"/>
  <c r="N62" i="69"/>
  <c r="S63" i="69"/>
  <c r="K62" i="63"/>
  <c r="P63" i="63"/>
  <c r="S63" i="63"/>
  <c r="N62" i="63"/>
  <c r="O63" i="63"/>
  <c r="T64" i="63"/>
  <c r="M62" i="63"/>
  <c r="R63" i="63"/>
  <c r="L61" i="63"/>
  <c r="G61" i="63" s="1"/>
  <c r="Q62" i="63"/>
  <c r="J61" i="63"/>
  <c r="I61" i="63"/>
  <c r="F61" i="63"/>
  <c r="H61" i="63"/>
  <c r="E62" i="63"/>
  <c r="C63" i="63"/>
  <c r="E63" i="71" l="1"/>
  <c r="C64" i="71"/>
  <c r="P64" i="71"/>
  <c r="K63" i="71"/>
  <c r="F62" i="71"/>
  <c r="J62" i="71"/>
  <c r="I62" i="71"/>
  <c r="H62" i="71"/>
  <c r="G62" i="71"/>
  <c r="L63" i="71"/>
  <c r="Q64" i="71"/>
  <c r="M63" i="71"/>
  <c r="R64" i="71"/>
  <c r="N63" i="71"/>
  <c r="S64" i="71"/>
  <c r="O63" i="71"/>
  <c r="T64" i="71"/>
  <c r="S64" i="70"/>
  <c r="N63" i="70"/>
  <c r="E63" i="70"/>
  <c r="C64" i="70"/>
  <c r="T63" i="70"/>
  <c r="O62" i="70"/>
  <c r="J62" i="70" s="1"/>
  <c r="I62" i="70"/>
  <c r="G62" i="70"/>
  <c r="F62" i="70"/>
  <c r="K64" i="70"/>
  <c r="P65" i="70"/>
  <c r="L63" i="70"/>
  <c r="Q64" i="70"/>
  <c r="R63" i="70"/>
  <c r="M62" i="70"/>
  <c r="H62" i="70" s="1"/>
  <c r="Q64" i="69"/>
  <c r="L63" i="69"/>
  <c r="E63" i="69"/>
  <c r="C64" i="69"/>
  <c r="G62" i="69"/>
  <c r="F62" i="69"/>
  <c r="J62" i="69"/>
  <c r="H62" i="69"/>
  <c r="I62" i="69"/>
  <c r="P64" i="69"/>
  <c r="K63" i="69"/>
  <c r="O63" i="69"/>
  <c r="T64" i="69"/>
  <c r="M63" i="69"/>
  <c r="R64" i="69"/>
  <c r="N63" i="69"/>
  <c r="S64" i="69"/>
  <c r="M63" i="63"/>
  <c r="R64" i="63"/>
  <c r="J62" i="63"/>
  <c r="I62" i="63"/>
  <c r="H62" i="63"/>
  <c r="F62" i="63"/>
  <c r="O64" i="63"/>
  <c r="T65" i="63"/>
  <c r="N63" i="63"/>
  <c r="S64" i="63"/>
  <c r="Q63" i="63"/>
  <c r="L62" i="63"/>
  <c r="G62" i="63" s="1"/>
  <c r="P64" i="63"/>
  <c r="K63" i="63"/>
  <c r="C64" i="63"/>
  <c r="E63" i="63"/>
  <c r="S65" i="71" l="1"/>
  <c r="N64" i="71"/>
  <c r="Q65" i="71"/>
  <c r="L64" i="71"/>
  <c r="P65" i="71"/>
  <c r="K64" i="71"/>
  <c r="R65" i="71"/>
  <c r="M64" i="71"/>
  <c r="C65" i="71"/>
  <c r="E64" i="71"/>
  <c r="T65" i="71"/>
  <c r="O64" i="71"/>
  <c r="G63" i="71"/>
  <c r="F63" i="71"/>
  <c r="J63" i="71"/>
  <c r="I63" i="71"/>
  <c r="H63" i="71"/>
  <c r="M63" i="70"/>
  <c r="H63" i="70" s="1"/>
  <c r="R64" i="70"/>
  <c r="T64" i="70"/>
  <c r="O63" i="70"/>
  <c r="J63" i="70" s="1"/>
  <c r="P66" i="70"/>
  <c r="K65" i="70"/>
  <c r="E64" i="70"/>
  <c r="C65" i="70"/>
  <c r="I63" i="70"/>
  <c r="F63" i="70"/>
  <c r="G63" i="70"/>
  <c r="L64" i="70"/>
  <c r="Q65" i="70"/>
  <c r="N64" i="70"/>
  <c r="S65" i="70"/>
  <c r="R65" i="69"/>
  <c r="M64" i="69"/>
  <c r="T65" i="69"/>
  <c r="O64" i="69"/>
  <c r="E64" i="69"/>
  <c r="C65" i="69"/>
  <c r="H63" i="69"/>
  <c r="J63" i="69"/>
  <c r="G63" i="69"/>
  <c r="F63" i="69"/>
  <c r="I63" i="69"/>
  <c r="K64" i="69"/>
  <c r="P65" i="69"/>
  <c r="N64" i="69"/>
  <c r="S65" i="69"/>
  <c r="Q65" i="69"/>
  <c r="L64" i="69"/>
  <c r="E64" i="63"/>
  <c r="C65" i="63"/>
  <c r="L63" i="63"/>
  <c r="G63" i="63" s="1"/>
  <c r="Q64" i="63"/>
  <c r="S65" i="63"/>
  <c r="N64" i="63"/>
  <c r="M64" i="63"/>
  <c r="R65" i="63"/>
  <c r="P65" i="63"/>
  <c r="K64" i="63"/>
  <c r="F63" i="63"/>
  <c r="H63" i="63"/>
  <c r="J63" i="63"/>
  <c r="I63" i="63"/>
  <c r="O65" i="63"/>
  <c r="T66" i="63"/>
  <c r="R66" i="71" l="1"/>
  <c r="M65" i="71"/>
  <c r="P66" i="71"/>
  <c r="K65" i="71"/>
  <c r="O65" i="71"/>
  <c r="T66" i="71"/>
  <c r="Q66" i="71"/>
  <c r="L65" i="71"/>
  <c r="H64" i="71"/>
  <c r="G64" i="71"/>
  <c r="F64" i="71"/>
  <c r="I64" i="71"/>
  <c r="J64" i="71"/>
  <c r="E65" i="71"/>
  <c r="C66" i="71"/>
  <c r="N65" i="71"/>
  <c r="S66" i="71"/>
  <c r="E65" i="70"/>
  <c r="C66" i="70"/>
  <c r="P67" i="70"/>
  <c r="K66" i="70"/>
  <c r="F64" i="70"/>
  <c r="J64" i="70"/>
  <c r="G64" i="70"/>
  <c r="I64" i="70"/>
  <c r="T65" i="70"/>
  <c r="O64" i="70"/>
  <c r="L65" i="70"/>
  <c r="Q66" i="70"/>
  <c r="M64" i="70"/>
  <c r="H64" i="70" s="1"/>
  <c r="R65" i="70"/>
  <c r="N65" i="70"/>
  <c r="S66" i="70"/>
  <c r="Q66" i="69"/>
  <c r="L65" i="69"/>
  <c r="S66" i="69"/>
  <c r="N65" i="69"/>
  <c r="C66" i="69"/>
  <c r="E65" i="69"/>
  <c r="P66" i="69"/>
  <c r="K65" i="69"/>
  <c r="I64" i="69"/>
  <c r="H64" i="69"/>
  <c r="G64" i="69"/>
  <c r="F64" i="69"/>
  <c r="J64" i="69"/>
  <c r="O65" i="69"/>
  <c r="T66" i="69"/>
  <c r="R66" i="69"/>
  <c r="M65" i="69"/>
  <c r="R66" i="63"/>
  <c r="M65" i="63"/>
  <c r="N65" i="63"/>
  <c r="S66" i="63"/>
  <c r="Q65" i="63"/>
  <c r="L64" i="63"/>
  <c r="G64" i="63" s="1"/>
  <c r="E65" i="63"/>
  <c r="C66" i="63"/>
  <c r="O66" i="63"/>
  <c r="T67" i="63"/>
  <c r="K65" i="63"/>
  <c r="P66" i="63"/>
  <c r="H64" i="63"/>
  <c r="I64" i="63"/>
  <c r="J64" i="63"/>
  <c r="F64" i="63"/>
  <c r="I65" i="71" l="1"/>
  <c r="H65" i="71"/>
  <c r="G65" i="71"/>
  <c r="F65" i="71"/>
  <c r="J65" i="71"/>
  <c r="O66" i="71"/>
  <c r="T67" i="71"/>
  <c r="C67" i="71"/>
  <c r="E66" i="71"/>
  <c r="P67" i="71"/>
  <c r="K66" i="71"/>
  <c r="Q67" i="71"/>
  <c r="L66" i="71"/>
  <c r="S67" i="71"/>
  <c r="N66" i="71"/>
  <c r="R67" i="71"/>
  <c r="M66" i="71"/>
  <c r="Q67" i="70"/>
  <c r="L66" i="70"/>
  <c r="M65" i="70"/>
  <c r="H65" i="70" s="1"/>
  <c r="R66" i="70"/>
  <c r="P68" i="70"/>
  <c r="K67" i="70"/>
  <c r="O65" i="70"/>
  <c r="J65" i="70" s="1"/>
  <c r="T66" i="70"/>
  <c r="E66" i="70"/>
  <c r="C67" i="70"/>
  <c r="N66" i="70"/>
  <c r="S67" i="70"/>
  <c r="G65" i="70"/>
  <c r="F65" i="70"/>
  <c r="I65" i="70"/>
  <c r="R67" i="69"/>
  <c r="M66" i="69"/>
  <c r="T67" i="69"/>
  <c r="O66" i="69"/>
  <c r="K66" i="69"/>
  <c r="P67" i="69"/>
  <c r="J65" i="69"/>
  <c r="I65" i="69"/>
  <c r="H65" i="69"/>
  <c r="G65" i="69"/>
  <c r="F65" i="69"/>
  <c r="C67" i="69"/>
  <c r="E66" i="69"/>
  <c r="S67" i="69"/>
  <c r="N66" i="69"/>
  <c r="Q67" i="69"/>
  <c r="L66" i="69"/>
  <c r="C67" i="63"/>
  <c r="E66" i="63"/>
  <c r="I65" i="63"/>
  <c r="H65" i="63"/>
  <c r="F65" i="63"/>
  <c r="J65" i="63"/>
  <c r="Q66" i="63"/>
  <c r="L65" i="63"/>
  <c r="G65" i="63" s="1"/>
  <c r="P67" i="63"/>
  <c r="K66" i="63"/>
  <c r="S67" i="63"/>
  <c r="N66" i="63"/>
  <c r="T68" i="63"/>
  <c r="O67" i="63"/>
  <c r="R67" i="63"/>
  <c r="M66" i="63"/>
  <c r="R68" i="71" l="1"/>
  <c r="M67" i="71"/>
  <c r="C68" i="71"/>
  <c r="E67" i="71"/>
  <c r="T68" i="71"/>
  <c r="O67" i="71"/>
  <c r="S68" i="71"/>
  <c r="N67" i="71"/>
  <c r="Q68" i="71"/>
  <c r="L67" i="71"/>
  <c r="K67" i="71"/>
  <c r="P68" i="71"/>
  <c r="J66" i="71"/>
  <c r="I66" i="71"/>
  <c r="H66" i="71"/>
  <c r="G66" i="71"/>
  <c r="F66" i="71"/>
  <c r="O66" i="70"/>
  <c r="T67" i="70"/>
  <c r="P69" i="70"/>
  <c r="K68" i="70"/>
  <c r="N67" i="70"/>
  <c r="S68" i="70"/>
  <c r="M66" i="70"/>
  <c r="H66" i="70" s="1"/>
  <c r="R67" i="70"/>
  <c r="E67" i="70"/>
  <c r="C68" i="70"/>
  <c r="G66" i="70"/>
  <c r="F66" i="70"/>
  <c r="J66" i="70"/>
  <c r="I66" i="70"/>
  <c r="Q68" i="70"/>
  <c r="L67" i="70"/>
  <c r="S68" i="69"/>
  <c r="N67" i="69"/>
  <c r="K67" i="69"/>
  <c r="P68" i="69"/>
  <c r="L67" i="69"/>
  <c r="Q68" i="69"/>
  <c r="J66" i="69"/>
  <c r="I66" i="69"/>
  <c r="H66" i="69"/>
  <c r="G66" i="69"/>
  <c r="F66" i="69"/>
  <c r="C68" i="69"/>
  <c r="E67" i="69"/>
  <c r="T68" i="69"/>
  <c r="O67" i="69"/>
  <c r="R68" i="69"/>
  <c r="M67" i="69"/>
  <c r="M67" i="63"/>
  <c r="R68" i="63"/>
  <c r="L66" i="63"/>
  <c r="G66" i="63" s="1"/>
  <c r="Q67" i="63"/>
  <c r="T69" i="63"/>
  <c r="O68" i="63"/>
  <c r="S68" i="63"/>
  <c r="N67" i="63"/>
  <c r="K67" i="63"/>
  <c r="P68" i="63"/>
  <c r="J66" i="63"/>
  <c r="I66" i="63"/>
  <c r="F66" i="63"/>
  <c r="H66" i="63"/>
  <c r="C68" i="63"/>
  <c r="E67" i="63"/>
  <c r="T69" i="71" l="1"/>
  <c r="O68" i="71"/>
  <c r="K68" i="71"/>
  <c r="P69" i="71"/>
  <c r="J67" i="71"/>
  <c r="I67" i="71"/>
  <c r="H67" i="71"/>
  <c r="G67" i="71"/>
  <c r="F67" i="71"/>
  <c r="S69" i="71"/>
  <c r="N68" i="71"/>
  <c r="C69" i="71"/>
  <c r="E68" i="71"/>
  <c r="L68" i="71"/>
  <c r="Q69" i="71"/>
  <c r="R69" i="71"/>
  <c r="M68" i="71"/>
  <c r="Q69" i="70"/>
  <c r="L68" i="70"/>
  <c r="R68" i="70"/>
  <c r="M67" i="70"/>
  <c r="H67" i="70" s="1"/>
  <c r="S69" i="70"/>
  <c r="N68" i="70"/>
  <c r="K69" i="70"/>
  <c r="P70" i="70"/>
  <c r="C69" i="70"/>
  <c r="E68" i="70"/>
  <c r="O67" i="70"/>
  <c r="J67" i="70" s="1"/>
  <c r="T68" i="70"/>
  <c r="I67" i="70"/>
  <c r="G67" i="70"/>
  <c r="F67" i="70"/>
  <c r="M68" i="69"/>
  <c r="R69" i="69"/>
  <c r="T69" i="69"/>
  <c r="O68" i="69"/>
  <c r="L68" i="69"/>
  <c r="Q69" i="69"/>
  <c r="J67" i="69"/>
  <c r="I67" i="69"/>
  <c r="H67" i="69"/>
  <c r="G67" i="69"/>
  <c r="F67" i="69"/>
  <c r="K68" i="69"/>
  <c r="P69" i="69"/>
  <c r="E68" i="69"/>
  <c r="C69" i="69"/>
  <c r="S69" i="69"/>
  <c r="N68" i="69"/>
  <c r="E68" i="63"/>
  <c r="C69" i="63"/>
  <c r="N68" i="63"/>
  <c r="S69" i="63"/>
  <c r="O69" i="63"/>
  <c r="T70" i="63"/>
  <c r="Q68" i="63"/>
  <c r="L67" i="63"/>
  <c r="G67" i="63" s="1"/>
  <c r="K68" i="63"/>
  <c r="P69" i="63"/>
  <c r="R69" i="63"/>
  <c r="M68" i="63"/>
  <c r="J67" i="63"/>
  <c r="H67" i="63"/>
  <c r="F67" i="63"/>
  <c r="I67" i="63"/>
  <c r="M69" i="71" l="1"/>
  <c r="R70" i="71"/>
  <c r="L69" i="71"/>
  <c r="Q70" i="71"/>
  <c r="J68" i="71"/>
  <c r="I68" i="71"/>
  <c r="H68" i="71"/>
  <c r="G68" i="71"/>
  <c r="F68" i="71"/>
  <c r="E69" i="71"/>
  <c r="C70" i="71"/>
  <c r="K69" i="71"/>
  <c r="P70" i="71"/>
  <c r="S70" i="71"/>
  <c r="N69" i="71"/>
  <c r="T70" i="71"/>
  <c r="O69" i="71"/>
  <c r="K70" i="70"/>
  <c r="P71" i="70"/>
  <c r="S70" i="70"/>
  <c r="N69" i="70"/>
  <c r="O68" i="70"/>
  <c r="J68" i="70" s="1"/>
  <c r="T69" i="70"/>
  <c r="R69" i="70"/>
  <c r="M68" i="70"/>
  <c r="H68" i="70" s="1"/>
  <c r="I68" i="70"/>
  <c r="G68" i="70"/>
  <c r="F68" i="70"/>
  <c r="C70" i="70"/>
  <c r="E69" i="70"/>
  <c r="Q70" i="70"/>
  <c r="L69" i="70"/>
  <c r="N69" i="69"/>
  <c r="S70" i="69"/>
  <c r="E69" i="69"/>
  <c r="C70" i="69"/>
  <c r="L69" i="69"/>
  <c r="Q70" i="69"/>
  <c r="K69" i="69"/>
  <c r="P70" i="69"/>
  <c r="J68" i="69"/>
  <c r="I68" i="69"/>
  <c r="H68" i="69"/>
  <c r="G68" i="69"/>
  <c r="F68" i="69"/>
  <c r="T70" i="69"/>
  <c r="O69" i="69"/>
  <c r="M69" i="69"/>
  <c r="R70" i="69"/>
  <c r="L68" i="63"/>
  <c r="G68" i="63" s="1"/>
  <c r="Q69" i="63"/>
  <c r="T71" i="63"/>
  <c r="O70" i="63"/>
  <c r="S70" i="63"/>
  <c r="N69" i="63"/>
  <c r="M69" i="63"/>
  <c r="R70" i="63"/>
  <c r="P70" i="63"/>
  <c r="K69" i="63"/>
  <c r="E69" i="63"/>
  <c r="C70" i="63"/>
  <c r="I68" i="63"/>
  <c r="H68" i="63"/>
  <c r="J68" i="63"/>
  <c r="F68" i="63"/>
  <c r="T71" i="71" l="1"/>
  <c r="O70" i="71"/>
  <c r="N70" i="71"/>
  <c r="S71" i="71"/>
  <c r="K70" i="71"/>
  <c r="P71" i="71"/>
  <c r="L70" i="71"/>
  <c r="Q71" i="71"/>
  <c r="E70" i="71"/>
  <c r="C71" i="71"/>
  <c r="J69" i="71"/>
  <c r="I69" i="71"/>
  <c r="H69" i="71"/>
  <c r="G69" i="71"/>
  <c r="F69" i="71"/>
  <c r="M70" i="71"/>
  <c r="R71" i="71"/>
  <c r="L70" i="70"/>
  <c r="Q71" i="70"/>
  <c r="T70" i="70"/>
  <c r="O69" i="70"/>
  <c r="J69" i="70" s="1"/>
  <c r="C71" i="70"/>
  <c r="E70" i="70"/>
  <c r="S71" i="70"/>
  <c r="N70" i="70"/>
  <c r="I69" i="70"/>
  <c r="G69" i="70"/>
  <c r="F69" i="70"/>
  <c r="K71" i="70"/>
  <c r="P72" i="70"/>
  <c r="R70" i="70"/>
  <c r="M69" i="70"/>
  <c r="H69" i="70" s="1"/>
  <c r="P71" i="69"/>
  <c r="K70" i="69"/>
  <c r="O70" i="69"/>
  <c r="T71" i="69"/>
  <c r="L70" i="69"/>
  <c r="Q71" i="69"/>
  <c r="E70" i="69"/>
  <c r="C71" i="69"/>
  <c r="F69" i="69"/>
  <c r="H69" i="69"/>
  <c r="J69" i="69"/>
  <c r="I69" i="69"/>
  <c r="G69" i="69"/>
  <c r="N70" i="69"/>
  <c r="S71" i="69"/>
  <c r="M70" i="69"/>
  <c r="R71" i="69"/>
  <c r="M70" i="63"/>
  <c r="R71" i="63"/>
  <c r="N70" i="63"/>
  <c r="S71" i="63"/>
  <c r="E70" i="63"/>
  <c r="C71" i="63"/>
  <c r="J69" i="63"/>
  <c r="I69" i="63"/>
  <c r="F69" i="63"/>
  <c r="H69" i="63"/>
  <c r="O71" i="63"/>
  <c r="T72" i="63"/>
  <c r="L69" i="63"/>
  <c r="G69" i="63" s="1"/>
  <c r="Q70" i="63"/>
  <c r="K70" i="63"/>
  <c r="P71" i="63"/>
  <c r="L71" i="71" l="1"/>
  <c r="Q72" i="71"/>
  <c r="P72" i="71"/>
  <c r="K71" i="71"/>
  <c r="N71" i="71"/>
  <c r="S72" i="71"/>
  <c r="E71" i="71"/>
  <c r="C72" i="71"/>
  <c r="M71" i="71"/>
  <c r="R72" i="71"/>
  <c r="F70" i="71"/>
  <c r="J70" i="71"/>
  <c r="I70" i="71"/>
  <c r="H70" i="71"/>
  <c r="G70" i="71"/>
  <c r="O71" i="71"/>
  <c r="T72" i="71"/>
  <c r="R71" i="70"/>
  <c r="M70" i="70"/>
  <c r="H70" i="70" s="1"/>
  <c r="I70" i="70"/>
  <c r="G70" i="70"/>
  <c r="F70" i="70"/>
  <c r="K72" i="70"/>
  <c r="P73" i="70"/>
  <c r="E71" i="70"/>
  <c r="C72" i="70"/>
  <c r="S72" i="70"/>
  <c r="N71" i="70"/>
  <c r="T71" i="70"/>
  <c r="O70" i="70"/>
  <c r="J70" i="70" s="1"/>
  <c r="L71" i="70"/>
  <c r="Q72" i="70"/>
  <c r="E71" i="69"/>
  <c r="C72" i="69"/>
  <c r="N71" i="69"/>
  <c r="S72" i="69"/>
  <c r="G70" i="69"/>
  <c r="F70" i="69"/>
  <c r="I70" i="69"/>
  <c r="J70" i="69"/>
  <c r="H70" i="69"/>
  <c r="Q72" i="69"/>
  <c r="L71" i="69"/>
  <c r="O71" i="69"/>
  <c r="T72" i="69"/>
  <c r="M71" i="69"/>
  <c r="R72" i="69"/>
  <c r="P72" i="69"/>
  <c r="K71" i="69"/>
  <c r="E71" i="63"/>
  <c r="C72" i="63"/>
  <c r="L70" i="63"/>
  <c r="G70" i="63" s="1"/>
  <c r="Q71" i="63"/>
  <c r="F70" i="63"/>
  <c r="J70" i="63"/>
  <c r="I70" i="63"/>
  <c r="H70" i="63"/>
  <c r="O72" i="63"/>
  <c r="T73" i="63"/>
  <c r="N71" i="63"/>
  <c r="S72" i="63"/>
  <c r="R72" i="63"/>
  <c r="M71" i="63"/>
  <c r="P72" i="63"/>
  <c r="K71" i="63"/>
  <c r="E72" i="71" l="1"/>
  <c r="C73" i="71"/>
  <c r="N72" i="71"/>
  <c r="S73" i="71"/>
  <c r="G71" i="71"/>
  <c r="F71" i="71"/>
  <c r="J71" i="71"/>
  <c r="I71" i="71"/>
  <c r="H71" i="71"/>
  <c r="P73" i="71"/>
  <c r="K72" i="71"/>
  <c r="M72" i="71"/>
  <c r="R73" i="71"/>
  <c r="Q73" i="71"/>
  <c r="L72" i="71"/>
  <c r="O72" i="71"/>
  <c r="T73" i="71"/>
  <c r="T72" i="70"/>
  <c r="O71" i="70"/>
  <c r="N72" i="70"/>
  <c r="S73" i="70"/>
  <c r="E72" i="70"/>
  <c r="C73" i="70"/>
  <c r="J71" i="70"/>
  <c r="I71" i="70"/>
  <c r="F71" i="70"/>
  <c r="G71" i="70"/>
  <c r="L72" i="70"/>
  <c r="Q73" i="70"/>
  <c r="P74" i="70"/>
  <c r="K73" i="70"/>
  <c r="M71" i="70"/>
  <c r="H71" i="70" s="1"/>
  <c r="R72" i="70"/>
  <c r="P73" i="69"/>
  <c r="K72" i="69"/>
  <c r="R73" i="69"/>
  <c r="M72" i="69"/>
  <c r="O72" i="69"/>
  <c r="T73" i="69"/>
  <c r="N72" i="69"/>
  <c r="S73" i="69"/>
  <c r="Q73" i="69"/>
  <c r="L72" i="69"/>
  <c r="E72" i="69"/>
  <c r="C73" i="69"/>
  <c r="H71" i="69"/>
  <c r="G71" i="69"/>
  <c r="F71" i="69"/>
  <c r="J71" i="69"/>
  <c r="I71" i="69"/>
  <c r="P73" i="63"/>
  <c r="K72" i="63"/>
  <c r="M72" i="63"/>
  <c r="R73" i="63"/>
  <c r="N72" i="63"/>
  <c r="S73" i="63"/>
  <c r="L71" i="63"/>
  <c r="G71" i="63" s="1"/>
  <c r="Q72" i="63"/>
  <c r="T74" i="63"/>
  <c r="O73" i="63"/>
  <c r="E72" i="63"/>
  <c r="C73" i="63"/>
  <c r="F71" i="63"/>
  <c r="H71" i="63"/>
  <c r="I71" i="63"/>
  <c r="J71" i="63"/>
  <c r="Q74" i="71" l="1"/>
  <c r="L73" i="71"/>
  <c r="R74" i="71"/>
  <c r="M73" i="71"/>
  <c r="N73" i="71"/>
  <c r="S74" i="71"/>
  <c r="P74" i="71"/>
  <c r="K73" i="71"/>
  <c r="E73" i="71"/>
  <c r="C74" i="71"/>
  <c r="O73" i="71"/>
  <c r="T74" i="71"/>
  <c r="H72" i="71"/>
  <c r="G72" i="71"/>
  <c r="F72" i="71"/>
  <c r="J72" i="71"/>
  <c r="I72" i="71"/>
  <c r="P75" i="70"/>
  <c r="K74" i="70"/>
  <c r="E73" i="70"/>
  <c r="C74" i="70"/>
  <c r="L73" i="70"/>
  <c r="Q74" i="70"/>
  <c r="F72" i="70"/>
  <c r="I72" i="70"/>
  <c r="G72" i="70"/>
  <c r="N73" i="70"/>
  <c r="S74" i="70"/>
  <c r="M72" i="70"/>
  <c r="H72" i="70" s="1"/>
  <c r="R73" i="70"/>
  <c r="T73" i="70"/>
  <c r="O72" i="70"/>
  <c r="J72" i="70" s="1"/>
  <c r="S74" i="69"/>
  <c r="N73" i="69"/>
  <c r="O73" i="69"/>
  <c r="T74" i="69"/>
  <c r="C74" i="69"/>
  <c r="E73" i="69"/>
  <c r="I72" i="69"/>
  <c r="H72" i="69"/>
  <c r="G72" i="69"/>
  <c r="F72" i="69"/>
  <c r="J72" i="69"/>
  <c r="R74" i="69"/>
  <c r="M73" i="69"/>
  <c r="Q74" i="69"/>
  <c r="L73" i="69"/>
  <c r="P74" i="69"/>
  <c r="K73" i="69"/>
  <c r="Q73" i="63"/>
  <c r="L72" i="63"/>
  <c r="G72" i="63" s="1"/>
  <c r="N73" i="63"/>
  <c r="S74" i="63"/>
  <c r="E73" i="63"/>
  <c r="C74" i="63"/>
  <c r="R74" i="63"/>
  <c r="M73" i="63"/>
  <c r="H72" i="63"/>
  <c r="I72" i="63"/>
  <c r="J72" i="63"/>
  <c r="F72" i="63"/>
  <c r="O74" i="63"/>
  <c r="T75" i="63"/>
  <c r="K73" i="63"/>
  <c r="P74" i="63"/>
  <c r="S75" i="71" l="1"/>
  <c r="N74" i="71"/>
  <c r="P75" i="71"/>
  <c r="K74" i="71"/>
  <c r="O74" i="71"/>
  <c r="T75" i="71"/>
  <c r="R75" i="71"/>
  <c r="M74" i="71"/>
  <c r="C75" i="71"/>
  <c r="E74" i="71"/>
  <c r="I73" i="71"/>
  <c r="H73" i="71"/>
  <c r="G73" i="71"/>
  <c r="F73" i="71"/>
  <c r="J73" i="71"/>
  <c r="Q75" i="71"/>
  <c r="L74" i="71"/>
  <c r="O73" i="70"/>
  <c r="T74" i="70"/>
  <c r="Q75" i="70"/>
  <c r="L74" i="70"/>
  <c r="S75" i="70"/>
  <c r="N74" i="70"/>
  <c r="E74" i="70"/>
  <c r="C75" i="70"/>
  <c r="M73" i="70"/>
  <c r="R74" i="70"/>
  <c r="G73" i="70"/>
  <c r="F73" i="70"/>
  <c r="J73" i="70"/>
  <c r="I73" i="70"/>
  <c r="H73" i="70"/>
  <c r="P76" i="70"/>
  <c r="K75" i="70"/>
  <c r="K74" i="69"/>
  <c r="P75" i="69"/>
  <c r="Q75" i="69"/>
  <c r="L74" i="69"/>
  <c r="J73" i="69"/>
  <c r="I73" i="69"/>
  <c r="H73" i="69"/>
  <c r="G73" i="69"/>
  <c r="F73" i="69"/>
  <c r="C75" i="69"/>
  <c r="E74" i="69"/>
  <c r="R75" i="69"/>
  <c r="M74" i="69"/>
  <c r="T75" i="69"/>
  <c r="O74" i="69"/>
  <c r="S75" i="69"/>
  <c r="N74" i="69"/>
  <c r="T76" i="63"/>
  <c r="O75" i="63"/>
  <c r="C75" i="63"/>
  <c r="E74" i="63"/>
  <c r="I73" i="63"/>
  <c r="H73" i="63"/>
  <c r="F73" i="63"/>
  <c r="J73" i="63"/>
  <c r="S75" i="63"/>
  <c r="N74" i="63"/>
  <c r="R75" i="63"/>
  <c r="M74" i="63"/>
  <c r="P75" i="63"/>
  <c r="K74" i="63"/>
  <c r="Q74" i="63"/>
  <c r="L73" i="63"/>
  <c r="G73" i="63" s="1"/>
  <c r="Q76" i="71" l="1"/>
  <c r="L75" i="71"/>
  <c r="T76" i="71"/>
  <c r="O75" i="71"/>
  <c r="K75" i="71"/>
  <c r="P76" i="71"/>
  <c r="J74" i="71"/>
  <c r="I74" i="71"/>
  <c r="H74" i="71"/>
  <c r="G74" i="71"/>
  <c r="F74" i="71"/>
  <c r="R76" i="71"/>
  <c r="M75" i="71"/>
  <c r="C76" i="71"/>
  <c r="E75" i="71"/>
  <c r="S76" i="71"/>
  <c r="N75" i="71"/>
  <c r="P77" i="70"/>
  <c r="K76" i="70"/>
  <c r="C76" i="70"/>
  <c r="E75" i="70"/>
  <c r="S76" i="70"/>
  <c r="N75" i="70"/>
  <c r="Q76" i="70"/>
  <c r="L75" i="70"/>
  <c r="R75" i="70"/>
  <c r="M74" i="70"/>
  <c r="H74" i="70" s="1"/>
  <c r="T75" i="70"/>
  <c r="O74" i="70"/>
  <c r="J74" i="70" s="1"/>
  <c r="G74" i="70"/>
  <c r="F74" i="70"/>
  <c r="I74" i="70"/>
  <c r="S76" i="69"/>
  <c r="N75" i="69"/>
  <c r="T76" i="69"/>
  <c r="O75" i="69"/>
  <c r="R76" i="69"/>
  <c r="M75" i="69"/>
  <c r="J74" i="69"/>
  <c r="I74" i="69"/>
  <c r="H74" i="69"/>
  <c r="G74" i="69"/>
  <c r="F74" i="69"/>
  <c r="L75" i="69"/>
  <c r="Q76" i="69"/>
  <c r="C76" i="69"/>
  <c r="E75" i="69"/>
  <c r="K75" i="69"/>
  <c r="P76" i="69"/>
  <c r="L74" i="63"/>
  <c r="G74" i="63" s="1"/>
  <c r="Q75" i="63"/>
  <c r="K75" i="63"/>
  <c r="P76" i="63"/>
  <c r="J74" i="63"/>
  <c r="I74" i="63"/>
  <c r="F74" i="63"/>
  <c r="H74" i="63"/>
  <c r="M75" i="63"/>
  <c r="R76" i="63"/>
  <c r="C76" i="63"/>
  <c r="E75" i="63"/>
  <c r="S76" i="63"/>
  <c r="N75" i="63"/>
  <c r="T77" i="63"/>
  <c r="O76" i="63"/>
  <c r="J75" i="71" l="1"/>
  <c r="I75" i="71"/>
  <c r="H75" i="71"/>
  <c r="G75" i="71"/>
  <c r="F75" i="71"/>
  <c r="S77" i="71"/>
  <c r="N76" i="71"/>
  <c r="C77" i="71"/>
  <c r="E76" i="71"/>
  <c r="K76" i="71"/>
  <c r="P77" i="71"/>
  <c r="R77" i="71"/>
  <c r="M76" i="71"/>
  <c r="T77" i="71"/>
  <c r="O76" i="71"/>
  <c r="L76" i="71"/>
  <c r="Q77" i="71"/>
  <c r="S77" i="70"/>
  <c r="N76" i="70"/>
  <c r="I75" i="70"/>
  <c r="G75" i="70"/>
  <c r="F75" i="70"/>
  <c r="J75" i="70"/>
  <c r="Q77" i="70"/>
  <c r="L76" i="70"/>
  <c r="O75" i="70"/>
  <c r="T76" i="70"/>
  <c r="C77" i="70"/>
  <c r="E76" i="70"/>
  <c r="R76" i="70"/>
  <c r="M75" i="70"/>
  <c r="H75" i="70" s="1"/>
  <c r="K77" i="70"/>
  <c r="P78" i="70"/>
  <c r="J75" i="69"/>
  <c r="I75" i="69"/>
  <c r="H75" i="69"/>
  <c r="G75" i="69"/>
  <c r="F75" i="69"/>
  <c r="E76" i="69"/>
  <c r="C77" i="69"/>
  <c r="L76" i="69"/>
  <c r="Q77" i="69"/>
  <c r="M76" i="69"/>
  <c r="R77" i="69"/>
  <c r="T77" i="69"/>
  <c r="O76" i="69"/>
  <c r="K76" i="69"/>
  <c r="P77" i="69"/>
  <c r="S77" i="69"/>
  <c r="N76" i="69"/>
  <c r="O77" i="63"/>
  <c r="T78" i="63"/>
  <c r="N76" i="63"/>
  <c r="S77" i="63"/>
  <c r="J75" i="63"/>
  <c r="H75" i="63"/>
  <c r="I75" i="63"/>
  <c r="F75" i="63"/>
  <c r="E76" i="63"/>
  <c r="C77" i="63"/>
  <c r="K76" i="63"/>
  <c r="P77" i="63"/>
  <c r="R77" i="63"/>
  <c r="M76" i="63"/>
  <c r="Q76" i="63"/>
  <c r="L75" i="63"/>
  <c r="G75" i="63" s="1"/>
  <c r="E77" i="71" l="1"/>
  <c r="C78" i="71"/>
  <c r="S78" i="71"/>
  <c r="N77" i="71"/>
  <c r="T78" i="71"/>
  <c r="O77" i="71"/>
  <c r="M77" i="71"/>
  <c r="R78" i="71"/>
  <c r="K77" i="71"/>
  <c r="P78" i="71"/>
  <c r="L77" i="71"/>
  <c r="Q78" i="71"/>
  <c r="J76" i="71"/>
  <c r="I76" i="71"/>
  <c r="H76" i="71"/>
  <c r="G76" i="71"/>
  <c r="F76" i="71"/>
  <c r="Q78" i="70"/>
  <c r="L77" i="70"/>
  <c r="R77" i="70"/>
  <c r="M76" i="70"/>
  <c r="H76" i="70" s="1"/>
  <c r="J76" i="70"/>
  <c r="I76" i="70"/>
  <c r="G76" i="70"/>
  <c r="F76" i="70"/>
  <c r="C78" i="70"/>
  <c r="E77" i="70"/>
  <c r="O76" i="70"/>
  <c r="T77" i="70"/>
  <c r="K78" i="70"/>
  <c r="P79" i="70"/>
  <c r="S78" i="70"/>
  <c r="N77" i="70"/>
  <c r="S78" i="69"/>
  <c r="N77" i="69"/>
  <c r="J76" i="69"/>
  <c r="I76" i="69"/>
  <c r="H76" i="69"/>
  <c r="G76" i="69"/>
  <c r="F76" i="69"/>
  <c r="P78" i="69"/>
  <c r="K77" i="69"/>
  <c r="T78" i="69"/>
  <c r="O77" i="69"/>
  <c r="C78" i="69"/>
  <c r="E77" i="69"/>
  <c r="M77" i="69"/>
  <c r="R78" i="69"/>
  <c r="Q78" i="69"/>
  <c r="L77" i="69"/>
  <c r="L76" i="63"/>
  <c r="G76" i="63" s="1"/>
  <c r="Q77" i="63"/>
  <c r="M77" i="63"/>
  <c r="R78" i="63"/>
  <c r="K77" i="63"/>
  <c r="P78" i="63"/>
  <c r="S78" i="63"/>
  <c r="N77" i="63"/>
  <c r="I76" i="63"/>
  <c r="H76" i="63"/>
  <c r="J76" i="63"/>
  <c r="F76" i="63"/>
  <c r="T79" i="63"/>
  <c r="O78" i="63"/>
  <c r="E77" i="63"/>
  <c r="C78" i="63"/>
  <c r="M78" i="71" l="1"/>
  <c r="R79" i="71"/>
  <c r="T79" i="71"/>
  <c r="O78" i="71"/>
  <c r="L78" i="71"/>
  <c r="Q79" i="71"/>
  <c r="N78" i="71"/>
  <c r="S79" i="71"/>
  <c r="K78" i="71"/>
  <c r="P79" i="71"/>
  <c r="E78" i="71"/>
  <c r="C79" i="71"/>
  <c r="J77" i="71"/>
  <c r="I77" i="71"/>
  <c r="H77" i="71"/>
  <c r="G77" i="71"/>
  <c r="F77" i="71"/>
  <c r="S79" i="70"/>
  <c r="N78" i="70"/>
  <c r="K79" i="70"/>
  <c r="P80" i="70"/>
  <c r="T78" i="70"/>
  <c r="O77" i="70"/>
  <c r="J77" i="70" s="1"/>
  <c r="I77" i="70"/>
  <c r="G77" i="70"/>
  <c r="F77" i="70"/>
  <c r="R78" i="70"/>
  <c r="M77" i="70"/>
  <c r="H77" i="70" s="1"/>
  <c r="C79" i="70"/>
  <c r="E78" i="70"/>
  <c r="L78" i="70"/>
  <c r="Q79" i="70"/>
  <c r="K78" i="69"/>
  <c r="P79" i="69"/>
  <c r="Q79" i="69"/>
  <c r="L78" i="69"/>
  <c r="R79" i="69"/>
  <c r="M78" i="69"/>
  <c r="F77" i="69"/>
  <c r="J77" i="69"/>
  <c r="I77" i="69"/>
  <c r="H77" i="69"/>
  <c r="G77" i="69"/>
  <c r="E78" i="69"/>
  <c r="C79" i="69"/>
  <c r="T79" i="69"/>
  <c r="O78" i="69"/>
  <c r="N78" i="69"/>
  <c r="S79" i="69"/>
  <c r="J77" i="63"/>
  <c r="I77" i="63"/>
  <c r="F77" i="63"/>
  <c r="H77" i="63"/>
  <c r="N78" i="63"/>
  <c r="S79" i="63"/>
  <c r="O79" i="63"/>
  <c r="T80" i="63"/>
  <c r="K78" i="63"/>
  <c r="P79" i="63"/>
  <c r="M78" i="63"/>
  <c r="R79" i="63"/>
  <c r="L77" i="63"/>
  <c r="G77" i="63" s="1"/>
  <c r="Q78" i="63"/>
  <c r="E78" i="63"/>
  <c r="C79" i="63"/>
  <c r="N79" i="71" l="1"/>
  <c r="S80" i="71"/>
  <c r="L79" i="71"/>
  <c r="Q80" i="71"/>
  <c r="E79" i="71"/>
  <c r="C80" i="71"/>
  <c r="F78" i="71"/>
  <c r="J78" i="71"/>
  <c r="I78" i="71"/>
  <c r="H78" i="71"/>
  <c r="G78" i="71"/>
  <c r="O79" i="71"/>
  <c r="T80" i="71"/>
  <c r="P80" i="71"/>
  <c r="K79" i="71"/>
  <c r="M79" i="71"/>
  <c r="R80" i="71"/>
  <c r="I78" i="70"/>
  <c r="G78" i="70"/>
  <c r="F78" i="70"/>
  <c r="E79" i="70"/>
  <c r="C80" i="70"/>
  <c r="T79" i="70"/>
  <c r="O78" i="70"/>
  <c r="J78" i="70" s="1"/>
  <c r="R79" i="70"/>
  <c r="M78" i="70"/>
  <c r="H78" i="70" s="1"/>
  <c r="K80" i="70"/>
  <c r="P81" i="70"/>
  <c r="L79" i="70"/>
  <c r="Q80" i="70"/>
  <c r="S80" i="70"/>
  <c r="N79" i="70"/>
  <c r="T80" i="69"/>
  <c r="O79" i="69"/>
  <c r="C80" i="69"/>
  <c r="E79" i="69"/>
  <c r="R80" i="69"/>
  <c r="M79" i="69"/>
  <c r="H78" i="69"/>
  <c r="F78" i="69"/>
  <c r="I78" i="69"/>
  <c r="J78" i="69"/>
  <c r="G78" i="69"/>
  <c r="L79" i="69"/>
  <c r="Q80" i="69"/>
  <c r="K79" i="69"/>
  <c r="P80" i="69"/>
  <c r="S80" i="69"/>
  <c r="N79" i="69"/>
  <c r="F78" i="63"/>
  <c r="J78" i="63"/>
  <c r="H78" i="63"/>
  <c r="I78" i="63"/>
  <c r="Q79" i="63"/>
  <c r="L78" i="63"/>
  <c r="G78" i="63" s="1"/>
  <c r="N79" i="63"/>
  <c r="S80" i="63"/>
  <c r="M79" i="63"/>
  <c r="R80" i="63"/>
  <c r="P80" i="63"/>
  <c r="K79" i="63"/>
  <c r="C80" i="63"/>
  <c r="E79" i="63"/>
  <c r="O80" i="63"/>
  <c r="T81" i="63"/>
  <c r="P81" i="71" l="1"/>
  <c r="K80" i="71"/>
  <c r="E80" i="71"/>
  <c r="C81" i="71"/>
  <c r="O80" i="71"/>
  <c r="T81" i="71"/>
  <c r="G79" i="71"/>
  <c r="F79" i="71"/>
  <c r="J79" i="71"/>
  <c r="I79" i="71"/>
  <c r="H79" i="71"/>
  <c r="Q81" i="71"/>
  <c r="L80" i="71"/>
  <c r="N80" i="71"/>
  <c r="S81" i="71"/>
  <c r="M80" i="71"/>
  <c r="R81" i="71"/>
  <c r="E80" i="70"/>
  <c r="C81" i="70"/>
  <c r="N80" i="70"/>
  <c r="S81" i="70"/>
  <c r="T80" i="70"/>
  <c r="O79" i="70"/>
  <c r="J79" i="70" s="1"/>
  <c r="I79" i="70"/>
  <c r="F79" i="70"/>
  <c r="G79" i="70"/>
  <c r="P82" i="70"/>
  <c r="K81" i="70"/>
  <c r="L80" i="70"/>
  <c r="Q81" i="70"/>
  <c r="M79" i="70"/>
  <c r="H79" i="70" s="1"/>
  <c r="R80" i="70"/>
  <c r="S81" i="69"/>
  <c r="N80" i="69"/>
  <c r="K80" i="69"/>
  <c r="P81" i="69"/>
  <c r="Q81" i="69"/>
  <c r="L80" i="69"/>
  <c r="R81" i="69"/>
  <c r="M80" i="69"/>
  <c r="J79" i="69"/>
  <c r="I79" i="69"/>
  <c r="F79" i="69"/>
  <c r="H79" i="69"/>
  <c r="G79" i="69"/>
  <c r="C81" i="69"/>
  <c r="E80" i="69"/>
  <c r="T81" i="69"/>
  <c r="O80" i="69"/>
  <c r="E80" i="63"/>
  <c r="C81" i="63"/>
  <c r="L79" i="63"/>
  <c r="G79" i="63" s="1"/>
  <c r="Q80" i="63"/>
  <c r="P81" i="63"/>
  <c r="K80" i="63"/>
  <c r="M80" i="63"/>
  <c r="R81" i="63"/>
  <c r="F79" i="63"/>
  <c r="H79" i="63"/>
  <c r="J79" i="63"/>
  <c r="I79" i="63"/>
  <c r="O81" i="63"/>
  <c r="T82" i="63"/>
  <c r="S81" i="63"/>
  <c r="N80" i="63"/>
  <c r="N81" i="71" l="1"/>
  <c r="S82" i="71"/>
  <c r="O81" i="71"/>
  <c r="T82" i="71"/>
  <c r="Q82" i="71"/>
  <c r="L81" i="71"/>
  <c r="E81" i="71"/>
  <c r="C82" i="71"/>
  <c r="H80" i="71"/>
  <c r="G80" i="71"/>
  <c r="F80" i="71"/>
  <c r="J80" i="71"/>
  <c r="I80" i="71"/>
  <c r="R82" i="71"/>
  <c r="M81" i="71"/>
  <c r="P82" i="71"/>
  <c r="K81" i="71"/>
  <c r="L81" i="70"/>
  <c r="Q82" i="70"/>
  <c r="T81" i="70"/>
  <c r="O80" i="70"/>
  <c r="P83" i="70"/>
  <c r="K82" i="70"/>
  <c r="N81" i="70"/>
  <c r="S82" i="70"/>
  <c r="E81" i="70"/>
  <c r="C82" i="70"/>
  <c r="M80" i="70"/>
  <c r="H80" i="70" s="1"/>
  <c r="R81" i="70"/>
  <c r="F80" i="70"/>
  <c r="J80" i="70"/>
  <c r="I80" i="70"/>
  <c r="G80" i="70"/>
  <c r="T82" i="69"/>
  <c r="O81" i="69"/>
  <c r="J80" i="69"/>
  <c r="G80" i="69"/>
  <c r="F80" i="69"/>
  <c r="I80" i="69"/>
  <c r="H80" i="69"/>
  <c r="M81" i="69"/>
  <c r="R82" i="69"/>
  <c r="E81" i="69"/>
  <c r="C82" i="69"/>
  <c r="L81" i="69"/>
  <c r="Q82" i="69"/>
  <c r="K81" i="69"/>
  <c r="P82" i="69"/>
  <c r="S82" i="69"/>
  <c r="N81" i="69"/>
  <c r="R82" i="63"/>
  <c r="M81" i="63"/>
  <c r="N81" i="63"/>
  <c r="S82" i="63"/>
  <c r="O82" i="63"/>
  <c r="T83" i="63"/>
  <c r="K81" i="63"/>
  <c r="P82" i="63"/>
  <c r="Q81" i="63"/>
  <c r="L80" i="63"/>
  <c r="G80" i="63" s="1"/>
  <c r="E81" i="63"/>
  <c r="C82" i="63"/>
  <c r="H80" i="63"/>
  <c r="I80" i="63"/>
  <c r="F80" i="63"/>
  <c r="J80" i="63"/>
  <c r="P83" i="71" l="1"/>
  <c r="K82" i="71"/>
  <c r="C83" i="71"/>
  <c r="E82" i="71"/>
  <c r="I81" i="71"/>
  <c r="H81" i="71"/>
  <c r="G81" i="71"/>
  <c r="F81" i="71"/>
  <c r="J81" i="71"/>
  <c r="R83" i="71"/>
  <c r="M82" i="71"/>
  <c r="Q83" i="71"/>
  <c r="L82" i="71"/>
  <c r="O82" i="71"/>
  <c r="T83" i="71"/>
  <c r="S83" i="71"/>
  <c r="N82" i="71"/>
  <c r="N82" i="70"/>
  <c r="S83" i="70"/>
  <c r="P84" i="70"/>
  <c r="K83" i="70"/>
  <c r="M81" i="70"/>
  <c r="H81" i="70" s="1"/>
  <c r="R82" i="70"/>
  <c r="O81" i="70"/>
  <c r="J81" i="70" s="1"/>
  <c r="T82" i="70"/>
  <c r="E82" i="70"/>
  <c r="C83" i="70"/>
  <c r="Q83" i="70"/>
  <c r="L82" i="70"/>
  <c r="G81" i="70"/>
  <c r="F81" i="70"/>
  <c r="I81" i="70"/>
  <c r="K82" i="69"/>
  <c r="P83" i="69"/>
  <c r="L82" i="69"/>
  <c r="Q83" i="69"/>
  <c r="N82" i="69"/>
  <c r="S83" i="69"/>
  <c r="E82" i="69"/>
  <c r="C83" i="69"/>
  <c r="J81" i="69"/>
  <c r="I81" i="69"/>
  <c r="H81" i="69"/>
  <c r="G81" i="69"/>
  <c r="F81" i="69"/>
  <c r="M82" i="69"/>
  <c r="R83" i="69"/>
  <c r="T83" i="69"/>
  <c r="O82" i="69"/>
  <c r="P83" i="63"/>
  <c r="K82" i="63"/>
  <c r="T84" i="63"/>
  <c r="O83" i="63"/>
  <c r="C83" i="63"/>
  <c r="E82" i="63"/>
  <c r="S83" i="63"/>
  <c r="N82" i="63"/>
  <c r="I81" i="63"/>
  <c r="H81" i="63"/>
  <c r="F81" i="63"/>
  <c r="J81" i="63"/>
  <c r="Q82" i="63"/>
  <c r="L81" i="63"/>
  <c r="G81" i="63" s="1"/>
  <c r="R83" i="63"/>
  <c r="M82" i="63"/>
  <c r="S84" i="71" l="1"/>
  <c r="N83" i="71"/>
  <c r="Q84" i="71"/>
  <c r="L83" i="71"/>
  <c r="J82" i="71"/>
  <c r="I82" i="71"/>
  <c r="H82" i="71"/>
  <c r="G82" i="71"/>
  <c r="F82" i="71"/>
  <c r="C84" i="71"/>
  <c r="E83" i="71"/>
  <c r="T84" i="71"/>
  <c r="O83" i="71"/>
  <c r="R84" i="71"/>
  <c r="M83" i="71"/>
  <c r="K83" i="71"/>
  <c r="P84" i="71"/>
  <c r="O82" i="70"/>
  <c r="J82" i="70" s="1"/>
  <c r="T83" i="70"/>
  <c r="M82" i="70"/>
  <c r="H82" i="70" s="1"/>
  <c r="R83" i="70"/>
  <c r="Q84" i="70"/>
  <c r="L83" i="70"/>
  <c r="P85" i="70"/>
  <c r="K84" i="70"/>
  <c r="E83" i="70"/>
  <c r="C84" i="70"/>
  <c r="N83" i="70"/>
  <c r="S84" i="70"/>
  <c r="G82" i="70"/>
  <c r="F82" i="70"/>
  <c r="I82" i="70"/>
  <c r="O83" i="69"/>
  <c r="T84" i="69"/>
  <c r="E83" i="69"/>
  <c r="C84" i="69"/>
  <c r="M83" i="69"/>
  <c r="R84" i="69"/>
  <c r="F82" i="69"/>
  <c r="J82" i="69"/>
  <c r="I82" i="69"/>
  <c r="H82" i="69"/>
  <c r="G82" i="69"/>
  <c r="N83" i="69"/>
  <c r="S84" i="69"/>
  <c r="L83" i="69"/>
  <c r="Q84" i="69"/>
  <c r="P84" i="69"/>
  <c r="K83" i="69"/>
  <c r="M83" i="63"/>
  <c r="R84" i="63"/>
  <c r="S84" i="63"/>
  <c r="N83" i="63"/>
  <c r="Q83" i="63"/>
  <c r="L82" i="63"/>
  <c r="G82" i="63" s="1"/>
  <c r="J82" i="63"/>
  <c r="I82" i="63"/>
  <c r="F82" i="63"/>
  <c r="H82" i="63"/>
  <c r="C84" i="63"/>
  <c r="E83" i="63"/>
  <c r="T85" i="63"/>
  <c r="O84" i="63"/>
  <c r="K83" i="63"/>
  <c r="P84" i="63"/>
  <c r="R85" i="71" l="1"/>
  <c r="M84" i="71"/>
  <c r="T85" i="71"/>
  <c r="O84" i="71"/>
  <c r="J83" i="71"/>
  <c r="I83" i="71"/>
  <c r="H83" i="71"/>
  <c r="G83" i="71"/>
  <c r="F83" i="71"/>
  <c r="L84" i="71"/>
  <c r="Q85" i="71"/>
  <c r="C85" i="71"/>
  <c r="E84" i="71"/>
  <c r="K84" i="71"/>
  <c r="P85" i="71"/>
  <c r="S85" i="71"/>
  <c r="N84" i="71"/>
  <c r="Q85" i="70"/>
  <c r="L84" i="70"/>
  <c r="S85" i="70"/>
  <c r="N84" i="70"/>
  <c r="R84" i="70"/>
  <c r="M83" i="70"/>
  <c r="H83" i="70" s="1"/>
  <c r="C85" i="70"/>
  <c r="E84" i="70"/>
  <c r="O83" i="70"/>
  <c r="J83" i="70" s="1"/>
  <c r="T84" i="70"/>
  <c r="K85" i="70"/>
  <c r="P86" i="70"/>
  <c r="I83" i="70"/>
  <c r="G83" i="70"/>
  <c r="F83" i="70"/>
  <c r="P85" i="69"/>
  <c r="K84" i="69"/>
  <c r="Q85" i="69"/>
  <c r="L84" i="69"/>
  <c r="M84" i="69"/>
  <c r="R85" i="69"/>
  <c r="N84" i="69"/>
  <c r="S85" i="69"/>
  <c r="E84" i="69"/>
  <c r="C85" i="69"/>
  <c r="G83" i="69"/>
  <c r="F83" i="69"/>
  <c r="J83" i="69"/>
  <c r="I83" i="69"/>
  <c r="H83" i="69"/>
  <c r="O84" i="69"/>
  <c r="T85" i="69"/>
  <c r="O85" i="63"/>
  <c r="T86" i="63"/>
  <c r="J83" i="63"/>
  <c r="H83" i="63"/>
  <c r="I83" i="63"/>
  <c r="F83" i="63"/>
  <c r="Q84" i="63"/>
  <c r="L83" i="63"/>
  <c r="G83" i="63" s="1"/>
  <c r="E84" i="63"/>
  <c r="C85" i="63"/>
  <c r="S85" i="63"/>
  <c r="N84" i="63"/>
  <c r="R85" i="63"/>
  <c r="M84" i="63"/>
  <c r="K84" i="63"/>
  <c r="P85" i="63"/>
  <c r="S86" i="71" l="1"/>
  <c r="N85" i="71"/>
  <c r="K85" i="71"/>
  <c r="P86" i="71"/>
  <c r="J84" i="71"/>
  <c r="I84" i="71"/>
  <c r="H84" i="71"/>
  <c r="G84" i="71"/>
  <c r="F84" i="71"/>
  <c r="E85" i="71"/>
  <c r="C86" i="71"/>
  <c r="L85" i="71"/>
  <c r="Q86" i="71"/>
  <c r="T86" i="71"/>
  <c r="O85" i="71"/>
  <c r="M85" i="71"/>
  <c r="R86" i="71"/>
  <c r="I84" i="70"/>
  <c r="G84" i="70"/>
  <c r="F84" i="70"/>
  <c r="R85" i="70"/>
  <c r="M84" i="70"/>
  <c r="H84" i="70" s="1"/>
  <c r="K86" i="70"/>
  <c r="P87" i="70"/>
  <c r="C86" i="70"/>
  <c r="E85" i="70"/>
  <c r="S86" i="70"/>
  <c r="N85" i="70"/>
  <c r="O84" i="70"/>
  <c r="J84" i="70" s="1"/>
  <c r="T85" i="70"/>
  <c r="Q86" i="70"/>
  <c r="L85" i="70"/>
  <c r="N85" i="69"/>
  <c r="S86" i="69"/>
  <c r="R86" i="69"/>
  <c r="M85" i="69"/>
  <c r="Q86" i="69"/>
  <c r="L85" i="69"/>
  <c r="E85" i="69"/>
  <c r="C86" i="69"/>
  <c r="O85" i="69"/>
  <c r="T86" i="69"/>
  <c r="H84" i="69"/>
  <c r="G84" i="69"/>
  <c r="F84" i="69"/>
  <c r="J84" i="69"/>
  <c r="I84" i="69"/>
  <c r="P86" i="69"/>
  <c r="K85" i="69"/>
  <c r="L84" i="63"/>
  <c r="G84" i="63" s="1"/>
  <c r="Q85" i="63"/>
  <c r="M85" i="63"/>
  <c r="R86" i="63"/>
  <c r="S86" i="63"/>
  <c r="N85" i="63"/>
  <c r="E85" i="63"/>
  <c r="C86" i="63"/>
  <c r="I84" i="63"/>
  <c r="H84" i="63"/>
  <c r="J84" i="63"/>
  <c r="F84" i="63"/>
  <c r="T87" i="63"/>
  <c r="O86" i="63"/>
  <c r="K85" i="63"/>
  <c r="P86" i="63"/>
  <c r="T87" i="71" l="1"/>
  <c r="O86" i="71"/>
  <c r="L86" i="71"/>
  <c r="Q87" i="71"/>
  <c r="K86" i="71"/>
  <c r="P87" i="71"/>
  <c r="E86" i="71"/>
  <c r="C87" i="71"/>
  <c r="J85" i="71"/>
  <c r="I85" i="71"/>
  <c r="H85" i="71"/>
  <c r="G85" i="71"/>
  <c r="F85" i="71"/>
  <c r="M86" i="71"/>
  <c r="R87" i="71"/>
  <c r="N86" i="71"/>
  <c r="S87" i="71"/>
  <c r="L86" i="70"/>
  <c r="Q87" i="70"/>
  <c r="R86" i="70"/>
  <c r="M85" i="70"/>
  <c r="H85" i="70" s="1"/>
  <c r="T86" i="70"/>
  <c r="O85" i="70"/>
  <c r="J85" i="70" s="1"/>
  <c r="S87" i="70"/>
  <c r="N86" i="70"/>
  <c r="I85" i="70"/>
  <c r="G85" i="70"/>
  <c r="F85" i="70"/>
  <c r="C87" i="70"/>
  <c r="E86" i="70"/>
  <c r="K87" i="70"/>
  <c r="P88" i="70"/>
  <c r="P87" i="69"/>
  <c r="K86" i="69"/>
  <c r="C87" i="69"/>
  <c r="E86" i="69"/>
  <c r="I85" i="69"/>
  <c r="H85" i="69"/>
  <c r="G85" i="69"/>
  <c r="F85" i="69"/>
  <c r="J85" i="69"/>
  <c r="Q87" i="69"/>
  <c r="L86" i="69"/>
  <c r="R87" i="69"/>
  <c r="M86" i="69"/>
  <c r="O86" i="69"/>
  <c r="T87" i="69"/>
  <c r="S87" i="69"/>
  <c r="N86" i="69"/>
  <c r="E86" i="63"/>
  <c r="C87" i="63"/>
  <c r="J85" i="63"/>
  <c r="I85" i="63"/>
  <c r="F85" i="63"/>
  <c r="H85" i="63"/>
  <c r="O87" i="63"/>
  <c r="T88" i="63"/>
  <c r="N86" i="63"/>
  <c r="S87" i="63"/>
  <c r="M86" i="63"/>
  <c r="R87" i="63"/>
  <c r="L85" i="63"/>
  <c r="G85" i="63" s="1"/>
  <c r="Q86" i="63"/>
  <c r="K86" i="63"/>
  <c r="P87" i="63"/>
  <c r="E87" i="71" l="1"/>
  <c r="C88" i="71"/>
  <c r="M87" i="71"/>
  <c r="R88" i="71"/>
  <c r="F86" i="71"/>
  <c r="J86" i="71"/>
  <c r="I86" i="71"/>
  <c r="H86" i="71"/>
  <c r="G86" i="71"/>
  <c r="P88" i="71"/>
  <c r="K87" i="71"/>
  <c r="L87" i="71"/>
  <c r="Q88" i="71"/>
  <c r="N87" i="71"/>
  <c r="S88" i="71"/>
  <c r="O87" i="71"/>
  <c r="T88" i="71"/>
  <c r="I86" i="70"/>
  <c r="G86" i="70"/>
  <c r="F86" i="70"/>
  <c r="E87" i="70"/>
  <c r="C88" i="70"/>
  <c r="T87" i="70"/>
  <c r="O86" i="70"/>
  <c r="J86" i="70" s="1"/>
  <c r="R87" i="70"/>
  <c r="M86" i="70"/>
  <c r="H86" i="70" s="1"/>
  <c r="L87" i="70"/>
  <c r="Q88" i="70"/>
  <c r="S88" i="70"/>
  <c r="N87" i="70"/>
  <c r="K88" i="70"/>
  <c r="P89" i="70"/>
  <c r="S88" i="69"/>
  <c r="N87" i="69"/>
  <c r="T88" i="69"/>
  <c r="O87" i="69"/>
  <c r="R88" i="69"/>
  <c r="M87" i="69"/>
  <c r="J86" i="69"/>
  <c r="I86" i="69"/>
  <c r="H86" i="69"/>
  <c r="G86" i="69"/>
  <c r="F86" i="69"/>
  <c r="C88" i="69"/>
  <c r="E87" i="69"/>
  <c r="Q88" i="69"/>
  <c r="L87" i="69"/>
  <c r="K87" i="69"/>
  <c r="P88" i="69"/>
  <c r="L86" i="63"/>
  <c r="G86" i="63" s="1"/>
  <c r="Q87" i="63"/>
  <c r="M87" i="63"/>
  <c r="R88" i="63"/>
  <c r="N87" i="63"/>
  <c r="S88" i="63"/>
  <c r="C88" i="63"/>
  <c r="E87" i="63"/>
  <c r="P88" i="63"/>
  <c r="K87" i="63"/>
  <c r="O88" i="63"/>
  <c r="T89" i="63"/>
  <c r="F86" i="63"/>
  <c r="J86" i="63"/>
  <c r="I86" i="63"/>
  <c r="H86" i="63"/>
  <c r="N88" i="71" l="1"/>
  <c r="S89" i="71"/>
  <c r="Q89" i="71"/>
  <c r="L88" i="71"/>
  <c r="M88" i="71"/>
  <c r="R89" i="71"/>
  <c r="P89" i="71"/>
  <c r="K88" i="71"/>
  <c r="E88" i="71"/>
  <c r="C89" i="71"/>
  <c r="O88" i="71"/>
  <c r="T89" i="71"/>
  <c r="G87" i="71"/>
  <c r="F87" i="71"/>
  <c r="J87" i="71"/>
  <c r="I87" i="71"/>
  <c r="H87" i="71"/>
  <c r="T88" i="70"/>
  <c r="O87" i="70"/>
  <c r="E88" i="70"/>
  <c r="C89" i="70"/>
  <c r="N88" i="70"/>
  <c r="S89" i="70"/>
  <c r="J87" i="70"/>
  <c r="I87" i="70"/>
  <c r="F87" i="70"/>
  <c r="G87" i="70"/>
  <c r="L88" i="70"/>
  <c r="Q89" i="70"/>
  <c r="M87" i="70"/>
  <c r="H87" i="70" s="1"/>
  <c r="R88" i="70"/>
  <c r="P90" i="70"/>
  <c r="K89" i="70"/>
  <c r="L88" i="69"/>
  <c r="Q89" i="69"/>
  <c r="J87" i="69"/>
  <c r="I87" i="69"/>
  <c r="H87" i="69"/>
  <c r="G87" i="69"/>
  <c r="F87" i="69"/>
  <c r="R89" i="69"/>
  <c r="M88" i="69"/>
  <c r="C89" i="69"/>
  <c r="E88" i="69"/>
  <c r="T89" i="69"/>
  <c r="O88" i="69"/>
  <c r="K88" i="69"/>
  <c r="P89" i="69"/>
  <c r="S89" i="69"/>
  <c r="N88" i="69"/>
  <c r="F87" i="63"/>
  <c r="H87" i="63"/>
  <c r="J87" i="63"/>
  <c r="I87" i="63"/>
  <c r="E88" i="63"/>
  <c r="C89" i="63"/>
  <c r="N88" i="63"/>
  <c r="S89" i="63"/>
  <c r="O89" i="63"/>
  <c r="T90" i="63"/>
  <c r="M88" i="63"/>
  <c r="R89" i="63"/>
  <c r="L87" i="63"/>
  <c r="G87" i="63" s="1"/>
  <c r="Q88" i="63"/>
  <c r="P89" i="63"/>
  <c r="K88" i="63"/>
  <c r="P90" i="71" l="1"/>
  <c r="K89" i="71"/>
  <c r="R90" i="71"/>
  <c r="M89" i="71"/>
  <c r="O89" i="71"/>
  <c r="T90" i="71"/>
  <c r="Q90" i="71"/>
  <c r="L89" i="71"/>
  <c r="E89" i="71"/>
  <c r="C90" i="71"/>
  <c r="N89" i="71"/>
  <c r="S90" i="71"/>
  <c r="H88" i="71"/>
  <c r="G88" i="71"/>
  <c r="F88" i="71"/>
  <c r="J88" i="71"/>
  <c r="I88" i="71"/>
  <c r="P91" i="70"/>
  <c r="K90" i="70"/>
  <c r="M88" i="70"/>
  <c r="H88" i="70" s="1"/>
  <c r="R89" i="70"/>
  <c r="N89" i="70"/>
  <c r="S90" i="70"/>
  <c r="E89" i="70"/>
  <c r="C90" i="70"/>
  <c r="F88" i="70"/>
  <c r="I88" i="70"/>
  <c r="G88" i="70"/>
  <c r="L89" i="70"/>
  <c r="Q90" i="70"/>
  <c r="T89" i="70"/>
  <c r="O88" i="70"/>
  <c r="J88" i="70" s="1"/>
  <c r="S90" i="69"/>
  <c r="N89" i="69"/>
  <c r="M89" i="69"/>
  <c r="R90" i="69"/>
  <c r="K89" i="69"/>
  <c r="P90" i="69"/>
  <c r="T90" i="69"/>
  <c r="O89" i="69"/>
  <c r="J88" i="69"/>
  <c r="I88" i="69"/>
  <c r="H88" i="69"/>
  <c r="G88" i="69"/>
  <c r="F88" i="69"/>
  <c r="E89" i="69"/>
  <c r="C90" i="69"/>
  <c r="L89" i="69"/>
  <c r="Q90" i="69"/>
  <c r="P90" i="63"/>
  <c r="K89" i="63"/>
  <c r="Q89" i="63"/>
  <c r="L88" i="63"/>
  <c r="G88" i="63" s="1"/>
  <c r="E89" i="63"/>
  <c r="C90" i="63"/>
  <c r="H88" i="63"/>
  <c r="I88" i="63"/>
  <c r="J88" i="63"/>
  <c r="F88" i="63"/>
  <c r="R90" i="63"/>
  <c r="M89" i="63"/>
  <c r="O90" i="63"/>
  <c r="T91" i="63"/>
  <c r="N89" i="63"/>
  <c r="S90" i="63"/>
  <c r="Q91" i="71" l="1"/>
  <c r="L90" i="71"/>
  <c r="O90" i="71"/>
  <c r="T91" i="71"/>
  <c r="S91" i="71"/>
  <c r="N90" i="71"/>
  <c r="R91" i="71"/>
  <c r="M90" i="71"/>
  <c r="C91" i="71"/>
  <c r="E90" i="71"/>
  <c r="I89" i="71"/>
  <c r="H89" i="71"/>
  <c r="G89" i="71"/>
  <c r="F89" i="71"/>
  <c r="J89" i="71"/>
  <c r="P91" i="71"/>
  <c r="K90" i="71"/>
  <c r="O89" i="70"/>
  <c r="T90" i="70"/>
  <c r="G89" i="70"/>
  <c r="F89" i="70"/>
  <c r="J89" i="70"/>
  <c r="I89" i="70"/>
  <c r="N90" i="70"/>
  <c r="S91" i="70"/>
  <c r="E90" i="70"/>
  <c r="C91" i="70"/>
  <c r="Q91" i="70"/>
  <c r="L90" i="70"/>
  <c r="M89" i="70"/>
  <c r="H89" i="70" s="1"/>
  <c r="R90" i="70"/>
  <c r="P92" i="70"/>
  <c r="K91" i="70"/>
  <c r="E90" i="69"/>
  <c r="C91" i="69"/>
  <c r="T91" i="69"/>
  <c r="O90" i="69"/>
  <c r="J89" i="69"/>
  <c r="I89" i="69"/>
  <c r="H89" i="69"/>
  <c r="G89" i="69"/>
  <c r="F89" i="69"/>
  <c r="K90" i="69"/>
  <c r="P91" i="69"/>
  <c r="M90" i="69"/>
  <c r="R91" i="69"/>
  <c r="L90" i="69"/>
  <c r="Q91" i="69"/>
  <c r="N90" i="69"/>
  <c r="S91" i="69"/>
  <c r="T92" i="63"/>
  <c r="O91" i="63"/>
  <c r="C91" i="63"/>
  <c r="E90" i="63"/>
  <c r="I89" i="63"/>
  <c r="H89" i="63"/>
  <c r="F89" i="63"/>
  <c r="J89" i="63"/>
  <c r="R91" i="63"/>
  <c r="M90" i="63"/>
  <c r="Q90" i="63"/>
  <c r="L89" i="63"/>
  <c r="G89" i="63" s="1"/>
  <c r="S91" i="63"/>
  <c r="N90" i="63"/>
  <c r="P91" i="63"/>
  <c r="K90" i="63"/>
  <c r="K91" i="71" l="1"/>
  <c r="P92" i="71"/>
  <c r="R92" i="71"/>
  <c r="M91" i="71"/>
  <c r="S92" i="71"/>
  <c r="N91" i="71"/>
  <c r="T92" i="71"/>
  <c r="O91" i="71"/>
  <c r="J90" i="71"/>
  <c r="I90" i="71"/>
  <c r="H90" i="71"/>
  <c r="G90" i="71"/>
  <c r="F90" i="71"/>
  <c r="C92" i="71"/>
  <c r="E91" i="71"/>
  <c r="Q92" i="71"/>
  <c r="L91" i="71"/>
  <c r="P93" i="70"/>
  <c r="K92" i="70"/>
  <c r="M90" i="70"/>
  <c r="H90" i="70" s="1"/>
  <c r="R91" i="70"/>
  <c r="Q92" i="70"/>
  <c r="L91" i="70"/>
  <c r="E91" i="70"/>
  <c r="C92" i="70"/>
  <c r="G90" i="70"/>
  <c r="F90" i="70"/>
  <c r="I90" i="70"/>
  <c r="O90" i="70"/>
  <c r="J90" i="70" s="1"/>
  <c r="T91" i="70"/>
  <c r="N91" i="70"/>
  <c r="S92" i="70"/>
  <c r="L91" i="69"/>
  <c r="Q92" i="69"/>
  <c r="M91" i="69"/>
  <c r="R92" i="69"/>
  <c r="P92" i="69"/>
  <c r="K91" i="69"/>
  <c r="O91" i="69"/>
  <c r="T92" i="69"/>
  <c r="E91" i="69"/>
  <c r="C92" i="69"/>
  <c r="N91" i="69"/>
  <c r="S92" i="69"/>
  <c r="F90" i="69"/>
  <c r="J90" i="69"/>
  <c r="I90" i="69"/>
  <c r="H90" i="69"/>
  <c r="G90" i="69"/>
  <c r="S92" i="63"/>
  <c r="N91" i="63"/>
  <c r="K91" i="63"/>
  <c r="P92" i="63"/>
  <c r="L90" i="63"/>
  <c r="G90" i="63" s="1"/>
  <c r="Q91" i="63"/>
  <c r="J90" i="63"/>
  <c r="I90" i="63"/>
  <c r="F90" i="63"/>
  <c r="H90" i="63"/>
  <c r="C92" i="63"/>
  <c r="E91" i="63"/>
  <c r="R92" i="63"/>
  <c r="M91" i="63"/>
  <c r="T93" i="63"/>
  <c r="O92" i="63"/>
  <c r="L92" i="71" l="1"/>
  <c r="Q93" i="71"/>
  <c r="J91" i="71"/>
  <c r="I91" i="71"/>
  <c r="H91" i="71"/>
  <c r="G91" i="71"/>
  <c r="F91" i="71"/>
  <c r="T93" i="71"/>
  <c r="O92" i="71"/>
  <c r="C93" i="71"/>
  <c r="E92" i="71"/>
  <c r="S93" i="71"/>
  <c r="N92" i="71"/>
  <c r="R93" i="71"/>
  <c r="M92" i="71"/>
  <c r="K92" i="71"/>
  <c r="P93" i="71"/>
  <c r="C93" i="70"/>
  <c r="E92" i="70"/>
  <c r="O91" i="70"/>
  <c r="J91" i="70" s="1"/>
  <c r="T92" i="70"/>
  <c r="I91" i="70"/>
  <c r="G91" i="70"/>
  <c r="F91" i="70"/>
  <c r="Q93" i="70"/>
  <c r="L92" i="70"/>
  <c r="R92" i="70"/>
  <c r="M91" i="70"/>
  <c r="H91" i="70" s="1"/>
  <c r="S93" i="70"/>
  <c r="N92" i="70"/>
  <c r="K93" i="70"/>
  <c r="P94" i="70"/>
  <c r="P93" i="69"/>
  <c r="K92" i="69"/>
  <c r="N92" i="69"/>
  <c r="S93" i="69"/>
  <c r="M92" i="69"/>
  <c r="R93" i="69"/>
  <c r="E92" i="69"/>
  <c r="C93" i="69"/>
  <c r="Q93" i="69"/>
  <c r="L92" i="69"/>
  <c r="O92" i="69"/>
  <c r="T93" i="69"/>
  <c r="G91" i="69"/>
  <c r="F91" i="69"/>
  <c r="J91" i="69"/>
  <c r="I91" i="69"/>
  <c r="H91" i="69"/>
  <c r="T94" i="63"/>
  <c r="O93" i="63"/>
  <c r="R93" i="63"/>
  <c r="M92" i="63"/>
  <c r="Q92" i="63"/>
  <c r="L91" i="63"/>
  <c r="G91" i="63" s="1"/>
  <c r="J91" i="63"/>
  <c r="H91" i="63"/>
  <c r="F91" i="63"/>
  <c r="I91" i="63"/>
  <c r="E92" i="63"/>
  <c r="C93" i="63"/>
  <c r="K92" i="63"/>
  <c r="P93" i="63"/>
  <c r="N92" i="63"/>
  <c r="S93" i="63"/>
  <c r="T94" i="71" l="1"/>
  <c r="O93" i="71"/>
  <c r="M93" i="71"/>
  <c r="R94" i="71"/>
  <c r="S94" i="71"/>
  <c r="N93" i="71"/>
  <c r="J92" i="71"/>
  <c r="I92" i="71"/>
  <c r="H92" i="71"/>
  <c r="G92" i="71"/>
  <c r="F92" i="71"/>
  <c r="E93" i="71"/>
  <c r="C94" i="71"/>
  <c r="L93" i="71"/>
  <c r="Q94" i="71"/>
  <c r="K93" i="71"/>
  <c r="P94" i="71"/>
  <c r="S94" i="70"/>
  <c r="N93" i="70"/>
  <c r="R93" i="70"/>
  <c r="M92" i="70"/>
  <c r="H92" i="70" s="1"/>
  <c r="O92" i="70"/>
  <c r="J92" i="70" s="1"/>
  <c r="T93" i="70"/>
  <c r="Q94" i="70"/>
  <c r="L93" i="70"/>
  <c r="I92" i="70"/>
  <c r="G92" i="70"/>
  <c r="F92" i="70"/>
  <c r="K94" i="70"/>
  <c r="P95" i="70"/>
  <c r="C94" i="70"/>
  <c r="E93" i="70"/>
  <c r="E93" i="69"/>
  <c r="C94" i="69"/>
  <c r="H92" i="69"/>
  <c r="G92" i="69"/>
  <c r="F92" i="69"/>
  <c r="J92" i="69"/>
  <c r="I92" i="69"/>
  <c r="R94" i="69"/>
  <c r="M93" i="69"/>
  <c r="O93" i="69"/>
  <c r="T94" i="69"/>
  <c r="N93" i="69"/>
  <c r="S94" i="69"/>
  <c r="Q94" i="69"/>
  <c r="L93" i="69"/>
  <c r="P94" i="69"/>
  <c r="K93" i="69"/>
  <c r="E93" i="63"/>
  <c r="C94" i="63"/>
  <c r="L92" i="63"/>
  <c r="G92" i="63" s="1"/>
  <c r="Q93" i="63"/>
  <c r="I92" i="63"/>
  <c r="H92" i="63"/>
  <c r="J92" i="63"/>
  <c r="F92" i="63"/>
  <c r="M93" i="63"/>
  <c r="R94" i="63"/>
  <c r="P94" i="63"/>
  <c r="K93" i="63"/>
  <c r="S94" i="63"/>
  <c r="N93" i="63"/>
  <c r="T95" i="63"/>
  <c r="O94" i="63"/>
  <c r="E94" i="71" l="1"/>
  <c r="C95" i="71"/>
  <c r="N94" i="71"/>
  <c r="S95" i="71"/>
  <c r="M94" i="71"/>
  <c r="R95" i="71"/>
  <c r="J93" i="71"/>
  <c r="I93" i="71"/>
  <c r="H93" i="71"/>
  <c r="G93" i="71"/>
  <c r="F93" i="71"/>
  <c r="L94" i="71"/>
  <c r="Q95" i="71"/>
  <c r="K94" i="71"/>
  <c r="P95" i="71"/>
  <c r="T95" i="71"/>
  <c r="O94" i="71"/>
  <c r="K95" i="70"/>
  <c r="P96" i="70"/>
  <c r="L94" i="70"/>
  <c r="Q95" i="70"/>
  <c r="T94" i="70"/>
  <c r="O93" i="70"/>
  <c r="J93" i="70" s="1"/>
  <c r="C95" i="70"/>
  <c r="E94" i="70"/>
  <c r="R94" i="70"/>
  <c r="M93" i="70"/>
  <c r="H93" i="70" s="1"/>
  <c r="I93" i="70"/>
  <c r="G93" i="70"/>
  <c r="F93" i="70"/>
  <c r="S95" i="70"/>
  <c r="N94" i="70"/>
  <c r="P95" i="69"/>
  <c r="K94" i="69"/>
  <c r="R95" i="69"/>
  <c r="M94" i="69"/>
  <c r="Q95" i="69"/>
  <c r="L94" i="69"/>
  <c r="S95" i="69"/>
  <c r="N94" i="69"/>
  <c r="O94" i="69"/>
  <c r="T95" i="69"/>
  <c r="C95" i="69"/>
  <c r="E94" i="69"/>
  <c r="I93" i="69"/>
  <c r="H93" i="69"/>
  <c r="G93" i="69"/>
  <c r="F93" i="69"/>
  <c r="J93" i="69"/>
  <c r="O95" i="63"/>
  <c r="T96" i="63"/>
  <c r="K94" i="63"/>
  <c r="P95" i="63"/>
  <c r="L93" i="63"/>
  <c r="G93" i="63" s="1"/>
  <c r="Q94" i="63"/>
  <c r="N94" i="63"/>
  <c r="S95" i="63"/>
  <c r="M94" i="63"/>
  <c r="R95" i="63"/>
  <c r="E94" i="63"/>
  <c r="C95" i="63"/>
  <c r="J93" i="63"/>
  <c r="I93" i="63"/>
  <c r="F93" i="63"/>
  <c r="H93" i="63"/>
  <c r="O95" i="71" l="1"/>
  <c r="T96" i="71"/>
  <c r="P96" i="71"/>
  <c r="K95" i="71"/>
  <c r="M95" i="71"/>
  <c r="R96" i="71"/>
  <c r="L95" i="71"/>
  <c r="Q96" i="71"/>
  <c r="N95" i="71"/>
  <c r="S96" i="71"/>
  <c r="E95" i="71"/>
  <c r="C96" i="71"/>
  <c r="F94" i="71"/>
  <c r="J94" i="71"/>
  <c r="I94" i="71"/>
  <c r="H94" i="71"/>
  <c r="G94" i="71"/>
  <c r="S96" i="70"/>
  <c r="N95" i="70"/>
  <c r="I94" i="70"/>
  <c r="G94" i="70"/>
  <c r="F94" i="70"/>
  <c r="E95" i="70"/>
  <c r="C96" i="70"/>
  <c r="T95" i="70"/>
  <c r="O94" i="70"/>
  <c r="J94" i="70" s="1"/>
  <c r="L95" i="70"/>
  <c r="Q96" i="70"/>
  <c r="K96" i="70"/>
  <c r="P97" i="70"/>
  <c r="R95" i="70"/>
  <c r="M94" i="70"/>
  <c r="H94" i="70" s="1"/>
  <c r="S96" i="69"/>
  <c r="N95" i="69"/>
  <c r="Q96" i="69"/>
  <c r="L95" i="69"/>
  <c r="J94" i="69"/>
  <c r="I94" i="69"/>
  <c r="H94" i="69"/>
  <c r="G94" i="69"/>
  <c r="F94" i="69"/>
  <c r="R96" i="69"/>
  <c r="M95" i="69"/>
  <c r="T96" i="69"/>
  <c r="O95" i="69"/>
  <c r="C96" i="69"/>
  <c r="E95" i="69"/>
  <c r="K95" i="69"/>
  <c r="P96" i="69"/>
  <c r="N95" i="63"/>
  <c r="S96" i="63"/>
  <c r="L94" i="63"/>
  <c r="G94" i="63" s="1"/>
  <c r="Q95" i="63"/>
  <c r="E95" i="63"/>
  <c r="C96" i="63"/>
  <c r="P96" i="63"/>
  <c r="K95" i="63"/>
  <c r="F94" i="63"/>
  <c r="J94" i="63"/>
  <c r="I94" i="63"/>
  <c r="H94" i="63"/>
  <c r="R96" i="63"/>
  <c r="M95" i="63"/>
  <c r="O96" i="63"/>
  <c r="T97" i="63"/>
  <c r="Q97" i="71" l="1"/>
  <c r="L96" i="71"/>
  <c r="M96" i="71"/>
  <c r="R97" i="71"/>
  <c r="E96" i="71"/>
  <c r="C97" i="71"/>
  <c r="G95" i="71"/>
  <c r="F95" i="71"/>
  <c r="J95" i="71"/>
  <c r="I95" i="71"/>
  <c r="H95" i="71"/>
  <c r="P97" i="71"/>
  <c r="K96" i="71"/>
  <c r="N96" i="71"/>
  <c r="S97" i="71"/>
  <c r="O96" i="71"/>
  <c r="T97" i="71"/>
  <c r="M95" i="70"/>
  <c r="H95" i="70" s="1"/>
  <c r="R96" i="70"/>
  <c r="I95" i="70"/>
  <c r="F95" i="70"/>
  <c r="G95" i="70"/>
  <c r="L96" i="70"/>
  <c r="Q97" i="70"/>
  <c r="P98" i="70"/>
  <c r="K97" i="70"/>
  <c r="T96" i="70"/>
  <c r="O95" i="70"/>
  <c r="J95" i="70" s="1"/>
  <c r="E96" i="70"/>
  <c r="C97" i="70"/>
  <c r="N96" i="70"/>
  <c r="S97" i="70"/>
  <c r="J95" i="69"/>
  <c r="I95" i="69"/>
  <c r="H95" i="69"/>
  <c r="G95" i="69"/>
  <c r="F95" i="69"/>
  <c r="C97" i="69"/>
  <c r="E96" i="69"/>
  <c r="T97" i="69"/>
  <c r="O96" i="69"/>
  <c r="L96" i="69"/>
  <c r="Q97" i="69"/>
  <c r="R97" i="69"/>
  <c r="M96" i="69"/>
  <c r="K96" i="69"/>
  <c r="P97" i="69"/>
  <c r="S97" i="69"/>
  <c r="N96" i="69"/>
  <c r="P97" i="63"/>
  <c r="K96" i="63"/>
  <c r="M96" i="63"/>
  <c r="R97" i="63"/>
  <c r="E96" i="63"/>
  <c r="C97" i="63"/>
  <c r="F95" i="63"/>
  <c r="H95" i="63"/>
  <c r="J95" i="63"/>
  <c r="I95" i="63"/>
  <c r="L95" i="63"/>
  <c r="G95" i="63" s="1"/>
  <c r="Q96" i="63"/>
  <c r="N96" i="63"/>
  <c r="S97" i="63"/>
  <c r="T98" i="63"/>
  <c r="O97" i="63"/>
  <c r="E97" i="71" l="1"/>
  <c r="C98" i="71"/>
  <c r="H96" i="71"/>
  <c r="G96" i="71"/>
  <c r="F96" i="71"/>
  <c r="J96" i="71"/>
  <c r="I96" i="71"/>
  <c r="P98" i="71"/>
  <c r="K97" i="71"/>
  <c r="R98" i="71"/>
  <c r="M97" i="71"/>
  <c r="N97" i="71"/>
  <c r="S98" i="71"/>
  <c r="O97" i="71"/>
  <c r="T98" i="71"/>
  <c r="Q98" i="71"/>
  <c r="L97" i="71"/>
  <c r="F96" i="70"/>
  <c r="I96" i="70"/>
  <c r="G96" i="70"/>
  <c r="E97" i="70"/>
  <c r="C98" i="70"/>
  <c r="T97" i="70"/>
  <c r="O96" i="70"/>
  <c r="J96" i="70" s="1"/>
  <c r="P99" i="70"/>
  <c r="K98" i="70"/>
  <c r="M96" i="70"/>
  <c r="H96" i="70" s="1"/>
  <c r="R97" i="70"/>
  <c r="N97" i="70"/>
  <c r="S98" i="70"/>
  <c r="L97" i="70"/>
  <c r="Q98" i="70"/>
  <c r="S98" i="69"/>
  <c r="N97" i="69"/>
  <c r="T98" i="69"/>
  <c r="O97" i="69"/>
  <c r="K97" i="69"/>
  <c r="P98" i="69"/>
  <c r="J96" i="69"/>
  <c r="I96" i="69"/>
  <c r="H96" i="69"/>
  <c r="G96" i="69"/>
  <c r="F96" i="69"/>
  <c r="E97" i="69"/>
  <c r="C98" i="69"/>
  <c r="M97" i="69"/>
  <c r="R98" i="69"/>
  <c r="L97" i="69"/>
  <c r="Q98" i="69"/>
  <c r="O98" i="63"/>
  <c r="T99" i="63"/>
  <c r="E97" i="63"/>
  <c r="C98" i="63"/>
  <c r="Q97" i="63"/>
  <c r="L96" i="63"/>
  <c r="G96" i="63" s="1"/>
  <c r="H96" i="63"/>
  <c r="I96" i="63"/>
  <c r="J96" i="63"/>
  <c r="F96" i="63"/>
  <c r="R98" i="63"/>
  <c r="M97" i="63"/>
  <c r="N97" i="63"/>
  <c r="S98" i="63"/>
  <c r="K97" i="63"/>
  <c r="P98" i="63"/>
  <c r="P99" i="71" l="1"/>
  <c r="K98" i="71"/>
  <c r="O98" i="71"/>
  <c r="T99" i="71"/>
  <c r="Q99" i="71"/>
  <c r="L98" i="71"/>
  <c r="S99" i="71"/>
  <c r="N98" i="71"/>
  <c r="R99" i="71"/>
  <c r="M98" i="71"/>
  <c r="C99" i="71"/>
  <c r="E98" i="71"/>
  <c r="I97" i="71"/>
  <c r="H97" i="71"/>
  <c r="G97" i="71"/>
  <c r="F97" i="71"/>
  <c r="J97" i="71"/>
  <c r="N98" i="70"/>
  <c r="S99" i="70"/>
  <c r="G97" i="70"/>
  <c r="F97" i="70"/>
  <c r="J97" i="70"/>
  <c r="I97" i="70"/>
  <c r="M97" i="70"/>
  <c r="H97" i="70" s="1"/>
  <c r="R98" i="70"/>
  <c r="O97" i="70"/>
  <c r="T98" i="70"/>
  <c r="E98" i="70"/>
  <c r="C99" i="70"/>
  <c r="P100" i="70"/>
  <c r="K99" i="70"/>
  <c r="Q99" i="70"/>
  <c r="L98" i="70"/>
  <c r="M98" i="69"/>
  <c r="R99" i="69"/>
  <c r="K98" i="69"/>
  <c r="P99" i="69"/>
  <c r="E98" i="69"/>
  <c r="C99" i="69"/>
  <c r="J97" i="69"/>
  <c r="I97" i="69"/>
  <c r="H97" i="69"/>
  <c r="G97" i="69"/>
  <c r="F97" i="69"/>
  <c r="T99" i="69"/>
  <c r="O98" i="69"/>
  <c r="L98" i="69"/>
  <c r="Q99" i="69"/>
  <c r="N98" i="69"/>
  <c r="S99" i="69"/>
  <c r="Q98" i="63"/>
  <c r="L97" i="63"/>
  <c r="G97" i="63" s="1"/>
  <c r="S99" i="63"/>
  <c r="N98" i="63"/>
  <c r="R99" i="63"/>
  <c r="M98" i="63"/>
  <c r="C99" i="63"/>
  <c r="E98" i="63"/>
  <c r="I97" i="63"/>
  <c r="H97" i="63"/>
  <c r="F97" i="63"/>
  <c r="J97" i="63"/>
  <c r="T100" i="63"/>
  <c r="O99" i="63"/>
  <c r="P99" i="63"/>
  <c r="K98" i="63"/>
  <c r="S100" i="71" l="1"/>
  <c r="N99" i="71"/>
  <c r="Q100" i="71"/>
  <c r="L99" i="71"/>
  <c r="J98" i="71"/>
  <c r="I98" i="71"/>
  <c r="H98" i="71"/>
  <c r="G98" i="71"/>
  <c r="F98" i="71"/>
  <c r="T100" i="71"/>
  <c r="O99" i="71"/>
  <c r="C100" i="71"/>
  <c r="E99" i="71"/>
  <c r="R100" i="71"/>
  <c r="M99" i="71"/>
  <c r="K99" i="71"/>
  <c r="P100" i="71"/>
  <c r="P101" i="70"/>
  <c r="K100" i="70"/>
  <c r="Q100" i="70"/>
  <c r="L99" i="70"/>
  <c r="E99" i="70"/>
  <c r="C100" i="70"/>
  <c r="G98" i="70"/>
  <c r="F98" i="70"/>
  <c r="I98" i="70"/>
  <c r="O98" i="70"/>
  <c r="J98" i="70" s="1"/>
  <c r="T99" i="70"/>
  <c r="N99" i="70"/>
  <c r="S100" i="70"/>
  <c r="M98" i="70"/>
  <c r="H98" i="70" s="1"/>
  <c r="R99" i="70"/>
  <c r="L99" i="69"/>
  <c r="Q100" i="69"/>
  <c r="E99" i="69"/>
  <c r="C100" i="69"/>
  <c r="F98" i="69"/>
  <c r="J98" i="69"/>
  <c r="I98" i="69"/>
  <c r="H98" i="69"/>
  <c r="G98" i="69"/>
  <c r="O99" i="69"/>
  <c r="T100" i="69"/>
  <c r="P100" i="69"/>
  <c r="K99" i="69"/>
  <c r="M99" i="69"/>
  <c r="R100" i="69"/>
  <c r="N99" i="69"/>
  <c r="S100" i="69"/>
  <c r="K99" i="63"/>
  <c r="P100" i="63"/>
  <c r="J98" i="63"/>
  <c r="I98" i="63"/>
  <c r="F98" i="63"/>
  <c r="H98" i="63"/>
  <c r="C100" i="63"/>
  <c r="E99" i="63"/>
  <c r="T101" i="63"/>
  <c r="O100" i="63"/>
  <c r="M99" i="63"/>
  <c r="R100" i="63"/>
  <c r="S100" i="63"/>
  <c r="N99" i="63"/>
  <c r="L98" i="63"/>
  <c r="G98" i="63" s="1"/>
  <c r="Q99" i="63"/>
  <c r="J99" i="71" l="1"/>
  <c r="I99" i="71"/>
  <c r="H99" i="71"/>
  <c r="G99" i="71"/>
  <c r="F99" i="71"/>
  <c r="R101" i="71"/>
  <c r="M100" i="71"/>
  <c r="C101" i="71"/>
  <c r="E100" i="71"/>
  <c r="L100" i="71"/>
  <c r="Q101" i="71"/>
  <c r="T101" i="71"/>
  <c r="O100" i="71"/>
  <c r="K100" i="71"/>
  <c r="P101" i="71"/>
  <c r="S101" i="71"/>
  <c r="N100" i="71"/>
  <c r="C101" i="70"/>
  <c r="E100" i="70"/>
  <c r="O99" i="70"/>
  <c r="J99" i="70" s="1"/>
  <c r="T100" i="70"/>
  <c r="I99" i="70"/>
  <c r="G99" i="70"/>
  <c r="F99" i="70"/>
  <c r="Q101" i="70"/>
  <c r="L100" i="70"/>
  <c r="S101" i="70"/>
  <c r="N100" i="70"/>
  <c r="R100" i="70"/>
  <c r="M99" i="70"/>
  <c r="H99" i="70" s="1"/>
  <c r="K101" i="70"/>
  <c r="P102" i="70"/>
  <c r="M100" i="69"/>
  <c r="R101" i="69"/>
  <c r="P101" i="69"/>
  <c r="K100" i="69"/>
  <c r="E100" i="69"/>
  <c r="C101" i="69"/>
  <c r="G99" i="69"/>
  <c r="F99" i="69"/>
  <c r="J99" i="69"/>
  <c r="I99" i="69"/>
  <c r="H99" i="69"/>
  <c r="O100" i="69"/>
  <c r="T101" i="69"/>
  <c r="Q101" i="69"/>
  <c r="L100" i="69"/>
  <c r="N100" i="69"/>
  <c r="S101" i="69"/>
  <c r="E100" i="63"/>
  <c r="C101" i="63"/>
  <c r="R101" i="63"/>
  <c r="M100" i="63"/>
  <c r="N100" i="63"/>
  <c r="S101" i="63"/>
  <c r="O101" i="63"/>
  <c r="T102" i="63"/>
  <c r="K100" i="63"/>
  <c r="P101" i="63"/>
  <c r="Q100" i="63"/>
  <c r="L99" i="63"/>
  <c r="G99" i="63" s="1"/>
  <c r="J99" i="63"/>
  <c r="H99" i="63"/>
  <c r="I99" i="63"/>
  <c r="F99" i="63"/>
  <c r="E101" i="71" l="1"/>
  <c r="C102" i="71"/>
  <c r="S102" i="71"/>
  <c r="N101" i="71"/>
  <c r="K101" i="71"/>
  <c r="P102" i="71"/>
  <c r="M101" i="71"/>
  <c r="R102" i="71"/>
  <c r="T102" i="71"/>
  <c r="O101" i="71"/>
  <c r="L101" i="71"/>
  <c r="Q102" i="71"/>
  <c r="J100" i="71"/>
  <c r="I100" i="71"/>
  <c r="H100" i="71"/>
  <c r="G100" i="71"/>
  <c r="F100" i="71"/>
  <c r="R101" i="70"/>
  <c r="M100" i="70"/>
  <c r="H100" i="70" s="1"/>
  <c r="S102" i="70"/>
  <c r="N101" i="70"/>
  <c r="O100" i="70"/>
  <c r="J100" i="70" s="1"/>
  <c r="T101" i="70"/>
  <c r="Q102" i="70"/>
  <c r="L101" i="70"/>
  <c r="I100" i="70"/>
  <c r="G100" i="70"/>
  <c r="F100" i="70"/>
  <c r="K102" i="70"/>
  <c r="P103" i="70"/>
  <c r="C102" i="70"/>
  <c r="E101" i="70"/>
  <c r="Q102" i="69"/>
  <c r="L101" i="69"/>
  <c r="E101" i="69"/>
  <c r="C102" i="69"/>
  <c r="O101" i="69"/>
  <c r="T102" i="69"/>
  <c r="H100" i="69"/>
  <c r="G100" i="69"/>
  <c r="F100" i="69"/>
  <c r="J100" i="69"/>
  <c r="I100" i="69"/>
  <c r="P102" i="69"/>
  <c r="K101" i="69"/>
  <c r="R102" i="69"/>
  <c r="M101" i="69"/>
  <c r="N101" i="69"/>
  <c r="S102" i="69"/>
  <c r="T103" i="63"/>
  <c r="O102" i="63"/>
  <c r="S102" i="63"/>
  <c r="N101" i="63"/>
  <c r="L100" i="63"/>
  <c r="G100" i="63" s="1"/>
  <c r="Q101" i="63"/>
  <c r="M101" i="63"/>
  <c r="R102" i="63"/>
  <c r="K101" i="63"/>
  <c r="P102" i="63"/>
  <c r="E101" i="63"/>
  <c r="C102" i="63"/>
  <c r="I100" i="63"/>
  <c r="H100" i="63"/>
  <c r="F100" i="63"/>
  <c r="J100" i="63"/>
  <c r="M102" i="71" l="1"/>
  <c r="R103" i="71"/>
  <c r="K102" i="71"/>
  <c r="P103" i="71"/>
  <c r="L102" i="71"/>
  <c r="Q103" i="71"/>
  <c r="N102" i="71"/>
  <c r="S103" i="71"/>
  <c r="E102" i="71"/>
  <c r="C103" i="71"/>
  <c r="T103" i="71"/>
  <c r="O102" i="71"/>
  <c r="J101" i="71"/>
  <c r="I101" i="71"/>
  <c r="H101" i="71"/>
  <c r="G101" i="71"/>
  <c r="F101" i="71"/>
  <c r="T102" i="70"/>
  <c r="O101" i="70"/>
  <c r="C103" i="70"/>
  <c r="E102" i="70"/>
  <c r="L102" i="70"/>
  <c r="Q103" i="70"/>
  <c r="K103" i="70"/>
  <c r="P104" i="70"/>
  <c r="S103" i="70"/>
  <c r="N102" i="70"/>
  <c r="J101" i="70"/>
  <c r="I101" i="70"/>
  <c r="G101" i="70"/>
  <c r="F101" i="70"/>
  <c r="R102" i="70"/>
  <c r="M101" i="70"/>
  <c r="H101" i="70" s="1"/>
  <c r="R103" i="69"/>
  <c r="M102" i="69"/>
  <c r="O102" i="69"/>
  <c r="T103" i="69"/>
  <c r="P103" i="69"/>
  <c r="K102" i="69"/>
  <c r="C103" i="69"/>
  <c r="E102" i="69"/>
  <c r="I101" i="69"/>
  <c r="H101" i="69"/>
  <c r="G101" i="69"/>
  <c r="F101" i="69"/>
  <c r="J101" i="69"/>
  <c r="S103" i="69"/>
  <c r="N102" i="69"/>
  <c r="Q103" i="69"/>
  <c r="L102" i="69"/>
  <c r="M102" i="63"/>
  <c r="R103" i="63"/>
  <c r="L101" i="63"/>
  <c r="G101" i="63" s="1"/>
  <c r="Q102" i="63"/>
  <c r="E102" i="63"/>
  <c r="C103" i="63"/>
  <c r="J101" i="63"/>
  <c r="I101" i="63"/>
  <c r="F101" i="63"/>
  <c r="H101" i="63"/>
  <c r="N102" i="63"/>
  <c r="S103" i="63"/>
  <c r="K102" i="63"/>
  <c r="P103" i="63"/>
  <c r="O103" i="63"/>
  <c r="T104" i="63"/>
  <c r="N103" i="71" l="1"/>
  <c r="S104" i="71"/>
  <c r="L103" i="71"/>
  <c r="Q104" i="71"/>
  <c r="P104" i="71"/>
  <c r="K103" i="71"/>
  <c r="O103" i="71"/>
  <c r="T104" i="71"/>
  <c r="E103" i="71"/>
  <c r="C104" i="71"/>
  <c r="M103" i="71"/>
  <c r="R104" i="71"/>
  <c r="F102" i="71"/>
  <c r="J102" i="71"/>
  <c r="I102" i="71"/>
  <c r="H102" i="71"/>
  <c r="G102" i="71"/>
  <c r="K104" i="70"/>
  <c r="P105" i="70"/>
  <c r="L103" i="70"/>
  <c r="Q104" i="70"/>
  <c r="R103" i="70"/>
  <c r="M102" i="70"/>
  <c r="H102" i="70" s="1"/>
  <c r="J102" i="70"/>
  <c r="I102" i="70"/>
  <c r="G102" i="70"/>
  <c r="F102" i="70"/>
  <c r="E103" i="70"/>
  <c r="C104" i="70"/>
  <c r="S104" i="70"/>
  <c r="N103" i="70"/>
  <c r="T103" i="70"/>
  <c r="O102" i="70"/>
  <c r="Q104" i="69"/>
  <c r="L103" i="69"/>
  <c r="J102" i="69"/>
  <c r="I102" i="69"/>
  <c r="H102" i="69"/>
  <c r="G102" i="69"/>
  <c r="F102" i="69"/>
  <c r="C104" i="69"/>
  <c r="E103" i="69"/>
  <c r="S104" i="69"/>
  <c r="N103" i="69"/>
  <c r="K103" i="69"/>
  <c r="P104" i="69"/>
  <c r="T104" i="69"/>
  <c r="O103" i="69"/>
  <c r="R104" i="69"/>
  <c r="M103" i="69"/>
  <c r="P104" i="63"/>
  <c r="K103" i="63"/>
  <c r="C104" i="63"/>
  <c r="E103" i="63"/>
  <c r="N103" i="63"/>
  <c r="S104" i="63"/>
  <c r="F102" i="63"/>
  <c r="J102" i="63"/>
  <c r="H102" i="63"/>
  <c r="I102" i="63"/>
  <c r="Q103" i="63"/>
  <c r="L102" i="63"/>
  <c r="G102" i="63" s="1"/>
  <c r="M103" i="63"/>
  <c r="R104" i="63"/>
  <c r="O104" i="63"/>
  <c r="T105" i="63"/>
  <c r="O104" i="71" l="1"/>
  <c r="T105" i="71"/>
  <c r="E104" i="71"/>
  <c r="C105" i="71"/>
  <c r="P105" i="71"/>
  <c r="K104" i="71"/>
  <c r="M104" i="71"/>
  <c r="R105" i="71"/>
  <c r="Q105" i="71"/>
  <c r="L104" i="71"/>
  <c r="N104" i="71"/>
  <c r="S105" i="71"/>
  <c r="G103" i="71"/>
  <c r="F103" i="71"/>
  <c r="J103" i="71"/>
  <c r="I103" i="71"/>
  <c r="H103" i="71"/>
  <c r="T104" i="70"/>
  <c r="O103" i="70"/>
  <c r="J103" i="70" s="1"/>
  <c r="N104" i="70"/>
  <c r="S105" i="70"/>
  <c r="E104" i="70"/>
  <c r="C105" i="70"/>
  <c r="M103" i="70"/>
  <c r="H103" i="70" s="1"/>
  <c r="R104" i="70"/>
  <c r="I103" i="70"/>
  <c r="F103" i="70"/>
  <c r="G103" i="70"/>
  <c r="L104" i="70"/>
  <c r="Q105" i="70"/>
  <c r="P106" i="70"/>
  <c r="K105" i="70"/>
  <c r="R105" i="69"/>
  <c r="M104" i="69"/>
  <c r="C105" i="69"/>
  <c r="E104" i="69"/>
  <c r="T105" i="69"/>
  <c r="O104" i="69"/>
  <c r="K104" i="69"/>
  <c r="P105" i="69"/>
  <c r="S105" i="69"/>
  <c r="N104" i="69"/>
  <c r="J103" i="69"/>
  <c r="I103" i="69"/>
  <c r="H103" i="69"/>
  <c r="G103" i="69"/>
  <c r="F103" i="69"/>
  <c r="L104" i="69"/>
  <c r="Q105" i="69"/>
  <c r="S105" i="63"/>
  <c r="N104" i="63"/>
  <c r="L103" i="63"/>
  <c r="G103" i="63" s="1"/>
  <c r="Q104" i="63"/>
  <c r="F103" i="63"/>
  <c r="H103" i="63"/>
  <c r="J103" i="63"/>
  <c r="I103" i="63"/>
  <c r="E104" i="63"/>
  <c r="C105" i="63"/>
  <c r="M104" i="63"/>
  <c r="R105" i="63"/>
  <c r="O105" i="63"/>
  <c r="T106" i="63"/>
  <c r="P105" i="63"/>
  <c r="K104" i="63"/>
  <c r="R106" i="71" l="1"/>
  <c r="M105" i="71"/>
  <c r="P106" i="71"/>
  <c r="K105" i="71"/>
  <c r="N105" i="71"/>
  <c r="S106" i="71"/>
  <c r="E105" i="71"/>
  <c r="C106" i="71"/>
  <c r="H104" i="71"/>
  <c r="G104" i="71"/>
  <c r="F104" i="71"/>
  <c r="J104" i="71"/>
  <c r="I104" i="71"/>
  <c r="O105" i="71"/>
  <c r="T106" i="71"/>
  <c r="Q106" i="71"/>
  <c r="L105" i="71"/>
  <c r="P107" i="70"/>
  <c r="K106" i="70"/>
  <c r="M104" i="70"/>
  <c r="H104" i="70" s="1"/>
  <c r="R105" i="70"/>
  <c r="E105" i="70"/>
  <c r="C106" i="70"/>
  <c r="F104" i="70"/>
  <c r="I104" i="70"/>
  <c r="G104" i="70"/>
  <c r="N105" i="70"/>
  <c r="S106" i="70"/>
  <c r="L105" i="70"/>
  <c r="Q106" i="70"/>
  <c r="T105" i="70"/>
  <c r="O104" i="70"/>
  <c r="J104" i="70" s="1"/>
  <c r="K105" i="69"/>
  <c r="P106" i="69"/>
  <c r="T106" i="69"/>
  <c r="O105" i="69"/>
  <c r="J104" i="69"/>
  <c r="I104" i="69"/>
  <c r="H104" i="69"/>
  <c r="G104" i="69"/>
  <c r="F104" i="69"/>
  <c r="E105" i="69"/>
  <c r="C106" i="69"/>
  <c r="L105" i="69"/>
  <c r="Q106" i="69"/>
  <c r="S106" i="69"/>
  <c r="N105" i="69"/>
  <c r="M105" i="69"/>
  <c r="R106" i="69"/>
  <c r="K105" i="63"/>
  <c r="P106" i="63"/>
  <c r="O106" i="63"/>
  <c r="T107" i="63"/>
  <c r="R106" i="63"/>
  <c r="M105" i="63"/>
  <c r="Q105" i="63"/>
  <c r="L104" i="63"/>
  <c r="E105" i="63"/>
  <c r="C106" i="63"/>
  <c r="H104" i="63"/>
  <c r="G104" i="63"/>
  <c r="I104" i="63"/>
  <c r="J104" i="63"/>
  <c r="F104" i="63"/>
  <c r="N105" i="63"/>
  <c r="S106" i="63"/>
  <c r="Q107" i="71" l="1"/>
  <c r="L106" i="71"/>
  <c r="C107" i="71"/>
  <c r="E106" i="71"/>
  <c r="T107" i="71"/>
  <c r="O106" i="71"/>
  <c r="I105" i="71"/>
  <c r="H105" i="71"/>
  <c r="G105" i="71"/>
  <c r="F105" i="71"/>
  <c r="J105" i="71"/>
  <c r="N106" i="71"/>
  <c r="S107" i="71"/>
  <c r="P107" i="71"/>
  <c r="K106" i="71"/>
  <c r="M106" i="71"/>
  <c r="R107" i="71"/>
  <c r="E106" i="70"/>
  <c r="C107" i="70"/>
  <c r="N106" i="70"/>
  <c r="S107" i="70"/>
  <c r="G105" i="70"/>
  <c r="F105" i="70"/>
  <c r="J105" i="70"/>
  <c r="I105" i="70"/>
  <c r="M105" i="70"/>
  <c r="H105" i="70" s="1"/>
  <c r="R106" i="70"/>
  <c r="O105" i="70"/>
  <c r="T106" i="70"/>
  <c r="Q107" i="70"/>
  <c r="L106" i="70"/>
  <c r="P108" i="70"/>
  <c r="K107" i="70"/>
  <c r="L106" i="69"/>
  <c r="Q107" i="69"/>
  <c r="E106" i="69"/>
  <c r="C107" i="69"/>
  <c r="T107" i="69"/>
  <c r="O106" i="69"/>
  <c r="J105" i="69"/>
  <c r="I105" i="69"/>
  <c r="H105" i="69"/>
  <c r="G105" i="69"/>
  <c r="F105" i="69"/>
  <c r="K106" i="69"/>
  <c r="P107" i="69"/>
  <c r="N106" i="69"/>
  <c r="S107" i="69"/>
  <c r="M106" i="69"/>
  <c r="R107" i="69"/>
  <c r="Q106" i="63"/>
  <c r="L105" i="63"/>
  <c r="G105" i="63" s="1"/>
  <c r="R107" i="63"/>
  <c r="M106" i="63"/>
  <c r="T108" i="63"/>
  <c r="O107" i="63"/>
  <c r="C107" i="63"/>
  <c r="E106" i="63"/>
  <c r="P107" i="63"/>
  <c r="K106" i="63"/>
  <c r="S107" i="63"/>
  <c r="N106" i="63"/>
  <c r="I105" i="63"/>
  <c r="H105" i="63"/>
  <c r="F105" i="63"/>
  <c r="J105" i="63"/>
  <c r="P108" i="71" l="1"/>
  <c r="K107" i="71"/>
  <c r="N107" i="71"/>
  <c r="S108" i="71"/>
  <c r="T108" i="71"/>
  <c r="O107" i="71"/>
  <c r="J106" i="71"/>
  <c r="I106" i="71"/>
  <c r="H106" i="71"/>
  <c r="G106" i="71"/>
  <c r="F106" i="71"/>
  <c r="C108" i="71"/>
  <c r="E107" i="71"/>
  <c r="R108" i="71"/>
  <c r="M107" i="71"/>
  <c r="Q108" i="71"/>
  <c r="L107" i="71"/>
  <c r="P109" i="70"/>
  <c r="K108" i="70"/>
  <c r="Q108" i="70"/>
  <c r="L107" i="70"/>
  <c r="O106" i="70"/>
  <c r="J106" i="70" s="1"/>
  <c r="T107" i="70"/>
  <c r="N107" i="70"/>
  <c r="S108" i="70"/>
  <c r="M106" i="70"/>
  <c r="H106" i="70" s="1"/>
  <c r="R107" i="70"/>
  <c r="E107" i="70"/>
  <c r="C108" i="70"/>
  <c r="G106" i="70"/>
  <c r="F106" i="70"/>
  <c r="I106" i="70"/>
  <c r="N107" i="69"/>
  <c r="S108" i="69"/>
  <c r="P108" i="69"/>
  <c r="K107" i="69"/>
  <c r="O107" i="69"/>
  <c r="T108" i="69"/>
  <c r="E107" i="69"/>
  <c r="C108" i="69"/>
  <c r="F106" i="69"/>
  <c r="J106" i="69"/>
  <c r="I106" i="69"/>
  <c r="H106" i="69"/>
  <c r="G106" i="69"/>
  <c r="L107" i="69"/>
  <c r="Q108" i="69"/>
  <c r="M107" i="69"/>
  <c r="R108" i="69"/>
  <c r="C108" i="63"/>
  <c r="E107" i="63"/>
  <c r="J106" i="63"/>
  <c r="I106" i="63"/>
  <c r="F106" i="63"/>
  <c r="H106" i="63"/>
  <c r="T109" i="63"/>
  <c r="O108" i="63"/>
  <c r="S108" i="63"/>
  <c r="N107" i="63"/>
  <c r="R108" i="63"/>
  <c r="M107" i="63"/>
  <c r="K107" i="63"/>
  <c r="P108" i="63"/>
  <c r="Q107" i="63"/>
  <c r="L106" i="63"/>
  <c r="G106" i="63" s="1"/>
  <c r="Q109" i="71" l="1"/>
  <c r="L108" i="71"/>
  <c r="R109" i="71"/>
  <c r="M108" i="71"/>
  <c r="F107" i="71"/>
  <c r="J107" i="71"/>
  <c r="I107" i="71"/>
  <c r="H107" i="71"/>
  <c r="G107" i="71"/>
  <c r="O108" i="71"/>
  <c r="T109" i="71"/>
  <c r="E108" i="71"/>
  <c r="C109" i="71"/>
  <c r="S109" i="71"/>
  <c r="N108" i="71"/>
  <c r="P109" i="71"/>
  <c r="K108" i="71"/>
  <c r="S109" i="70"/>
  <c r="N108" i="70"/>
  <c r="O107" i="70"/>
  <c r="J107" i="70" s="1"/>
  <c r="T108" i="70"/>
  <c r="C109" i="70"/>
  <c r="E108" i="70"/>
  <c r="I107" i="70"/>
  <c r="G107" i="70"/>
  <c r="F107" i="70"/>
  <c r="Q109" i="70"/>
  <c r="L108" i="70"/>
  <c r="R108" i="70"/>
  <c r="M107" i="70"/>
  <c r="H107" i="70" s="1"/>
  <c r="K109" i="70"/>
  <c r="P110" i="70"/>
  <c r="E108" i="69"/>
  <c r="C109" i="69"/>
  <c r="G107" i="69"/>
  <c r="F107" i="69"/>
  <c r="J107" i="69"/>
  <c r="I107" i="69"/>
  <c r="H107" i="69"/>
  <c r="O108" i="69"/>
  <c r="T109" i="69"/>
  <c r="Q109" i="69"/>
  <c r="L108" i="69"/>
  <c r="P109" i="69"/>
  <c r="K108" i="69"/>
  <c r="N108" i="69"/>
  <c r="S109" i="69"/>
  <c r="M108" i="69"/>
  <c r="R109" i="69"/>
  <c r="Q108" i="63"/>
  <c r="L107" i="63"/>
  <c r="G107" i="63" s="1"/>
  <c r="T110" i="63"/>
  <c r="O109" i="63"/>
  <c r="K108" i="63"/>
  <c r="P109" i="63"/>
  <c r="R109" i="63"/>
  <c r="M108" i="63"/>
  <c r="S109" i="63"/>
  <c r="N108" i="63"/>
  <c r="J107" i="63"/>
  <c r="I107" i="63"/>
  <c r="H107" i="63"/>
  <c r="F107" i="63"/>
  <c r="C109" i="63"/>
  <c r="E108" i="63"/>
  <c r="K109" i="71" l="1"/>
  <c r="P110" i="71"/>
  <c r="S110" i="71"/>
  <c r="N109" i="71"/>
  <c r="C110" i="71"/>
  <c r="E109" i="71"/>
  <c r="I108" i="71"/>
  <c r="H108" i="71"/>
  <c r="G108" i="71"/>
  <c r="J108" i="71"/>
  <c r="F108" i="71"/>
  <c r="T110" i="71"/>
  <c r="O109" i="71"/>
  <c r="R110" i="71"/>
  <c r="M109" i="71"/>
  <c r="Q110" i="71"/>
  <c r="L109" i="71"/>
  <c r="R109" i="70"/>
  <c r="M108" i="70"/>
  <c r="H108" i="70" s="1"/>
  <c r="I108" i="70"/>
  <c r="G108" i="70"/>
  <c r="F108" i="70"/>
  <c r="C110" i="70"/>
  <c r="E109" i="70"/>
  <c r="Q110" i="70"/>
  <c r="L109" i="70"/>
  <c r="O108" i="70"/>
  <c r="J108" i="70" s="1"/>
  <c r="T109" i="70"/>
  <c r="K110" i="70"/>
  <c r="P111" i="70"/>
  <c r="S110" i="70"/>
  <c r="N109" i="70"/>
  <c r="P110" i="69"/>
  <c r="K109" i="69"/>
  <c r="N109" i="69"/>
  <c r="S110" i="69"/>
  <c r="Q110" i="69"/>
  <c r="L109" i="69"/>
  <c r="E109" i="69"/>
  <c r="C110" i="69"/>
  <c r="R110" i="69"/>
  <c r="M109" i="69"/>
  <c r="O109" i="69"/>
  <c r="T110" i="69"/>
  <c r="H108" i="69"/>
  <c r="G108" i="69"/>
  <c r="F108" i="69"/>
  <c r="J108" i="69"/>
  <c r="I108" i="69"/>
  <c r="E109" i="63"/>
  <c r="C110" i="63"/>
  <c r="M109" i="63"/>
  <c r="R110" i="63"/>
  <c r="K109" i="63"/>
  <c r="P110" i="63"/>
  <c r="T111" i="63"/>
  <c r="O110" i="63"/>
  <c r="J108" i="63"/>
  <c r="I108" i="63"/>
  <c r="H108" i="63"/>
  <c r="F108" i="63"/>
  <c r="S110" i="63"/>
  <c r="N109" i="63"/>
  <c r="L108" i="63"/>
  <c r="G108" i="63" s="1"/>
  <c r="Q109" i="63"/>
  <c r="R111" i="71" l="1"/>
  <c r="M110" i="71"/>
  <c r="Q111" i="71"/>
  <c r="L110" i="71"/>
  <c r="J109" i="71"/>
  <c r="I109" i="71"/>
  <c r="H109" i="71"/>
  <c r="F109" i="71"/>
  <c r="G109" i="71"/>
  <c r="C111" i="71"/>
  <c r="E110" i="71"/>
  <c r="T111" i="71"/>
  <c r="O110" i="71"/>
  <c r="S111" i="71"/>
  <c r="N110" i="71"/>
  <c r="K110" i="71"/>
  <c r="P111" i="71"/>
  <c r="C111" i="70"/>
  <c r="E110" i="70"/>
  <c r="K111" i="70"/>
  <c r="P112" i="70"/>
  <c r="L110" i="70"/>
  <c r="Q111" i="70"/>
  <c r="S111" i="70"/>
  <c r="N110" i="70"/>
  <c r="T110" i="70"/>
  <c r="O109" i="70"/>
  <c r="J109" i="70" s="1"/>
  <c r="I109" i="70"/>
  <c r="G109" i="70"/>
  <c r="F109" i="70"/>
  <c r="R110" i="70"/>
  <c r="M109" i="70"/>
  <c r="H109" i="70" s="1"/>
  <c r="C111" i="69"/>
  <c r="E110" i="69"/>
  <c r="I109" i="69"/>
  <c r="H109" i="69"/>
  <c r="G109" i="69"/>
  <c r="F109" i="69"/>
  <c r="J109" i="69"/>
  <c r="Q111" i="69"/>
  <c r="L110" i="69"/>
  <c r="O110" i="69"/>
  <c r="T111" i="69"/>
  <c r="S111" i="69"/>
  <c r="N110" i="69"/>
  <c r="R111" i="69"/>
  <c r="M110" i="69"/>
  <c r="P111" i="69"/>
  <c r="K110" i="69"/>
  <c r="O111" i="63"/>
  <c r="T112" i="63"/>
  <c r="N110" i="63"/>
  <c r="S111" i="63"/>
  <c r="K110" i="63"/>
  <c r="P111" i="63"/>
  <c r="M110" i="63"/>
  <c r="R111" i="63"/>
  <c r="E110" i="63"/>
  <c r="C111" i="63"/>
  <c r="L109" i="63"/>
  <c r="G109" i="63" s="1"/>
  <c r="Q110" i="63"/>
  <c r="J109" i="63"/>
  <c r="I109" i="63"/>
  <c r="F109" i="63"/>
  <c r="H109" i="63"/>
  <c r="S112" i="71" l="1"/>
  <c r="N111" i="71"/>
  <c r="T112" i="71"/>
  <c r="O111" i="71"/>
  <c r="J110" i="71"/>
  <c r="I110" i="71"/>
  <c r="G110" i="71"/>
  <c r="F110" i="71"/>
  <c r="H110" i="71"/>
  <c r="L111" i="71"/>
  <c r="Q112" i="71"/>
  <c r="C112" i="71"/>
  <c r="E111" i="71"/>
  <c r="K111" i="71"/>
  <c r="P112" i="71"/>
  <c r="R112" i="71"/>
  <c r="M111" i="71"/>
  <c r="K112" i="70"/>
  <c r="P113" i="70"/>
  <c r="S112" i="70"/>
  <c r="N111" i="70"/>
  <c r="L111" i="70"/>
  <c r="Q112" i="70"/>
  <c r="I110" i="70"/>
  <c r="G110" i="70"/>
  <c r="F110" i="70"/>
  <c r="R111" i="70"/>
  <c r="M110" i="70"/>
  <c r="H110" i="70" s="1"/>
  <c r="T111" i="70"/>
  <c r="O110" i="70"/>
  <c r="J110" i="70" s="1"/>
  <c r="E111" i="70"/>
  <c r="C112" i="70"/>
  <c r="K111" i="69"/>
  <c r="P112" i="69"/>
  <c r="R112" i="69"/>
  <c r="M111" i="69"/>
  <c r="S112" i="69"/>
  <c r="N111" i="69"/>
  <c r="Q112" i="69"/>
  <c r="L111" i="69"/>
  <c r="T112" i="69"/>
  <c r="O111" i="69"/>
  <c r="J110" i="69"/>
  <c r="I110" i="69"/>
  <c r="H110" i="69"/>
  <c r="G110" i="69"/>
  <c r="F110" i="69"/>
  <c r="C112" i="69"/>
  <c r="E111" i="69"/>
  <c r="M111" i="63"/>
  <c r="R112" i="63"/>
  <c r="P112" i="63"/>
  <c r="K111" i="63"/>
  <c r="L110" i="63"/>
  <c r="G110" i="63" s="1"/>
  <c r="Q111" i="63"/>
  <c r="N111" i="63"/>
  <c r="S112" i="63"/>
  <c r="E111" i="63"/>
  <c r="C112" i="63"/>
  <c r="O112" i="63"/>
  <c r="T113" i="63"/>
  <c r="F110" i="63"/>
  <c r="J110" i="63"/>
  <c r="I110" i="63"/>
  <c r="H110" i="63"/>
  <c r="M112" i="71" l="1"/>
  <c r="R113" i="71"/>
  <c r="K112" i="71"/>
  <c r="P113" i="71"/>
  <c r="J111" i="71"/>
  <c r="I111" i="71"/>
  <c r="H111" i="71"/>
  <c r="G111" i="71"/>
  <c r="F111" i="71"/>
  <c r="E112" i="71"/>
  <c r="C113" i="71"/>
  <c r="L112" i="71"/>
  <c r="Q113" i="71"/>
  <c r="T113" i="71"/>
  <c r="O112" i="71"/>
  <c r="S113" i="71"/>
  <c r="N112" i="71"/>
  <c r="I111" i="70"/>
  <c r="F111" i="70"/>
  <c r="G111" i="70"/>
  <c r="T112" i="70"/>
  <c r="O111" i="70"/>
  <c r="J111" i="70" s="1"/>
  <c r="L112" i="70"/>
  <c r="Q113" i="70"/>
  <c r="M111" i="70"/>
  <c r="H111" i="70" s="1"/>
  <c r="R112" i="70"/>
  <c r="N112" i="70"/>
  <c r="S113" i="70"/>
  <c r="K113" i="70"/>
  <c r="P114" i="70"/>
  <c r="E112" i="70"/>
  <c r="C113" i="70"/>
  <c r="C113" i="69"/>
  <c r="E112" i="69"/>
  <c r="L112" i="69"/>
  <c r="Q113" i="69"/>
  <c r="S113" i="69"/>
  <c r="N112" i="69"/>
  <c r="R113" i="69"/>
  <c r="M112" i="69"/>
  <c r="K112" i="69"/>
  <c r="P113" i="69"/>
  <c r="J111" i="69"/>
  <c r="I111" i="69"/>
  <c r="H111" i="69"/>
  <c r="G111" i="69"/>
  <c r="F111" i="69"/>
  <c r="T113" i="69"/>
  <c r="O112" i="69"/>
  <c r="N112" i="63"/>
  <c r="S113" i="63"/>
  <c r="L111" i="63"/>
  <c r="G111" i="63" s="1"/>
  <c r="Q112" i="63"/>
  <c r="O113" i="63"/>
  <c r="T114" i="63"/>
  <c r="P113" i="63"/>
  <c r="K112" i="63"/>
  <c r="E112" i="63"/>
  <c r="C113" i="63"/>
  <c r="M112" i="63"/>
  <c r="R113" i="63"/>
  <c r="F111" i="63"/>
  <c r="H111" i="63"/>
  <c r="J111" i="63"/>
  <c r="I111" i="63"/>
  <c r="N113" i="71" l="1"/>
  <c r="S114" i="71"/>
  <c r="T114" i="71"/>
  <c r="O113" i="71"/>
  <c r="L113" i="71"/>
  <c r="Q114" i="71"/>
  <c r="K113" i="71"/>
  <c r="P114" i="71"/>
  <c r="E113" i="71"/>
  <c r="C114" i="71"/>
  <c r="J112" i="71"/>
  <c r="I112" i="71"/>
  <c r="H112" i="71"/>
  <c r="G112" i="71"/>
  <c r="F112" i="71"/>
  <c r="M113" i="71"/>
  <c r="R114" i="71"/>
  <c r="P115" i="70"/>
  <c r="K114" i="70"/>
  <c r="F112" i="70"/>
  <c r="J112" i="70"/>
  <c r="I112" i="70"/>
  <c r="G112" i="70"/>
  <c r="H112" i="70"/>
  <c r="T113" i="70"/>
  <c r="O112" i="70"/>
  <c r="M112" i="70"/>
  <c r="R113" i="70"/>
  <c r="S114" i="70"/>
  <c r="N113" i="70"/>
  <c r="C114" i="70"/>
  <c r="E113" i="70"/>
  <c r="Q114" i="70"/>
  <c r="L113" i="70"/>
  <c r="T114" i="69"/>
  <c r="O113" i="69"/>
  <c r="M113" i="69"/>
  <c r="R114" i="69"/>
  <c r="S114" i="69"/>
  <c r="N113" i="69"/>
  <c r="L113" i="69"/>
  <c r="Q114" i="69"/>
  <c r="K113" i="69"/>
  <c r="P114" i="69"/>
  <c r="J112" i="69"/>
  <c r="I112" i="69"/>
  <c r="H112" i="69"/>
  <c r="G112" i="69"/>
  <c r="F112" i="69"/>
  <c r="E113" i="69"/>
  <c r="C114" i="69"/>
  <c r="P114" i="63"/>
  <c r="K113" i="63"/>
  <c r="O114" i="63"/>
  <c r="T115" i="63"/>
  <c r="R114" i="63"/>
  <c r="M113" i="63"/>
  <c r="Q113" i="63"/>
  <c r="L112" i="63"/>
  <c r="G112" i="63" s="1"/>
  <c r="E113" i="63"/>
  <c r="C114" i="63"/>
  <c r="N113" i="63"/>
  <c r="S114" i="63"/>
  <c r="H112" i="63"/>
  <c r="F112" i="63"/>
  <c r="I112" i="63"/>
  <c r="J112" i="63"/>
  <c r="P115" i="71" l="1"/>
  <c r="K114" i="71"/>
  <c r="L114" i="71"/>
  <c r="Q115" i="71"/>
  <c r="O114" i="71"/>
  <c r="T115" i="71"/>
  <c r="E114" i="71"/>
  <c r="C115" i="71"/>
  <c r="N114" i="71"/>
  <c r="S115" i="71"/>
  <c r="M114" i="71"/>
  <c r="R115" i="71"/>
  <c r="F113" i="71"/>
  <c r="J113" i="71"/>
  <c r="I113" i="71"/>
  <c r="H113" i="71"/>
  <c r="G113" i="71"/>
  <c r="L114" i="70"/>
  <c r="Q115" i="70"/>
  <c r="T114" i="70"/>
  <c r="O113" i="70"/>
  <c r="G113" i="70"/>
  <c r="F113" i="70"/>
  <c r="J113" i="70"/>
  <c r="I113" i="70"/>
  <c r="C115" i="70"/>
  <c r="E114" i="70"/>
  <c r="N114" i="70"/>
  <c r="S115" i="70"/>
  <c r="R114" i="70"/>
  <c r="M113" i="70"/>
  <c r="H113" i="70" s="1"/>
  <c r="P116" i="70"/>
  <c r="K115" i="70"/>
  <c r="J113" i="69"/>
  <c r="I113" i="69"/>
  <c r="H113" i="69"/>
  <c r="G113" i="69"/>
  <c r="F113" i="69"/>
  <c r="L114" i="69"/>
  <c r="Q115" i="69"/>
  <c r="N114" i="69"/>
  <c r="S115" i="69"/>
  <c r="M114" i="69"/>
  <c r="R115" i="69"/>
  <c r="K114" i="69"/>
  <c r="P115" i="69"/>
  <c r="E114" i="69"/>
  <c r="C115" i="69"/>
  <c r="T115" i="69"/>
  <c r="O114" i="69"/>
  <c r="Q114" i="63"/>
  <c r="L113" i="63"/>
  <c r="G113" i="63" s="1"/>
  <c r="R115" i="63"/>
  <c r="M114" i="63"/>
  <c r="S115" i="63"/>
  <c r="N114" i="63"/>
  <c r="T116" i="63"/>
  <c r="O115" i="63"/>
  <c r="C115" i="63"/>
  <c r="E114" i="63"/>
  <c r="I113" i="63"/>
  <c r="H113" i="63"/>
  <c r="F113" i="63"/>
  <c r="J113" i="63"/>
  <c r="P115" i="63"/>
  <c r="K114" i="63"/>
  <c r="E115" i="71" l="1"/>
  <c r="C116" i="71"/>
  <c r="G114" i="71"/>
  <c r="F114" i="71"/>
  <c r="J114" i="71"/>
  <c r="I114" i="71"/>
  <c r="H114" i="71"/>
  <c r="O115" i="71"/>
  <c r="T116" i="71"/>
  <c r="M115" i="71"/>
  <c r="R116" i="71"/>
  <c r="Q116" i="71"/>
  <c r="L115" i="71"/>
  <c r="N115" i="71"/>
  <c r="S116" i="71"/>
  <c r="P116" i="71"/>
  <c r="K115" i="71"/>
  <c r="R115" i="70"/>
  <c r="M114" i="70"/>
  <c r="H114" i="70" s="1"/>
  <c r="N115" i="70"/>
  <c r="S116" i="70"/>
  <c r="P117" i="70"/>
  <c r="K116" i="70"/>
  <c r="G114" i="70"/>
  <c r="F114" i="70"/>
  <c r="I114" i="70"/>
  <c r="O114" i="70"/>
  <c r="J114" i="70" s="1"/>
  <c r="T115" i="70"/>
  <c r="E115" i="70"/>
  <c r="C116" i="70"/>
  <c r="Q116" i="70"/>
  <c r="L115" i="70"/>
  <c r="O115" i="69"/>
  <c r="T116" i="69"/>
  <c r="F114" i="69"/>
  <c r="J114" i="69"/>
  <c r="I114" i="69"/>
  <c r="H114" i="69"/>
  <c r="G114" i="69"/>
  <c r="P116" i="69"/>
  <c r="K115" i="69"/>
  <c r="M115" i="69"/>
  <c r="R116" i="69"/>
  <c r="E115" i="69"/>
  <c r="C116" i="69"/>
  <c r="L115" i="69"/>
  <c r="Q116" i="69"/>
  <c r="N115" i="69"/>
  <c r="S116" i="69"/>
  <c r="T117" i="63"/>
  <c r="O116" i="63"/>
  <c r="K115" i="63"/>
  <c r="P116" i="63"/>
  <c r="S116" i="63"/>
  <c r="N115" i="63"/>
  <c r="R116" i="63"/>
  <c r="M115" i="63"/>
  <c r="J114" i="63"/>
  <c r="I114" i="63"/>
  <c r="H114" i="63"/>
  <c r="F114" i="63"/>
  <c r="C116" i="63"/>
  <c r="E115" i="63"/>
  <c r="Q115" i="63"/>
  <c r="L114" i="63"/>
  <c r="G114" i="63" s="1"/>
  <c r="P117" i="71" l="1"/>
  <c r="K116" i="71"/>
  <c r="N116" i="71"/>
  <c r="S117" i="71"/>
  <c r="Q117" i="71"/>
  <c r="L116" i="71"/>
  <c r="R117" i="71"/>
  <c r="M116" i="71"/>
  <c r="E116" i="71"/>
  <c r="C117" i="71"/>
  <c r="O116" i="71"/>
  <c r="T117" i="71"/>
  <c r="H115" i="71"/>
  <c r="G115" i="71"/>
  <c r="F115" i="71"/>
  <c r="J115" i="71"/>
  <c r="I115" i="71"/>
  <c r="E116" i="70"/>
  <c r="C117" i="70"/>
  <c r="G115" i="70"/>
  <c r="F115" i="70"/>
  <c r="I115" i="70"/>
  <c r="Q117" i="70"/>
  <c r="L116" i="70"/>
  <c r="N116" i="70"/>
  <c r="S117" i="70"/>
  <c r="P118" i="70"/>
  <c r="K117" i="70"/>
  <c r="O115" i="70"/>
  <c r="J115" i="70" s="1"/>
  <c r="T116" i="70"/>
  <c r="M115" i="70"/>
  <c r="H115" i="70" s="1"/>
  <c r="R116" i="70"/>
  <c r="P117" i="69"/>
  <c r="K116" i="69"/>
  <c r="Q117" i="69"/>
  <c r="L116" i="69"/>
  <c r="E116" i="69"/>
  <c r="C117" i="69"/>
  <c r="G115" i="69"/>
  <c r="F115" i="69"/>
  <c r="J115" i="69"/>
  <c r="I115" i="69"/>
  <c r="H115" i="69"/>
  <c r="M116" i="69"/>
  <c r="R117" i="69"/>
  <c r="O116" i="69"/>
  <c r="T117" i="69"/>
  <c r="N116" i="69"/>
  <c r="S117" i="69"/>
  <c r="Q116" i="63"/>
  <c r="L115" i="63"/>
  <c r="G115" i="63" s="1"/>
  <c r="J115" i="63"/>
  <c r="I115" i="63"/>
  <c r="H115" i="63"/>
  <c r="F115" i="63"/>
  <c r="R117" i="63"/>
  <c r="M116" i="63"/>
  <c r="C117" i="63"/>
  <c r="E116" i="63"/>
  <c r="S117" i="63"/>
  <c r="N116" i="63"/>
  <c r="K116" i="63"/>
  <c r="P117" i="63"/>
  <c r="T118" i="63"/>
  <c r="O117" i="63"/>
  <c r="R118" i="71" l="1"/>
  <c r="M117" i="71"/>
  <c r="Q118" i="71"/>
  <c r="L117" i="71"/>
  <c r="O117" i="71"/>
  <c r="T118" i="71"/>
  <c r="S118" i="71"/>
  <c r="N117" i="71"/>
  <c r="C118" i="71"/>
  <c r="E117" i="71"/>
  <c r="I116" i="71"/>
  <c r="H116" i="71"/>
  <c r="G116" i="71"/>
  <c r="F116" i="71"/>
  <c r="J116" i="71"/>
  <c r="P118" i="71"/>
  <c r="K117" i="71"/>
  <c r="Q118" i="70"/>
  <c r="L117" i="70"/>
  <c r="K118" i="70"/>
  <c r="P119" i="70"/>
  <c r="S118" i="70"/>
  <c r="N117" i="70"/>
  <c r="O116" i="70"/>
  <c r="J116" i="70" s="1"/>
  <c r="T117" i="70"/>
  <c r="C118" i="70"/>
  <c r="E117" i="70"/>
  <c r="R117" i="70"/>
  <c r="M116" i="70"/>
  <c r="H116" i="70" s="1"/>
  <c r="I116" i="70"/>
  <c r="G116" i="70"/>
  <c r="F116" i="70"/>
  <c r="O117" i="69"/>
  <c r="T118" i="69"/>
  <c r="E117" i="69"/>
  <c r="C118" i="69"/>
  <c r="R118" i="69"/>
  <c r="M117" i="69"/>
  <c r="H116" i="69"/>
  <c r="G116" i="69"/>
  <c r="F116" i="69"/>
  <c r="J116" i="69"/>
  <c r="I116" i="69"/>
  <c r="Q118" i="69"/>
  <c r="L117" i="69"/>
  <c r="N117" i="69"/>
  <c r="S118" i="69"/>
  <c r="P118" i="69"/>
  <c r="K117" i="69"/>
  <c r="T119" i="63"/>
  <c r="O118" i="63"/>
  <c r="M117" i="63"/>
  <c r="R118" i="63"/>
  <c r="K117" i="63"/>
  <c r="P118" i="63"/>
  <c r="S118" i="63"/>
  <c r="N117" i="63"/>
  <c r="J116" i="63"/>
  <c r="I116" i="63"/>
  <c r="H116" i="63"/>
  <c r="F116" i="63"/>
  <c r="E117" i="63"/>
  <c r="C118" i="63"/>
  <c r="L116" i="63"/>
  <c r="G116" i="63" s="1"/>
  <c r="Q117" i="63"/>
  <c r="K118" i="71" l="1"/>
  <c r="P119" i="71"/>
  <c r="S119" i="71"/>
  <c r="N118" i="71"/>
  <c r="T119" i="71"/>
  <c r="O118" i="71"/>
  <c r="Q119" i="71"/>
  <c r="L118" i="71"/>
  <c r="J117" i="71"/>
  <c r="I117" i="71"/>
  <c r="H117" i="71"/>
  <c r="G117" i="71"/>
  <c r="F117" i="71"/>
  <c r="C119" i="71"/>
  <c r="E118" i="71"/>
  <c r="R119" i="71"/>
  <c r="M118" i="71"/>
  <c r="O117" i="70"/>
  <c r="J117" i="70" s="1"/>
  <c r="T118" i="70"/>
  <c r="K119" i="70"/>
  <c r="P120" i="70"/>
  <c r="S119" i="70"/>
  <c r="N118" i="70"/>
  <c r="R118" i="70"/>
  <c r="M117" i="70"/>
  <c r="H117" i="70" s="1"/>
  <c r="I117" i="70"/>
  <c r="G117" i="70"/>
  <c r="F117" i="70"/>
  <c r="C119" i="70"/>
  <c r="E118" i="70"/>
  <c r="Q119" i="70"/>
  <c r="L118" i="70"/>
  <c r="P119" i="69"/>
  <c r="K118" i="69"/>
  <c r="S119" i="69"/>
  <c r="N118" i="69"/>
  <c r="R119" i="69"/>
  <c r="M118" i="69"/>
  <c r="Q119" i="69"/>
  <c r="L118" i="69"/>
  <c r="C119" i="69"/>
  <c r="E118" i="69"/>
  <c r="I117" i="69"/>
  <c r="H117" i="69"/>
  <c r="G117" i="69"/>
  <c r="F117" i="69"/>
  <c r="J117" i="69"/>
  <c r="O118" i="69"/>
  <c r="T119" i="69"/>
  <c r="N118" i="63"/>
  <c r="S119" i="63"/>
  <c r="E118" i="63"/>
  <c r="C119" i="63"/>
  <c r="J117" i="63"/>
  <c r="I117" i="63"/>
  <c r="H117" i="63"/>
  <c r="F117" i="63"/>
  <c r="K118" i="63"/>
  <c r="P119" i="63"/>
  <c r="M118" i="63"/>
  <c r="R119" i="63"/>
  <c r="L117" i="63"/>
  <c r="G117" i="63" s="1"/>
  <c r="Q118" i="63"/>
  <c r="O119" i="63"/>
  <c r="T120" i="63"/>
  <c r="R120" i="71" l="1"/>
  <c r="M119" i="71"/>
  <c r="L119" i="71"/>
  <c r="Q120" i="71"/>
  <c r="C120" i="71"/>
  <c r="E119" i="71"/>
  <c r="T120" i="71"/>
  <c r="O119" i="71"/>
  <c r="J118" i="71"/>
  <c r="I118" i="71"/>
  <c r="H118" i="71"/>
  <c r="G118" i="71"/>
  <c r="F118" i="71"/>
  <c r="S120" i="71"/>
  <c r="N119" i="71"/>
  <c r="K119" i="71"/>
  <c r="P120" i="71"/>
  <c r="L119" i="70"/>
  <c r="Q120" i="70"/>
  <c r="I118" i="70"/>
  <c r="G118" i="70"/>
  <c r="F118" i="70"/>
  <c r="R119" i="70"/>
  <c r="M118" i="70"/>
  <c r="H118" i="70" s="1"/>
  <c r="C120" i="70"/>
  <c r="E119" i="70"/>
  <c r="K120" i="70"/>
  <c r="P121" i="70"/>
  <c r="T119" i="70"/>
  <c r="O118" i="70"/>
  <c r="J118" i="70" s="1"/>
  <c r="S120" i="70"/>
  <c r="N119" i="70"/>
  <c r="Q120" i="69"/>
  <c r="L119" i="69"/>
  <c r="R120" i="69"/>
  <c r="M119" i="69"/>
  <c r="S120" i="69"/>
  <c r="N119" i="69"/>
  <c r="J118" i="69"/>
  <c r="I118" i="69"/>
  <c r="H118" i="69"/>
  <c r="G118" i="69"/>
  <c r="F118" i="69"/>
  <c r="T120" i="69"/>
  <c r="O119" i="69"/>
  <c r="C120" i="69"/>
  <c r="E119" i="69"/>
  <c r="K119" i="69"/>
  <c r="P120" i="69"/>
  <c r="L118" i="63"/>
  <c r="G118" i="63" s="1"/>
  <c r="Q119" i="63"/>
  <c r="M119" i="63"/>
  <c r="R120" i="63"/>
  <c r="E119" i="63"/>
  <c r="C120" i="63"/>
  <c r="P120" i="63"/>
  <c r="K119" i="63"/>
  <c r="F118" i="63"/>
  <c r="J118" i="63"/>
  <c r="I118" i="63"/>
  <c r="H118" i="63"/>
  <c r="N119" i="63"/>
  <c r="S120" i="63"/>
  <c r="O120" i="63"/>
  <c r="T121" i="63"/>
  <c r="T121" i="71" l="1"/>
  <c r="O120" i="71"/>
  <c r="S121" i="71"/>
  <c r="N120" i="71"/>
  <c r="J119" i="71"/>
  <c r="I119" i="71"/>
  <c r="H119" i="71"/>
  <c r="G119" i="71"/>
  <c r="F119" i="71"/>
  <c r="E120" i="71"/>
  <c r="C121" i="71"/>
  <c r="L120" i="71"/>
  <c r="Q121" i="71"/>
  <c r="K120" i="71"/>
  <c r="P121" i="71"/>
  <c r="M120" i="71"/>
  <c r="R121" i="71"/>
  <c r="S121" i="70"/>
  <c r="N120" i="70"/>
  <c r="T120" i="70"/>
  <c r="O119" i="70"/>
  <c r="J119" i="70" s="1"/>
  <c r="K121" i="70"/>
  <c r="P122" i="70"/>
  <c r="R120" i="70"/>
  <c r="M119" i="70"/>
  <c r="H119" i="70" s="1"/>
  <c r="I119" i="70"/>
  <c r="G119" i="70"/>
  <c r="F119" i="70"/>
  <c r="E120" i="70"/>
  <c r="C121" i="70"/>
  <c r="L120" i="70"/>
  <c r="Q121" i="70"/>
  <c r="C121" i="69"/>
  <c r="E120" i="69"/>
  <c r="S121" i="69"/>
  <c r="N120" i="69"/>
  <c r="J119" i="69"/>
  <c r="I119" i="69"/>
  <c r="H119" i="69"/>
  <c r="G119" i="69"/>
  <c r="F119" i="69"/>
  <c r="T121" i="69"/>
  <c r="O120" i="69"/>
  <c r="R121" i="69"/>
  <c r="M120" i="69"/>
  <c r="P121" i="69"/>
  <c r="K120" i="69"/>
  <c r="Q121" i="69"/>
  <c r="L120" i="69"/>
  <c r="P121" i="63"/>
  <c r="K120" i="63"/>
  <c r="E120" i="63"/>
  <c r="C121" i="63"/>
  <c r="N120" i="63"/>
  <c r="S121" i="63"/>
  <c r="F119" i="63"/>
  <c r="J119" i="63"/>
  <c r="H119" i="63"/>
  <c r="I119" i="63"/>
  <c r="M120" i="63"/>
  <c r="R121" i="63"/>
  <c r="L119" i="63"/>
  <c r="G119" i="63" s="1"/>
  <c r="Q120" i="63"/>
  <c r="O121" i="63"/>
  <c r="T122" i="63"/>
  <c r="K121" i="71" l="1"/>
  <c r="P122" i="71"/>
  <c r="L121" i="71"/>
  <c r="Q122" i="71"/>
  <c r="N121" i="71"/>
  <c r="S122" i="71"/>
  <c r="E121" i="71"/>
  <c r="C122" i="71"/>
  <c r="J120" i="71"/>
  <c r="I120" i="71"/>
  <c r="H120" i="71"/>
  <c r="G120" i="71"/>
  <c r="F120" i="71"/>
  <c r="M121" i="71"/>
  <c r="R122" i="71"/>
  <c r="T122" i="71"/>
  <c r="O121" i="71"/>
  <c r="I120" i="70"/>
  <c r="G120" i="70"/>
  <c r="F120" i="70"/>
  <c r="P123" i="70"/>
  <c r="K122" i="70"/>
  <c r="E121" i="70"/>
  <c r="C122" i="70"/>
  <c r="T121" i="70"/>
  <c r="O120" i="70"/>
  <c r="J120" i="70" s="1"/>
  <c r="M120" i="70"/>
  <c r="H120" i="70" s="1"/>
  <c r="R121" i="70"/>
  <c r="L121" i="70"/>
  <c r="Q122" i="70"/>
  <c r="N121" i="70"/>
  <c r="S122" i="70"/>
  <c r="L121" i="69"/>
  <c r="Q122" i="69"/>
  <c r="K121" i="69"/>
  <c r="P122" i="69"/>
  <c r="M121" i="69"/>
  <c r="R122" i="69"/>
  <c r="N121" i="69"/>
  <c r="S122" i="69"/>
  <c r="T122" i="69"/>
  <c r="O121" i="69"/>
  <c r="J120" i="69"/>
  <c r="I120" i="69"/>
  <c r="H120" i="69"/>
  <c r="G120" i="69"/>
  <c r="F120" i="69"/>
  <c r="E121" i="69"/>
  <c r="C122" i="69"/>
  <c r="Q121" i="63"/>
  <c r="L120" i="63"/>
  <c r="G120" i="63" s="1"/>
  <c r="N121" i="63"/>
  <c r="S122" i="63"/>
  <c r="R122" i="63"/>
  <c r="M121" i="63"/>
  <c r="E121" i="63"/>
  <c r="C122" i="63"/>
  <c r="H120" i="63"/>
  <c r="F120" i="63"/>
  <c r="I120" i="63"/>
  <c r="J120" i="63"/>
  <c r="O122" i="63"/>
  <c r="T123" i="63"/>
  <c r="P122" i="63"/>
  <c r="K121" i="63"/>
  <c r="O122" i="71" l="1"/>
  <c r="T123" i="71"/>
  <c r="E122" i="71"/>
  <c r="C123" i="71"/>
  <c r="M122" i="71"/>
  <c r="R123" i="71"/>
  <c r="F121" i="71"/>
  <c r="J121" i="71"/>
  <c r="I121" i="71"/>
  <c r="H121" i="71"/>
  <c r="G121" i="71"/>
  <c r="N122" i="71"/>
  <c r="S123" i="71"/>
  <c r="L122" i="71"/>
  <c r="Q123" i="71"/>
  <c r="P123" i="71"/>
  <c r="K122" i="71"/>
  <c r="F121" i="70"/>
  <c r="I121" i="70"/>
  <c r="G121" i="70"/>
  <c r="L122" i="70"/>
  <c r="Q123" i="70"/>
  <c r="P124" i="70"/>
  <c r="K123" i="70"/>
  <c r="M121" i="70"/>
  <c r="H121" i="70" s="1"/>
  <c r="R122" i="70"/>
  <c r="T122" i="70"/>
  <c r="O121" i="70"/>
  <c r="J121" i="70" s="1"/>
  <c r="N122" i="70"/>
  <c r="S123" i="70"/>
  <c r="E122" i="70"/>
  <c r="C123" i="70"/>
  <c r="F121" i="69"/>
  <c r="J121" i="69"/>
  <c r="I121" i="69"/>
  <c r="H121" i="69"/>
  <c r="G121" i="69"/>
  <c r="N122" i="69"/>
  <c r="S123" i="69"/>
  <c r="M122" i="69"/>
  <c r="R123" i="69"/>
  <c r="P123" i="69"/>
  <c r="K122" i="69"/>
  <c r="L122" i="69"/>
  <c r="Q123" i="69"/>
  <c r="E122" i="69"/>
  <c r="C123" i="69"/>
  <c r="O122" i="69"/>
  <c r="T123" i="69"/>
  <c r="P123" i="63"/>
  <c r="K122" i="63"/>
  <c r="C123" i="63"/>
  <c r="E122" i="63"/>
  <c r="I121" i="63"/>
  <c r="H121" i="63"/>
  <c r="F121" i="63"/>
  <c r="J121" i="63"/>
  <c r="R123" i="63"/>
  <c r="M122" i="63"/>
  <c r="S123" i="63"/>
  <c r="N122" i="63"/>
  <c r="T124" i="63"/>
  <c r="O123" i="63"/>
  <c r="Q122" i="63"/>
  <c r="L121" i="63"/>
  <c r="G121" i="63" s="1"/>
  <c r="P124" i="71" l="1"/>
  <c r="K123" i="71"/>
  <c r="Q124" i="71"/>
  <c r="L123" i="71"/>
  <c r="M123" i="71"/>
  <c r="R124" i="71"/>
  <c r="N123" i="71"/>
  <c r="S124" i="71"/>
  <c r="E123" i="71"/>
  <c r="C124" i="71"/>
  <c r="G122" i="71"/>
  <c r="F122" i="71"/>
  <c r="J122" i="71"/>
  <c r="I122" i="71"/>
  <c r="H122" i="71"/>
  <c r="O123" i="71"/>
  <c r="T124" i="71"/>
  <c r="P125" i="70"/>
  <c r="K124" i="70"/>
  <c r="O122" i="70"/>
  <c r="J122" i="70" s="1"/>
  <c r="T123" i="70"/>
  <c r="Q124" i="70"/>
  <c r="L123" i="70"/>
  <c r="M122" i="70"/>
  <c r="H122" i="70" s="1"/>
  <c r="R123" i="70"/>
  <c r="G122" i="70"/>
  <c r="F122" i="70"/>
  <c r="I122" i="70"/>
  <c r="N123" i="70"/>
  <c r="S124" i="70"/>
  <c r="E123" i="70"/>
  <c r="C124" i="70"/>
  <c r="E123" i="69"/>
  <c r="C124" i="69"/>
  <c r="N123" i="69"/>
  <c r="S124" i="69"/>
  <c r="G122" i="69"/>
  <c r="F122" i="69"/>
  <c r="J122" i="69"/>
  <c r="I122" i="69"/>
  <c r="H122" i="69"/>
  <c r="Q124" i="69"/>
  <c r="L123" i="69"/>
  <c r="P124" i="69"/>
  <c r="K123" i="69"/>
  <c r="O123" i="69"/>
  <c r="T124" i="69"/>
  <c r="M123" i="69"/>
  <c r="R124" i="69"/>
  <c r="Q123" i="63"/>
  <c r="L122" i="63"/>
  <c r="G122" i="63" s="1"/>
  <c r="T125" i="63"/>
  <c r="O124" i="63"/>
  <c r="S124" i="63"/>
  <c r="N123" i="63"/>
  <c r="J122" i="63"/>
  <c r="I122" i="63"/>
  <c r="H122" i="63"/>
  <c r="F122" i="63"/>
  <c r="C124" i="63"/>
  <c r="E123" i="63"/>
  <c r="R124" i="63"/>
  <c r="M123" i="63"/>
  <c r="K123" i="63"/>
  <c r="P124" i="63"/>
  <c r="N124" i="71" l="1"/>
  <c r="S125" i="71"/>
  <c r="R125" i="71"/>
  <c r="M124" i="71"/>
  <c r="Q125" i="71"/>
  <c r="L124" i="71"/>
  <c r="E124" i="71"/>
  <c r="C125" i="71"/>
  <c r="O124" i="71"/>
  <c r="T125" i="71"/>
  <c r="H123" i="71"/>
  <c r="G123" i="71"/>
  <c r="F123" i="71"/>
  <c r="J123" i="71"/>
  <c r="I123" i="71"/>
  <c r="P125" i="71"/>
  <c r="K124" i="71"/>
  <c r="G123" i="70"/>
  <c r="F123" i="70"/>
  <c r="I123" i="70"/>
  <c r="M123" i="70"/>
  <c r="H123" i="70" s="1"/>
  <c r="R124" i="70"/>
  <c r="Q125" i="70"/>
  <c r="L124" i="70"/>
  <c r="N124" i="70"/>
  <c r="S125" i="70"/>
  <c r="O123" i="70"/>
  <c r="J123" i="70" s="1"/>
  <c r="T124" i="70"/>
  <c r="E124" i="70"/>
  <c r="C125" i="70"/>
  <c r="P126" i="70"/>
  <c r="K125" i="70"/>
  <c r="O124" i="69"/>
  <c r="T125" i="69"/>
  <c r="P125" i="69"/>
  <c r="K124" i="69"/>
  <c r="N124" i="69"/>
  <c r="S125" i="69"/>
  <c r="Q125" i="69"/>
  <c r="L124" i="69"/>
  <c r="E124" i="69"/>
  <c r="C125" i="69"/>
  <c r="R125" i="69"/>
  <c r="M124" i="69"/>
  <c r="H123" i="69"/>
  <c r="G123" i="69"/>
  <c r="F123" i="69"/>
  <c r="J123" i="69"/>
  <c r="I123" i="69"/>
  <c r="R125" i="63"/>
  <c r="M124" i="63"/>
  <c r="J123" i="63"/>
  <c r="I123" i="63"/>
  <c r="H123" i="63"/>
  <c r="F123" i="63"/>
  <c r="S125" i="63"/>
  <c r="N124" i="63"/>
  <c r="C125" i="63"/>
  <c r="E124" i="63"/>
  <c r="T126" i="63"/>
  <c r="O125" i="63"/>
  <c r="K124" i="63"/>
  <c r="P125" i="63"/>
  <c r="Q124" i="63"/>
  <c r="L123" i="63"/>
  <c r="G123" i="63" s="1"/>
  <c r="P126" i="71" l="1"/>
  <c r="K125" i="71"/>
  <c r="C126" i="71"/>
  <c r="E125" i="71"/>
  <c r="I124" i="71"/>
  <c r="H124" i="71"/>
  <c r="G124" i="71"/>
  <c r="F124" i="71"/>
  <c r="J124" i="71"/>
  <c r="Q126" i="71"/>
  <c r="L125" i="71"/>
  <c r="R126" i="71"/>
  <c r="M125" i="71"/>
  <c r="O125" i="71"/>
  <c r="T126" i="71"/>
  <c r="S126" i="71"/>
  <c r="N125" i="71"/>
  <c r="K126" i="70"/>
  <c r="P127" i="70"/>
  <c r="O124" i="70"/>
  <c r="J124" i="70" s="1"/>
  <c r="T125" i="70"/>
  <c r="R125" i="70"/>
  <c r="M124" i="70"/>
  <c r="H124" i="70" s="1"/>
  <c r="Q126" i="70"/>
  <c r="L125" i="70"/>
  <c r="C126" i="70"/>
  <c r="E125" i="70"/>
  <c r="S126" i="70"/>
  <c r="N125" i="70"/>
  <c r="I124" i="70"/>
  <c r="G124" i="70"/>
  <c r="F124" i="70"/>
  <c r="Q126" i="69"/>
  <c r="L125" i="69"/>
  <c r="S126" i="69"/>
  <c r="N125" i="69"/>
  <c r="R126" i="69"/>
  <c r="M125" i="69"/>
  <c r="P126" i="69"/>
  <c r="K125" i="69"/>
  <c r="C126" i="69"/>
  <c r="E125" i="69"/>
  <c r="O125" i="69"/>
  <c r="T126" i="69"/>
  <c r="I124" i="69"/>
  <c r="H124" i="69"/>
  <c r="G124" i="69"/>
  <c r="F124" i="69"/>
  <c r="J124" i="69"/>
  <c r="L124" i="63"/>
  <c r="G124" i="63" s="1"/>
  <c r="Q125" i="63"/>
  <c r="S126" i="63"/>
  <c r="N125" i="63"/>
  <c r="K125" i="63"/>
  <c r="P126" i="63"/>
  <c r="T127" i="63"/>
  <c r="O126" i="63"/>
  <c r="J124" i="63"/>
  <c r="I124" i="63"/>
  <c r="H124" i="63"/>
  <c r="F124" i="63"/>
  <c r="E125" i="63"/>
  <c r="C126" i="63"/>
  <c r="M125" i="63"/>
  <c r="R126" i="63"/>
  <c r="S127" i="71" l="1"/>
  <c r="N126" i="71"/>
  <c r="T127" i="71"/>
  <c r="O126" i="71"/>
  <c r="R127" i="71"/>
  <c r="M126" i="71"/>
  <c r="J125" i="71"/>
  <c r="I125" i="71"/>
  <c r="H125" i="71"/>
  <c r="G125" i="71"/>
  <c r="F125" i="71"/>
  <c r="C127" i="71"/>
  <c r="E126" i="71"/>
  <c r="Q127" i="71"/>
  <c r="L126" i="71"/>
  <c r="K126" i="71"/>
  <c r="P127" i="71"/>
  <c r="Q127" i="70"/>
  <c r="L126" i="70"/>
  <c r="R126" i="70"/>
  <c r="M125" i="70"/>
  <c r="H125" i="70" s="1"/>
  <c r="O125" i="70"/>
  <c r="J125" i="70" s="1"/>
  <c r="T126" i="70"/>
  <c r="S127" i="70"/>
  <c r="N126" i="70"/>
  <c r="I125" i="70"/>
  <c r="G125" i="70"/>
  <c r="F125" i="70"/>
  <c r="K127" i="70"/>
  <c r="P128" i="70"/>
  <c r="C127" i="70"/>
  <c r="E126" i="70"/>
  <c r="K126" i="69"/>
  <c r="P127" i="69"/>
  <c r="R127" i="69"/>
  <c r="M126" i="69"/>
  <c r="T127" i="69"/>
  <c r="O126" i="69"/>
  <c r="S127" i="69"/>
  <c r="N126" i="69"/>
  <c r="J125" i="69"/>
  <c r="I125" i="69"/>
  <c r="H125" i="69"/>
  <c r="G125" i="69"/>
  <c r="F125" i="69"/>
  <c r="C127" i="69"/>
  <c r="E126" i="69"/>
  <c r="Q127" i="69"/>
  <c r="L126" i="69"/>
  <c r="E126" i="63"/>
  <c r="C127" i="63"/>
  <c r="O127" i="63"/>
  <c r="T128" i="63"/>
  <c r="K126" i="63"/>
  <c r="P127" i="63"/>
  <c r="J125" i="63"/>
  <c r="I125" i="63"/>
  <c r="H125" i="63"/>
  <c r="F125" i="63"/>
  <c r="N126" i="63"/>
  <c r="S127" i="63"/>
  <c r="L125" i="63"/>
  <c r="G125" i="63" s="1"/>
  <c r="Q126" i="63"/>
  <c r="M126" i="63"/>
  <c r="R127" i="63"/>
  <c r="L127" i="71" l="1"/>
  <c r="Q128" i="71"/>
  <c r="J126" i="71"/>
  <c r="I126" i="71"/>
  <c r="H126" i="71"/>
  <c r="G126" i="71"/>
  <c r="F126" i="71"/>
  <c r="R128" i="71"/>
  <c r="M127" i="71"/>
  <c r="C128" i="71"/>
  <c r="E127" i="71"/>
  <c r="T128" i="71"/>
  <c r="O127" i="71"/>
  <c r="K127" i="71"/>
  <c r="P128" i="71"/>
  <c r="S128" i="71"/>
  <c r="N127" i="71"/>
  <c r="S128" i="70"/>
  <c r="N127" i="70"/>
  <c r="C128" i="70"/>
  <c r="E127" i="70"/>
  <c r="K128" i="70"/>
  <c r="P129" i="70"/>
  <c r="T127" i="70"/>
  <c r="O126" i="70"/>
  <c r="J126" i="70" s="1"/>
  <c r="R127" i="70"/>
  <c r="M126" i="70"/>
  <c r="H126" i="70" s="1"/>
  <c r="I126" i="70"/>
  <c r="G126" i="70"/>
  <c r="F126" i="70"/>
  <c r="L127" i="70"/>
  <c r="Q128" i="70"/>
  <c r="J126" i="69"/>
  <c r="I126" i="69"/>
  <c r="H126" i="69"/>
  <c r="G126" i="69"/>
  <c r="F126" i="69"/>
  <c r="S128" i="69"/>
  <c r="N127" i="69"/>
  <c r="C128" i="69"/>
  <c r="E127" i="69"/>
  <c r="T128" i="69"/>
  <c r="O127" i="69"/>
  <c r="L127" i="69"/>
  <c r="Q128" i="69"/>
  <c r="R128" i="69"/>
  <c r="M127" i="69"/>
  <c r="K127" i="69"/>
  <c r="P128" i="69"/>
  <c r="P128" i="63"/>
  <c r="K127" i="63"/>
  <c r="N127" i="63"/>
  <c r="S128" i="63"/>
  <c r="T129" i="63"/>
  <c r="O128" i="63"/>
  <c r="L126" i="63"/>
  <c r="G126" i="63" s="1"/>
  <c r="Q127" i="63"/>
  <c r="E127" i="63"/>
  <c r="C128" i="63"/>
  <c r="M127" i="63"/>
  <c r="R128" i="63"/>
  <c r="F126" i="63"/>
  <c r="J126" i="63"/>
  <c r="I126" i="63"/>
  <c r="H126" i="63"/>
  <c r="S129" i="71" l="1"/>
  <c r="N128" i="71"/>
  <c r="M128" i="71"/>
  <c r="R129" i="71"/>
  <c r="K128" i="71"/>
  <c r="P129" i="71"/>
  <c r="T129" i="71"/>
  <c r="O128" i="71"/>
  <c r="J127" i="71"/>
  <c r="I127" i="71"/>
  <c r="H127" i="71"/>
  <c r="G127" i="71"/>
  <c r="F127" i="71"/>
  <c r="E128" i="71"/>
  <c r="C129" i="71"/>
  <c r="L128" i="71"/>
  <c r="Q129" i="71"/>
  <c r="T128" i="70"/>
  <c r="O127" i="70"/>
  <c r="K129" i="70"/>
  <c r="P130" i="70"/>
  <c r="J127" i="70"/>
  <c r="I127" i="70"/>
  <c r="G127" i="70"/>
  <c r="F127" i="70"/>
  <c r="E128" i="70"/>
  <c r="C129" i="70"/>
  <c r="L128" i="70"/>
  <c r="Q129" i="70"/>
  <c r="R128" i="70"/>
  <c r="M127" i="70"/>
  <c r="H127" i="70" s="1"/>
  <c r="S129" i="70"/>
  <c r="N128" i="70"/>
  <c r="M128" i="69"/>
  <c r="R129" i="69"/>
  <c r="S129" i="69"/>
  <c r="N128" i="69"/>
  <c r="L128" i="69"/>
  <c r="Q129" i="69"/>
  <c r="T129" i="69"/>
  <c r="O128" i="69"/>
  <c r="E128" i="69"/>
  <c r="C129" i="69"/>
  <c r="K128" i="69"/>
  <c r="P129" i="69"/>
  <c r="J127" i="69"/>
  <c r="I127" i="69"/>
  <c r="H127" i="69"/>
  <c r="G127" i="69"/>
  <c r="F127" i="69"/>
  <c r="L127" i="63"/>
  <c r="G127" i="63" s="1"/>
  <c r="Q128" i="63"/>
  <c r="O129" i="63"/>
  <c r="T130" i="63"/>
  <c r="M128" i="63"/>
  <c r="R129" i="63"/>
  <c r="N128" i="63"/>
  <c r="S129" i="63"/>
  <c r="E128" i="63"/>
  <c r="C129" i="63"/>
  <c r="F127" i="63"/>
  <c r="J127" i="63"/>
  <c r="H127" i="63"/>
  <c r="I127" i="63"/>
  <c r="P129" i="63"/>
  <c r="K128" i="63"/>
  <c r="T130" i="71" l="1"/>
  <c r="O129" i="71"/>
  <c r="E129" i="71"/>
  <c r="C130" i="71"/>
  <c r="J128" i="71"/>
  <c r="I128" i="71"/>
  <c r="H128" i="71"/>
  <c r="G128" i="71"/>
  <c r="F128" i="71"/>
  <c r="K129" i="71"/>
  <c r="P130" i="71"/>
  <c r="M129" i="71"/>
  <c r="R130" i="71"/>
  <c r="L129" i="71"/>
  <c r="Q130" i="71"/>
  <c r="N129" i="71"/>
  <c r="S130" i="71"/>
  <c r="L129" i="70"/>
  <c r="Q130" i="70"/>
  <c r="P131" i="70"/>
  <c r="K130" i="70"/>
  <c r="E129" i="70"/>
  <c r="C130" i="70"/>
  <c r="J128" i="70"/>
  <c r="I128" i="70"/>
  <c r="G128" i="70"/>
  <c r="F128" i="70"/>
  <c r="N129" i="70"/>
  <c r="S130" i="70"/>
  <c r="M128" i="70"/>
  <c r="H128" i="70" s="1"/>
  <c r="R129" i="70"/>
  <c r="T129" i="70"/>
  <c r="O128" i="70"/>
  <c r="T130" i="69"/>
  <c r="O129" i="69"/>
  <c r="L129" i="69"/>
  <c r="Q130" i="69"/>
  <c r="K129" i="69"/>
  <c r="P130" i="69"/>
  <c r="N129" i="69"/>
  <c r="S130" i="69"/>
  <c r="E129" i="69"/>
  <c r="C130" i="69"/>
  <c r="M129" i="69"/>
  <c r="R130" i="69"/>
  <c r="J128" i="69"/>
  <c r="I128" i="69"/>
  <c r="H128" i="69"/>
  <c r="G128" i="69"/>
  <c r="F128" i="69"/>
  <c r="M129" i="63"/>
  <c r="R130" i="63"/>
  <c r="O130" i="63"/>
  <c r="T131" i="63"/>
  <c r="N129" i="63"/>
  <c r="S130" i="63"/>
  <c r="C130" i="63"/>
  <c r="E129" i="63"/>
  <c r="Q129" i="63"/>
  <c r="L128" i="63"/>
  <c r="G128" i="63" s="1"/>
  <c r="P130" i="63"/>
  <c r="K129" i="63"/>
  <c r="H128" i="63"/>
  <c r="F128" i="63"/>
  <c r="I128" i="63"/>
  <c r="J128" i="63"/>
  <c r="L130" i="71" l="1"/>
  <c r="Q131" i="71"/>
  <c r="M130" i="71"/>
  <c r="R131" i="71"/>
  <c r="E130" i="71"/>
  <c r="C131" i="71"/>
  <c r="P131" i="71"/>
  <c r="K130" i="71"/>
  <c r="F129" i="71"/>
  <c r="J129" i="71"/>
  <c r="I129" i="71"/>
  <c r="H129" i="71"/>
  <c r="G129" i="71"/>
  <c r="N130" i="71"/>
  <c r="S131" i="71"/>
  <c r="O130" i="71"/>
  <c r="T131" i="71"/>
  <c r="T130" i="70"/>
  <c r="O129" i="70"/>
  <c r="J129" i="70" s="1"/>
  <c r="M129" i="70"/>
  <c r="H129" i="70" s="1"/>
  <c r="R130" i="70"/>
  <c r="E130" i="70"/>
  <c r="C131" i="70"/>
  <c r="N130" i="70"/>
  <c r="S131" i="70"/>
  <c r="F129" i="70"/>
  <c r="I129" i="70"/>
  <c r="G129" i="70"/>
  <c r="P132" i="70"/>
  <c r="K131" i="70"/>
  <c r="L130" i="70"/>
  <c r="Q131" i="70"/>
  <c r="P131" i="69"/>
  <c r="K130" i="69"/>
  <c r="M130" i="69"/>
  <c r="R131" i="69"/>
  <c r="L130" i="69"/>
  <c r="Q131" i="69"/>
  <c r="N130" i="69"/>
  <c r="S131" i="69"/>
  <c r="E130" i="69"/>
  <c r="C131" i="69"/>
  <c r="F129" i="69"/>
  <c r="J129" i="69"/>
  <c r="I129" i="69"/>
  <c r="H129" i="69"/>
  <c r="G129" i="69"/>
  <c r="O130" i="69"/>
  <c r="T131" i="69"/>
  <c r="I129" i="63"/>
  <c r="H129" i="63"/>
  <c r="F129" i="63"/>
  <c r="J129" i="63"/>
  <c r="E130" i="63"/>
  <c r="C131" i="63"/>
  <c r="S131" i="63"/>
  <c r="N130" i="63"/>
  <c r="T132" i="63"/>
  <c r="O131" i="63"/>
  <c r="P131" i="63"/>
  <c r="K130" i="63"/>
  <c r="R131" i="63"/>
  <c r="M130" i="63"/>
  <c r="Q130" i="63"/>
  <c r="L129" i="63"/>
  <c r="G129" i="63" s="1"/>
  <c r="N131" i="71" l="1"/>
  <c r="S132" i="71"/>
  <c r="P132" i="71"/>
  <c r="K131" i="71"/>
  <c r="E131" i="71"/>
  <c r="C132" i="71"/>
  <c r="G130" i="71"/>
  <c r="F130" i="71"/>
  <c r="J130" i="71"/>
  <c r="I130" i="71"/>
  <c r="H130" i="71"/>
  <c r="M131" i="71"/>
  <c r="R132" i="71"/>
  <c r="Q132" i="71"/>
  <c r="L131" i="71"/>
  <c r="O131" i="71"/>
  <c r="T132" i="71"/>
  <c r="N131" i="70"/>
  <c r="S132" i="70"/>
  <c r="P133" i="70"/>
  <c r="K132" i="70"/>
  <c r="E131" i="70"/>
  <c r="C132" i="70"/>
  <c r="G130" i="70"/>
  <c r="F130" i="70"/>
  <c r="I130" i="70"/>
  <c r="M130" i="70"/>
  <c r="H130" i="70" s="1"/>
  <c r="R131" i="70"/>
  <c r="Q132" i="70"/>
  <c r="L131" i="70"/>
  <c r="O130" i="70"/>
  <c r="J130" i="70" s="1"/>
  <c r="T131" i="70"/>
  <c r="N131" i="69"/>
  <c r="S132" i="69"/>
  <c r="Q132" i="69"/>
  <c r="L131" i="69"/>
  <c r="M131" i="69"/>
  <c r="R132" i="69"/>
  <c r="E131" i="69"/>
  <c r="C132" i="69"/>
  <c r="O131" i="69"/>
  <c r="T132" i="69"/>
  <c r="G130" i="69"/>
  <c r="F130" i="69"/>
  <c r="J130" i="69"/>
  <c r="I130" i="69"/>
  <c r="H130" i="69"/>
  <c r="P132" i="69"/>
  <c r="K131" i="69"/>
  <c r="Q131" i="63"/>
  <c r="L130" i="63"/>
  <c r="G130" i="63" s="1"/>
  <c r="S132" i="63"/>
  <c r="N131" i="63"/>
  <c r="C132" i="63"/>
  <c r="E131" i="63"/>
  <c r="R132" i="63"/>
  <c r="M131" i="63"/>
  <c r="I130" i="63"/>
  <c r="H130" i="63"/>
  <c r="J130" i="63"/>
  <c r="F130" i="63"/>
  <c r="K131" i="63"/>
  <c r="P132" i="63"/>
  <c r="T133" i="63"/>
  <c r="O132" i="63"/>
  <c r="E132" i="71" l="1"/>
  <c r="C133" i="71"/>
  <c r="Q133" i="71"/>
  <c r="L132" i="71"/>
  <c r="R133" i="71"/>
  <c r="M132" i="71"/>
  <c r="H131" i="71"/>
  <c r="G131" i="71"/>
  <c r="F131" i="71"/>
  <c r="J131" i="71"/>
  <c r="I131" i="71"/>
  <c r="P133" i="71"/>
  <c r="K132" i="71"/>
  <c r="N132" i="71"/>
  <c r="S133" i="71"/>
  <c r="O132" i="71"/>
  <c r="T133" i="71"/>
  <c r="Q133" i="70"/>
  <c r="L132" i="70"/>
  <c r="E132" i="70"/>
  <c r="C133" i="70"/>
  <c r="M131" i="70"/>
  <c r="H131" i="70" s="1"/>
  <c r="R132" i="70"/>
  <c r="G131" i="70"/>
  <c r="F131" i="70"/>
  <c r="I131" i="70"/>
  <c r="P134" i="70"/>
  <c r="K133" i="70"/>
  <c r="N132" i="70"/>
  <c r="S133" i="70"/>
  <c r="O131" i="70"/>
  <c r="J131" i="70" s="1"/>
  <c r="T132" i="70"/>
  <c r="P133" i="69"/>
  <c r="K132" i="69"/>
  <c r="E132" i="69"/>
  <c r="C133" i="69"/>
  <c r="H131" i="69"/>
  <c r="G131" i="69"/>
  <c r="F131" i="69"/>
  <c r="J131" i="69"/>
  <c r="I131" i="69"/>
  <c r="R133" i="69"/>
  <c r="M132" i="69"/>
  <c r="Q133" i="69"/>
  <c r="L132" i="69"/>
  <c r="O132" i="69"/>
  <c r="T133" i="69"/>
  <c r="N132" i="69"/>
  <c r="S133" i="69"/>
  <c r="T134" i="63"/>
  <c r="O133" i="63"/>
  <c r="K132" i="63"/>
  <c r="P133" i="63"/>
  <c r="R133" i="63"/>
  <c r="M132" i="63"/>
  <c r="J131" i="63"/>
  <c r="I131" i="63"/>
  <c r="H131" i="63"/>
  <c r="F131" i="63"/>
  <c r="C133" i="63"/>
  <c r="E132" i="63"/>
  <c r="S133" i="63"/>
  <c r="N132" i="63"/>
  <c r="Q132" i="63"/>
  <c r="L131" i="63"/>
  <c r="G131" i="63" s="1"/>
  <c r="S134" i="71" l="1"/>
  <c r="N133" i="71"/>
  <c r="R134" i="71"/>
  <c r="M133" i="71"/>
  <c r="Q134" i="71"/>
  <c r="L133" i="71"/>
  <c r="P134" i="71"/>
  <c r="K133" i="71"/>
  <c r="C134" i="71"/>
  <c r="E133" i="71"/>
  <c r="O133" i="71"/>
  <c r="T134" i="71"/>
  <c r="I132" i="71"/>
  <c r="H132" i="71"/>
  <c r="G132" i="71"/>
  <c r="F132" i="71"/>
  <c r="J132" i="71"/>
  <c r="S134" i="70"/>
  <c r="N133" i="70"/>
  <c r="R133" i="70"/>
  <c r="M132" i="70"/>
  <c r="H132" i="70" s="1"/>
  <c r="K134" i="70"/>
  <c r="P135" i="70"/>
  <c r="C134" i="70"/>
  <c r="E133" i="70"/>
  <c r="I132" i="70"/>
  <c r="G132" i="70"/>
  <c r="F132" i="70"/>
  <c r="O132" i="70"/>
  <c r="J132" i="70" s="1"/>
  <c r="T133" i="70"/>
  <c r="Q134" i="70"/>
  <c r="L133" i="70"/>
  <c r="Q134" i="69"/>
  <c r="L133" i="69"/>
  <c r="C134" i="69"/>
  <c r="E133" i="69"/>
  <c r="I132" i="69"/>
  <c r="H132" i="69"/>
  <c r="G132" i="69"/>
  <c r="F132" i="69"/>
  <c r="J132" i="69"/>
  <c r="R134" i="69"/>
  <c r="M133" i="69"/>
  <c r="O133" i="69"/>
  <c r="T134" i="69"/>
  <c r="S134" i="69"/>
  <c r="N133" i="69"/>
  <c r="P134" i="69"/>
  <c r="K133" i="69"/>
  <c r="S134" i="63"/>
  <c r="N133" i="63"/>
  <c r="L132" i="63"/>
  <c r="G132" i="63" s="1"/>
  <c r="Q133" i="63"/>
  <c r="J132" i="63"/>
  <c r="I132" i="63"/>
  <c r="H132" i="63"/>
  <c r="F132" i="63"/>
  <c r="M133" i="63"/>
  <c r="R134" i="63"/>
  <c r="C134" i="63"/>
  <c r="E133" i="63"/>
  <c r="K133" i="63"/>
  <c r="P134" i="63"/>
  <c r="T135" i="63"/>
  <c r="O134" i="63"/>
  <c r="K134" i="71" l="1"/>
  <c r="P135" i="71"/>
  <c r="Q135" i="71"/>
  <c r="L134" i="71"/>
  <c r="T135" i="71"/>
  <c r="O134" i="71"/>
  <c r="R135" i="71"/>
  <c r="M134" i="71"/>
  <c r="J133" i="71"/>
  <c r="I133" i="71"/>
  <c r="H133" i="71"/>
  <c r="G133" i="71"/>
  <c r="F133" i="71"/>
  <c r="C135" i="71"/>
  <c r="E134" i="71"/>
  <c r="S135" i="71"/>
  <c r="N134" i="71"/>
  <c r="Q135" i="70"/>
  <c r="L134" i="70"/>
  <c r="I133" i="70"/>
  <c r="G133" i="70"/>
  <c r="F133" i="70"/>
  <c r="O133" i="70"/>
  <c r="J133" i="70" s="1"/>
  <c r="T134" i="70"/>
  <c r="C135" i="70"/>
  <c r="E134" i="70"/>
  <c r="K135" i="70"/>
  <c r="P136" i="70"/>
  <c r="R134" i="70"/>
  <c r="M133" i="70"/>
  <c r="H133" i="70" s="1"/>
  <c r="S135" i="70"/>
  <c r="N134" i="70"/>
  <c r="K134" i="69"/>
  <c r="P135" i="69"/>
  <c r="S135" i="69"/>
  <c r="N134" i="69"/>
  <c r="T135" i="69"/>
  <c r="O134" i="69"/>
  <c r="J133" i="69"/>
  <c r="I133" i="69"/>
  <c r="H133" i="69"/>
  <c r="G133" i="69"/>
  <c r="F133" i="69"/>
  <c r="C135" i="69"/>
  <c r="E134" i="69"/>
  <c r="R135" i="69"/>
  <c r="M134" i="69"/>
  <c r="Q135" i="69"/>
  <c r="L134" i="69"/>
  <c r="O135" i="63"/>
  <c r="T136" i="63"/>
  <c r="K134" i="63"/>
  <c r="P135" i="63"/>
  <c r="J133" i="63"/>
  <c r="H133" i="63"/>
  <c r="I133" i="63"/>
  <c r="F133" i="63"/>
  <c r="E134" i="63"/>
  <c r="C135" i="63"/>
  <c r="L133" i="63"/>
  <c r="G133" i="63" s="1"/>
  <c r="Q134" i="63"/>
  <c r="M134" i="63"/>
  <c r="R135" i="63"/>
  <c r="N134" i="63"/>
  <c r="S135" i="63"/>
  <c r="S136" i="71" l="1"/>
  <c r="N135" i="71"/>
  <c r="C136" i="71"/>
  <c r="E135" i="71"/>
  <c r="R136" i="71"/>
  <c r="M135" i="71"/>
  <c r="T136" i="71"/>
  <c r="O135" i="71"/>
  <c r="L135" i="71"/>
  <c r="Q136" i="71"/>
  <c r="K135" i="71"/>
  <c r="P136" i="71"/>
  <c r="J134" i="71"/>
  <c r="I134" i="71"/>
  <c r="H134" i="71"/>
  <c r="G134" i="71"/>
  <c r="F134" i="71"/>
  <c r="S136" i="70"/>
  <c r="N135" i="70"/>
  <c r="R135" i="70"/>
  <c r="M134" i="70"/>
  <c r="H134" i="70" s="1"/>
  <c r="K136" i="70"/>
  <c r="P137" i="70"/>
  <c r="I134" i="70"/>
  <c r="G134" i="70"/>
  <c r="F134" i="70"/>
  <c r="C136" i="70"/>
  <c r="E135" i="70"/>
  <c r="T135" i="70"/>
  <c r="O134" i="70"/>
  <c r="J134" i="70" s="1"/>
  <c r="L135" i="70"/>
  <c r="Q136" i="70"/>
  <c r="L135" i="69"/>
  <c r="Q136" i="69"/>
  <c r="R136" i="69"/>
  <c r="M135" i="69"/>
  <c r="J134" i="69"/>
  <c r="I134" i="69"/>
  <c r="H134" i="69"/>
  <c r="G134" i="69"/>
  <c r="F134" i="69"/>
  <c r="T136" i="69"/>
  <c r="O135" i="69"/>
  <c r="C136" i="69"/>
  <c r="E135" i="69"/>
  <c r="S136" i="69"/>
  <c r="N135" i="69"/>
  <c r="K135" i="69"/>
  <c r="P136" i="69"/>
  <c r="M135" i="63"/>
  <c r="R136" i="63"/>
  <c r="L134" i="63"/>
  <c r="G134" i="63" s="1"/>
  <c r="Q135" i="63"/>
  <c r="P136" i="63"/>
  <c r="K135" i="63"/>
  <c r="E135" i="63"/>
  <c r="C136" i="63"/>
  <c r="I134" i="63"/>
  <c r="J134" i="63"/>
  <c r="H134" i="63"/>
  <c r="F134" i="63"/>
  <c r="O136" i="63"/>
  <c r="T137" i="63"/>
  <c r="N135" i="63"/>
  <c r="S136" i="63"/>
  <c r="T137" i="71" l="1"/>
  <c r="O136" i="71"/>
  <c r="M136" i="71"/>
  <c r="R137" i="71"/>
  <c r="K136" i="71"/>
  <c r="P137" i="71"/>
  <c r="J135" i="71"/>
  <c r="I135" i="71"/>
  <c r="H135" i="71"/>
  <c r="G135" i="71"/>
  <c r="F135" i="71"/>
  <c r="E136" i="71"/>
  <c r="C137" i="71"/>
  <c r="L136" i="71"/>
  <c r="Q137" i="71"/>
  <c r="S137" i="71"/>
  <c r="N136" i="71"/>
  <c r="T136" i="70"/>
  <c r="O135" i="70"/>
  <c r="K137" i="70"/>
  <c r="P138" i="70"/>
  <c r="J135" i="70"/>
  <c r="I135" i="70"/>
  <c r="G135" i="70"/>
  <c r="F135" i="70"/>
  <c r="R136" i="70"/>
  <c r="M135" i="70"/>
  <c r="H135" i="70" s="1"/>
  <c r="E136" i="70"/>
  <c r="C137" i="70"/>
  <c r="L136" i="70"/>
  <c r="Q137" i="70"/>
  <c r="S137" i="70"/>
  <c r="N136" i="70"/>
  <c r="S137" i="69"/>
  <c r="N136" i="69"/>
  <c r="J135" i="69"/>
  <c r="I135" i="69"/>
  <c r="H135" i="69"/>
  <c r="G135" i="69"/>
  <c r="F135" i="69"/>
  <c r="E136" i="69"/>
  <c r="C137" i="69"/>
  <c r="M136" i="69"/>
  <c r="R137" i="69"/>
  <c r="T137" i="69"/>
  <c r="O136" i="69"/>
  <c r="L136" i="69"/>
  <c r="Q137" i="69"/>
  <c r="K136" i="69"/>
  <c r="P137" i="69"/>
  <c r="E136" i="63"/>
  <c r="C137" i="63"/>
  <c r="O137" i="63"/>
  <c r="T138" i="63"/>
  <c r="F135" i="63"/>
  <c r="J135" i="63"/>
  <c r="I135" i="63"/>
  <c r="H135" i="63"/>
  <c r="P137" i="63"/>
  <c r="K136" i="63"/>
  <c r="L135" i="63"/>
  <c r="G135" i="63" s="1"/>
  <c r="Q136" i="63"/>
  <c r="M136" i="63"/>
  <c r="R137" i="63"/>
  <c r="N136" i="63"/>
  <c r="S137" i="63"/>
  <c r="N137" i="71" l="1"/>
  <c r="S138" i="71"/>
  <c r="L137" i="71"/>
  <c r="Q138" i="71"/>
  <c r="K137" i="71"/>
  <c r="P138" i="71"/>
  <c r="E137" i="71"/>
  <c r="C138" i="71"/>
  <c r="J136" i="71"/>
  <c r="I136" i="71"/>
  <c r="H136" i="71"/>
  <c r="G136" i="71"/>
  <c r="F136" i="71"/>
  <c r="M137" i="71"/>
  <c r="R138" i="71"/>
  <c r="T138" i="71"/>
  <c r="O137" i="71"/>
  <c r="N137" i="70"/>
  <c r="S138" i="70"/>
  <c r="E137" i="70"/>
  <c r="C138" i="70"/>
  <c r="J136" i="70"/>
  <c r="I136" i="70"/>
  <c r="G136" i="70"/>
  <c r="F136" i="70"/>
  <c r="P139" i="70"/>
  <c r="K138" i="70"/>
  <c r="M136" i="70"/>
  <c r="H136" i="70" s="1"/>
  <c r="R137" i="70"/>
  <c r="L137" i="70"/>
  <c r="Q138" i="70"/>
  <c r="T137" i="70"/>
  <c r="O136" i="70"/>
  <c r="J136" i="69"/>
  <c r="I136" i="69"/>
  <c r="H136" i="69"/>
  <c r="G136" i="69"/>
  <c r="F136" i="69"/>
  <c r="L137" i="69"/>
  <c r="Q138" i="69"/>
  <c r="T138" i="69"/>
  <c r="O137" i="69"/>
  <c r="M137" i="69"/>
  <c r="R138" i="69"/>
  <c r="K137" i="69"/>
  <c r="P138" i="69"/>
  <c r="E137" i="69"/>
  <c r="C138" i="69"/>
  <c r="N137" i="69"/>
  <c r="S138" i="69"/>
  <c r="R138" i="63"/>
  <c r="M137" i="63"/>
  <c r="O138" i="63"/>
  <c r="T139" i="63"/>
  <c r="P138" i="63"/>
  <c r="K137" i="63"/>
  <c r="C138" i="63"/>
  <c r="E137" i="63"/>
  <c r="Q137" i="63"/>
  <c r="L136" i="63"/>
  <c r="G136" i="63" s="1"/>
  <c r="N137" i="63"/>
  <c r="S138" i="63"/>
  <c r="F136" i="63"/>
  <c r="J136" i="63"/>
  <c r="I136" i="63"/>
  <c r="H136" i="63"/>
  <c r="O138" i="71" l="1"/>
  <c r="T139" i="71"/>
  <c r="E138" i="71"/>
  <c r="C139" i="71"/>
  <c r="F137" i="71"/>
  <c r="J137" i="71"/>
  <c r="I137" i="71"/>
  <c r="H137" i="71"/>
  <c r="G137" i="71"/>
  <c r="P139" i="71"/>
  <c r="K138" i="71"/>
  <c r="M138" i="71"/>
  <c r="R139" i="71"/>
  <c r="L138" i="71"/>
  <c r="Q139" i="71"/>
  <c r="N138" i="71"/>
  <c r="S139" i="71"/>
  <c r="T138" i="70"/>
  <c r="O137" i="70"/>
  <c r="J137" i="70" s="1"/>
  <c r="L138" i="70"/>
  <c r="Q139" i="70"/>
  <c r="M137" i="70"/>
  <c r="H137" i="70" s="1"/>
  <c r="R138" i="70"/>
  <c r="E138" i="70"/>
  <c r="C139" i="70"/>
  <c r="F137" i="70"/>
  <c r="I137" i="70"/>
  <c r="G137" i="70"/>
  <c r="P140" i="70"/>
  <c r="K139" i="70"/>
  <c r="N138" i="70"/>
  <c r="S139" i="70"/>
  <c r="O138" i="69"/>
  <c r="T139" i="69"/>
  <c r="E138" i="69"/>
  <c r="C139" i="69"/>
  <c r="L138" i="69"/>
  <c r="Q139" i="69"/>
  <c r="F137" i="69"/>
  <c r="J137" i="69"/>
  <c r="I137" i="69"/>
  <c r="H137" i="69"/>
  <c r="G137" i="69"/>
  <c r="P139" i="69"/>
  <c r="K138" i="69"/>
  <c r="M138" i="69"/>
  <c r="R139" i="69"/>
  <c r="N138" i="69"/>
  <c r="S139" i="69"/>
  <c r="H137" i="63"/>
  <c r="F137" i="63"/>
  <c r="J137" i="63"/>
  <c r="I137" i="63"/>
  <c r="P139" i="63"/>
  <c r="K138" i="63"/>
  <c r="S139" i="63"/>
  <c r="N138" i="63"/>
  <c r="T140" i="63"/>
  <c r="O139" i="63"/>
  <c r="E138" i="63"/>
  <c r="C139" i="63"/>
  <c r="Q138" i="63"/>
  <c r="L137" i="63"/>
  <c r="G137" i="63" s="1"/>
  <c r="R139" i="63"/>
  <c r="M138" i="63"/>
  <c r="Q140" i="71" l="1"/>
  <c r="L139" i="71"/>
  <c r="M139" i="71"/>
  <c r="R140" i="71"/>
  <c r="E139" i="71"/>
  <c r="C140" i="71"/>
  <c r="G138" i="71"/>
  <c r="F138" i="71"/>
  <c r="J138" i="71"/>
  <c r="I138" i="71"/>
  <c r="H138" i="71"/>
  <c r="P140" i="71"/>
  <c r="K139" i="71"/>
  <c r="O139" i="71"/>
  <c r="T140" i="71"/>
  <c r="N139" i="71"/>
  <c r="S140" i="71"/>
  <c r="E139" i="70"/>
  <c r="C140" i="70"/>
  <c r="G138" i="70"/>
  <c r="F138" i="70"/>
  <c r="I138" i="70"/>
  <c r="M138" i="70"/>
  <c r="H138" i="70" s="1"/>
  <c r="R139" i="70"/>
  <c r="Q140" i="70"/>
  <c r="L139" i="70"/>
  <c r="P141" i="70"/>
  <c r="K140" i="70"/>
  <c r="N139" i="70"/>
  <c r="S140" i="70"/>
  <c r="O138" i="70"/>
  <c r="J138" i="70" s="1"/>
  <c r="T139" i="70"/>
  <c r="Q140" i="69"/>
  <c r="L139" i="69"/>
  <c r="M139" i="69"/>
  <c r="R140" i="69"/>
  <c r="P140" i="69"/>
  <c r="K139" i="69"/>
  <c r="E139" i="69"/>
  <c r="C140" i="69"/>
  <c r="G138" i="69"/>
  <c r="F138" i="69"/>
  <c r="J138" i="69"/>
  <c r="I138" i="69"/>
  <c r="H138" i="69"/>
  <c r="O139" i="69"/>
  <c r="T140" i="69"/>
  <c r="N139" i="69"/>
  <c r="S140" i="69"/>
  <c r="R140" i="63"/>
  <c r="M139" i="63"/>
  <c r="S140" i="63"/>
  <c r="N139" i="63"/>
  <c r="Q139" i="63"/>
  <c r="L138" i="63"/>
  <c r="G138" i="63" s="1"/>
  <c r="P140" i="63"/>
  <c r="K139" i="63"/>
  <c r="C140" i="63"/>
  <c r="E139" i="63"/>
  <c r="I138" i="63"/>
  <c r="H138" i="63"/>
  <c r="J138" i="63"/>
  <c r="F138" i="63"/>
  <c r="T141" i="63"/>
  <c r="O140" i="63"/>
  <c r="O140" i="71" l="1"/>
  <c r="T141" i="71"/>
  <c r="E140" i="71"/>
  <c r="C141" i="71"/>
  <c r="H139" i="71"/>
  <c r="G139" i="71"/>
  <c r="F139" i="71"/>
  <c r="J139" i="71"/>
  <c r="I139" i="71"/>
  <c r="P141" i="71"/>
  <c r="K140" i="71"/>
  <c r="R141" i="71"/>
  <c r="M140" i="71"/>
  <c r="N140" i="71"/>
  <c r="S141" i="71"/>
  <c r="Q141" i="71"/>
  <c r="L140" i="71"/>
  <c r="N140" i="70"/>
  <c r="S141" i="70"/>
  <c r="P142" i="70"/>
  <c r="K141" i="70"/>
  <c r="Q141" i="70"/>
  <c r="L140" i="70"/>
  <c r="E140" i="70"/>
  <c r="C141" i="70"/>
  <c r="O139" i="70"/>
  <c r="J139" i="70" s="1"/>
  <c r="T140" i="70"/>
  <c r="M139" i="70"/>
  <c r="R140" i="70"/>
  <c r="H139" i="70"/>
  <c r="G139" i="70"/>
  <c r="F139" i="70"/>
  <c r="I139" i="70"/>
  <c r="E140" i="69"/>
  <c r="C141" i="69"/>
  <c r="O140" i="69"/>
  <c r="T141" i="69"/>
  <c r="H139" i="69"/>
  <c r="G139" i="69"/>
  <c r="F139" i="69"/>
  <c r="J139" i="69"/>
  <c r="I139" i="69"/>
  <c r="P141" i="69"/>
  <c r="K140" i="69"/>
  <c r="R141" i="69"/>
  <c r="M140" i="69"/>
  <c r="N140" i="69"/>
  <c r="S141" i="69"/>
  <c r="Q141" i="69"/>
  <c r="L140" i="69"/>
  <c r="T142" i="63"/>
  <c r="O141" i="63"/>
  <c r="K140" i="63"/>
  <c r="P141" i="63"/>
  <c r="Q140" i="63"/>
  <c r="L139" i="63"/>
  <c r="G139" i="63" s="1"/>
  <c r="S141" i="63"/>
  <c r="N140" i="63"/>
  <c r="J139" i="63"/>
  <c r="I139" i="63"/>
  <c r="H139" i="63"/>
  <c r="F139" i="63"/>
  <c r="C141" i="63"/>
  <c r="E140" i="63"/>
  <c r="R141" i="63"/>
  <c r="M140" i="63"/>
  <c r="Q142" i="71" l="1"/>
  <c r="L141" i="71"/>
  <c r="S142" i="71"/>
  <c r="N141" i="71"/>
  <c r="R142" i="71"/>
  <c r="M141" i="71"/>
  <c r="C142" i="71"/>
  <c r="E141" i="71"/>
  <c r="I140" i="71"/>
  <c r="H140" i="71"/>
  <c r="G140" i="71"/>
  <c r="F140" i="71"/>
  <c r="J140" i="71"/>
  <c r="P142" i="71"/>
  <c r="K141" i="71"/>
  <c r="O141" i="71"/>
  <c r="T142" i="71"/>
  <c r="I140" i="70"/>
  <c r="G140" i="70"/>
  <c r="F140" i="70"/>
  <c r="J140" i="70"/>
  <c r="C142" i="70"/>
  <c r="E141" i="70"/>
  <c r="Q142" i="70"/>
  <c r="L141" i="70"/>
  <c r="K142" i="70"/>
  <c r="P143" i="70"/>
  <c r="O140" i="70"/>
  <c r="T141" i="70"/>
  <c r="S142" i="70"/>
  <c r="N141" i="70"/>
  <c r="R141" i="70"/>
  <c r="M140" i="70"/>
  <c r="H140" i="70" s="1"/>
  <c r="S142" i="69"/>
  <c r="N141" i="69"/>
  <c r="Q142" i="69"/>
  <c r="L141" i="69"/>
  <c r="R142" i="69"/>
  <c r="M141" i="69"/>
  <c r="O141" i="69"/>
  <c r="T142" i="69"/>
  <c r="P142" i="69"/>
  <c r="K141" i="69"/>
  <c r="C142" i="69"/>
  <c r="E141" i="69"/>
  <c r="I140" i="69"/>
  <c r="H140" i="69"/>
  <c r="G140" i="69"/>
  <c r="F140" i="69"/>
  <c r="J140" i="69"/>
  <c r="S142" i="63"/>
  <c r="N141" i="63"/>
  <c r="M141" i="63"/>
  <c r="R142" i="63"/>
  <c r="C142" i="63"/>
  <c r="E141" i="63"/>
  <c r="Q141" i="63"/>
  <c r="L140" i="63"/>
  <c r="G140" i="63" s="1"/>
  <c r="K141" i="63"/>
  <c r="P142" i="63"/>
  <c r="J140" i="63"/>
  <c r="I140" i="63"/>
  <c r="F140" i="63"/>
  <c r="H140" i="63"/>
  <c r="T143" i="63"/>
  <c r="O142" i="63"/>
  <c r="J141" i="71" l="1"/>
  <c r="I141" i="71"/>
  <c r="H141" i="71"/>
  <c r="G141" i="71"/>
  <c r="F141" i="71"/>
  <c r="C143" i="71"/>
  <c r="E142" i="71"/>
  <c r="K142" i="71"/>
  <c r="P143" i="71"/>
  <c r="R143" i="71"/>
  <c r="M142" i="71"/>
  <c r="S143" i="71"/>
  <c r="N142" i="71"/>
  <c r="T143" i="71"/>
  <c r="O142" i="71"/>
  <c r="Q143" i="71"/>
  <c r="L142" i="71"/>
  <c r="I141" i="70"/>
  <c r="G141" i="70"/>
  <c r="F141" i="70"/>
  <c r="S143" i="70"/>
  <c r="N142" i="70"/>
  <c r="C143" i="70"/>
  <c r="E142" i="70"/>
  <c r="Q143" i="70"/>
  <c r="L142" i="70"/>
  <c r="O141" i="70"/>
  <c r="J141" i="70" s="1"/>
  <c r="T142" i="70"/>
  <c r="R142" i="70"/>
  <c r="M141" i="70"/>
  <c r="H141" i="70" s="1"/>
  <c r="K143" i="70"/>
  <c r="P144" i="70"/>
  <c r="T143" i="69"/>
  <c r="O142" i="69"/>
  <c r="R143" i="69"/>
  <c r="M142" i="69"/>
  <c r="C143" i="69"/>
  <c r="E142" i="69"/>
  <c r="Q143" i="69"/>
  <c r="L142" i="69"/>
  <c r="J141" i="69"/>
  <c r="I141" i="69"/>
  <c r="H141" i="69"/>
  <c r="G141" i="69"/>
  <c r="F141" i="69"/>
  <c r="K142" i="69"/>
  <c r="P143" i="69"/>
  <c r="S143" i="69"/>
  <c r="N142" i="69"/>
  <c r="O143" i="63"/>
  <c r="T144" i="63"/>
  <c r="L141" i="63"/>
  <c r="G141" i="63" s="1"/>
  <c r="Q142" i="63"/>
  <c r="J141" i="63"/>
  <c r="H141" i="63"/>
  <c r="I141" i="63"/>
  <c r="F141" i="63"/>
  <c r="E142" i="63"/>
  <c r="C143" i="63"/>
  <c r="M142" i="63"/>
  <c r="R143" i="63"/>
  <c r="K142" i="63"/>
  <c r="P143" i="63"/>
  <c r="N142" i="63"/>
  <c r="S143" i="63"/>
  <c r="Q144" i="71" l="1"/>
  <c r="L143" i="71"/>
  <c r="J142" i="71"/>
  <c r="I142" i="71"/>
  <c r="H142" i="71"/>
  <c r="G142" i="71"/>
  <c r="F142" i="71"/>
  <c r="T144" i="71"/>
  <c r="O143" i="71"/>
  <c r="C144" i="71"/>
  <c r="E143" i="71"/>
  <c r="S144" i="71"/>
  <c r="N143" i="71"/>
  <c r="R144" i="71"/>
  <c r="M143" i="71"/>
  <c r="K143" i="71"/>
  <c r="P144" i="71"/>
  <c r="R143" i="70"/>
  <c r="M142" i="70"/>
  <c r="S144" i="70"/>
  <c r="N143" i="70"/>
  <c r="T143" i="70"/>
  <c r="O142" i="70"/>
  <c r="J142" i="70" s="1"/>
  <c r="C144" i="70"/>
  <c r="E143" i="70"/>
  <c r="L143" i="70"/>
  <c r="Q144" i="70"/>
  <c r="K144" i="70"/>
  <c r="P145" i="70"/>
  <c r="I142" i="70"/>
  <c r="H142" i="70"/>
  <c r="G142" i="70"/>
  <c r="F142" i="70"/>
  <c r="K143" i="69"/>
  <c r="P144" i="69"/>
  <c r="L143" i="69"/>
  <c r="Q144" i="69"/>
  <c r="S144" i="69"/>
  <c r="N143" i="69"/>
  <c r="J142" i="69"/>
  <c r="I142" i="69"/>
  <c r="H142" i="69"/>
  <c r="G142" i="69"/>
  <c r="F142" i="69"/>
  <c r="C144" i="69"/>
  <c r="E143" i="69"/>
  <c r="R144" i="69"/>
  <c r="M143" i="69"/>
  <c r="T144" i="69"/>
  <c r="O143" i="69"/>
  <c r="P144" i="63"/>
  <c r="K143" i="63"/>
  <c r="M143" i="63"/>
  <c r="R144" i="63"/>
  <c r="L142" i="63"/>
  <c r="G142" i="63" s="1"/>
  <c r="Q143" i="63"/>
  <c r="E143" i="63"/>
  <c r="C144" i="63"/>
  <c r="I142" i="63"/>
  <c r="F142" i="63"/>
  <c r="J142" i="63"/>
  <c r="H142" i="63"/>
  <c r="O144" i="63"/>
  <c r="T145" i="63"/>
  <c r="N143" i="63"/>
  <c r="S144" i="63"/>
  <c r="T145" i="71" l="1"/>
  <c r="O144" i="71"/>
  <c r="M144" i="71"/>
  <c r="R145" i="71"/>
  <c r="N144" i="71"/>
  <c r="S145" i="71"/>
  <c r="J143" i="71"/>
  <c r="I143" i="71"/>
  <c r="H143" i="71"/>
  <c r="G143" i="71"/>
  <c r="F143" i="71"/>
  <c r="E144" i="71"/>
  <c r="C145" i="71"/>
  <c r="K144" i="71"/>
  <c r="P145" i="71"/>
  <c r="L144" i="71"/>
  <c r="Q145" i="71"/>
  <c r="I143" i="70"/>
  <c r="G143" i="70"/>
  <c r="F143" i="70"/>
  <c r="E144" i="70"/>
  <c r="C145" i="70"/>
  <c r="T144" i="70"/>
  <c r="O143" i="70"/>
  <c r="J143" i="70" s="1"/>
  <c r="K145" i="70"/>
  <c r="P146" i="70"/>
  <c r="S145" i="70"/>
  <c r="N144" i="70"/>
  <c r="L144" i="70"/>
  <c r="Q145" i="70"/>
  <c r="R144" i="70"/>
  <c r="M143" i="70"/>
  <c r="H143" i="70" s="1"/>
  <c r="T145" i="69"/>
  <c r="O144" i="69"/>
  <c r="M144" i="69"/>
  <c r="R145" i="69"/>
  <c r="J143" i="69"/>
  <c r="I143" i="69"/>
  <c r="H143" i="69"/>
  <c r="G143" i="69"/>
  <c r="F143" i="69"/>
  <c r="S145" i="69"/>
  <c r="N144" i="69"/>
  <c r="E144" i="69"/>
  <c r="C145" i="69"/>
  <c r="L144" i="69"/>
  <c r="Q145" i="69"/>
  <c r="K144" i="69"/>
  <c r="P145" i="69"/>
  <c r="O145" i="63"/>
  <c r="T146" i="63"/>
  <c r="F143" i="63"/>
  <c r="J143" i="63"/>
  <c r="I143" i="63"/>
  <c r="H143" i="63"/>
  <c r="E144" i="63"/>
  <c r="C145" i="63"/>
  <c r="L143" i="63"/>
  <c r="G143" i="63" s="1"/>
  <c r="Q144" i="63"/>
  <c r="M144" i="63"/>
  <c r="R145" i="63"/>
  <c r="N144" i="63"/>
  <c r="S145" i="63"/>
  <c r="P145" i="63"/>
  <c r="K144" i="63"/>
  <c r="P146" i="71" l="1"/>
  <c r="K145" i="71"/>
  <c r="N145" i="71"/>
  <c r="S146" i="71"/>
  <c r="C146" i="71"/>
  <c r="E145" i="71"/>
  <c r="F144" i="71"/>
  <c r="I144" i="71"/>
  <c r="J144" i="71"/>
  <c r="H144" i="71"/>
  <c r="G144" i="71"/>
  <c r="M145" i="71"/>
  <c r="R146" i="71"/>
  <c r="L145" i="71"/>
  <c r="Q146" i="71"/>
  <c r="O145" i="71"/>
  <c r="T146" i="71"/>
  <c r="L145" i="70"/>
  <c r="Q146" i="70"/>
  <c r="E145" i="70"/>
  <c r="C146" i="70"/>
  <c r="T145" i="70"/>
  <c r="O144" i="70"/>
  <c r="J144" i="70" s="1"/>
  <c r="I144" i="70"/>
  <c r="G144" i="70"/>
  <c r="F144" i="70"/>
  <c r="M144" i="70"/>
  <c r="H144" i="70" s="1"/>
  <c r="R145" i="70"/>
  <c r="N145" i="70"/>
  <c r="S146" i="70"/>
  <c r="P147" i="70"/>
  <c r="K146" i="70"/>
  <c r="L145" i="69"/>
  <c r="Q146" i="69"/>
  <c r="E145" i="69"/>
  <c r="C146" i="69"/>
  <c r="J144" i="69"/>
  <c r="I144" i="69"/>
  <c r="H144" i="69"/>
  <c r="G144" i="69"/>
  <c r="F144" i="69"/>
  <c r="M145" i="69"/>
  <c r="R146" i="69"/>
  <c r="N145" i="69"/>
  <c r="S146" i="69"/>
  <c r="K145" i="69"/>
  <c r="P146" i="69"/>
  <c r="T146" i="69"/>
  <c r="O145" i="69"/>
  <c r="P146" i="63"/>
  <c r="K145" i="63"/>
  <c r="F144" i="63"/>
  <c r="H144" i="63"/>
  <c r="J144" i="63"/>
  <c r="I144" i="63"/>
  <c r="N145" i="63"/>
  <c r="S146" i="63"/>
  <c r="R146" i="63"/>
  <c r="M145" i="63"/>
  <c r="Q145" i="63"/>
  <c r="L144" i="63"/>
  <c r="G144" i="63" s="1"/>
  <c r="O146" i="63"/>
  <c r="T147" i="63"/>
  <c r="C146" i="63"/>
  <c r="E145" i="63"/>
  <c r="Q147" i="71" l="1"/>
  <c r="L146" i="71"/>
  <c r="G145" i="71"/>
  <c r="F145" i="71"/>
  <c r="J145" i="71"/>
  <c r="H145" i="71"/>
  <c r="I145" i="71"/>
  <c r="M146" i="71"/>
  <c r="R147" i="71"/>
  <c r="C147" i="71"/>
  <c r="E146" i="71"/>
  <c r="S147" i="71"/>
  <c r="N146" i="71"/>
  <c r="O146" i="71"/>
  <c r="T147" i="71"/>
  <c r="P147" i="71"/>
  <c r="K146" i="71"/>
  <c r="P148" i="70"/>
  <c r="K147" i="70"/>
  <c r="N146" i="70"/>
  <c r="S147" i="70"/>
  <c r="M145" i="70"/>
  <c r="H145" i="70" s="1"/>
  <c r="R146" i="70"/>
  <c r="T146" i="70"/>
  <c r="O145" i="70"/>
  <c r="J145" i="70" s="1"/>
  <c r="E146" i="70"/>
  <c r="C147" i="70"/>
  <c r="F145" i="70"/>
  <c r="I145" i="70"/>
  <c r="G145" i="70"/>
  <c r="L146" i="70"/>
  <c r="Q147" i="70"/>
  <c r="O146" i="69"/>
  <c r="T147" i="69"/>
  <c r="P147" i="69"/>
  <c r="K146" i="69"/>
  <c r="N146" i="69"/>
  <c r="S147" i="69"/>
  <c r="E146" i="69"/>
  <c r="C147" i="69"/>
  <c r="M146" i="69"/>
  <c r="R147" i="69"/>
  <c r="F145" i="69"/>
  <c r="J145" i="69"/>
  <c r="I145" i="69"/>
  <c r="H145" i="69"/>
  <c r="G145" i="69"/>
  <c r="L146" i="69"/>
  <c r="Q147" i="69"/>
  <c r="Q146" i="63"/>
  <c r="L145" i="63"/>
  <c r="G145" i="63" s="1"/>
  <c r="E146" i="63"/>
  <c r="C147" i="63"/>
  <c r="R147" i="63"/>
  <c r="M146" i="63"/>
  <c r="T148" i="63"/>
  <c r="O147" i="63"/>
  <c r="H145" i="63"/>
  <c r="F145" i="63"/>
  <c r="I145" i="63"/>
  <c r="J145" i="63"/>
  <c r="S147" i="63"/>
  <c r="N146" i="63"/>
  <c r="P147" i="63"/>
  <c r="K146" i="63"/>
  <c r="K147" i="71" l="1"/>
  <c r="P148" i="71"/>
  <c r="T148" i="71"/>
  <c r="O147" i="71"/>
  <c r="S148" i="71"/>
  <c r="N147" i="71"/>
  <c r="H146" i="71"/>
  <c r="G146" i="71"/>
  <c r="J146" i="71"/>
  <c r="I146" i="71"/>
  <c r="F146" i="71"/>
  <c r="E147" i="71"/>
  <c r="C148" i="71"/>
  <c r="R148" i="71"/>
  <c r="M147" i="71"/>
  <c r="Q148" i="71"/>
  <c r="L147" i="71"/>
  <c r="O146" i="70"/>
  <c r="T147" i="70"/>
  <c r="M146" i="70"/>
  <c r="R147" i="70"/>
  <c r="N147" i="70"/>
  <c r="S148" i="70"/>
  <c r="E147" i="70"/>
  <c r="C148" i="70"/>
  <c r="Q148" i="70"/>
  <c r="L147" i="70"/>
  <c r="G146" i="70"/>
  <c r="F146" i="70"/>
  <c r="J146" i="70"/>
  <c r="I146" i="70"/>
  <c r="H146" i="70"/>
  <c r="P149" i="70"/>
  <c r="K148" i="70"/>
  <c r="E147" i="69"/>
  <c r="C148" i="69"/>
  <c r="N147" i="69"/>
  <c r="S148" i="69"/>
  <c r="G146" i="69"/>
  <c r="F146" i="69"/>
  <c r="J146" i="69"/>
  <c r="I146" i="69"/>
  <c r="H146" i="69"/>
  <c r="P148" i="69"/>
  <c r="K147" i="69"/>
  <c r="M147" i="69"/>
  <c r="R148" i="69"/>
  <c r="O147" i="69"/>
  <c r="T148" i="69"/>
  <c r="Q148" i="69"/>
  <c r="L147" i="69"/>
  <c r="K147" i="63"/>
  <c r="P148" i="63"/>
  <c r="R148" i="63"/>
  <c r="M147" i="63"/>
  <c r="C148" i="63"/>
  <c r="E147" i="63"/>
  <c r="T149" i="63"/>
  <c r="O148" i="63"/>
  <c r="I146" i="63"/>
  <c r="H146" i="63"/>
  <c r="J146" i="63"/>
  <c r="F146" i="63"/>
  <c r="S148" i="63"/>
  <c r="N147" i="63"/>
  <c r="Q147" i="63"/>
  <c r="L146" i="63"/>
  <c r="G146" i="63" s="1"/>
  <c r="L148" i="71" l="1"/>
  <c r="Q149" i="71"/>
  <c r="R149" i="71"/>
  <c r="M148" i="71"/>
  <c r="C149" i="71"/>
  <c r="E148" i="71"/>
  <c r="S149" i="71"/>
  <c r="N148" i="71"/>
  <c r="I147" i="71"/>
  <c r="H147" i="71"/>
  <c r="J147" i="71"/>
  <c r="G147" i="71"/>
  <c r="F147" i="71"/>
  <c r="T149" i="71"/>
  <c r="O148" i="71"/>
  <c r="K148" i="71"/>
  <c r="P149" i="71"/>
  <c r="P150" i="70"/>
  <c r="K149" i="70"/>
  <c r="E148" i="70"/>
  <c r="C149" i="70"/>
  <c r="G147" i="70"/>
  <c r="F147" i="70"/>
  <c r="J147" i="70"/>
  <c r="I147" i="70"/>
  <c r="N148" i="70"/>
  <c r="S149" i="70"/>
  <c r="M147" i="70"/>
  <c r="H147" i="70" s="1"/>
  <c r="R148" i="70"/>
  <c r="O147" i="70"/>
  <c r="T148" i="70"/>
  <c r="Q149" i="70"/>
  <c r="L148" i="70"/>
  <c r="Q149" i="69"/>
  <c r="L148" i="69"/>
  <c r="O148" i="69"/>
  <c r="T149" i="69"/>
  <c r="R149" i="69"/>
  <c r="M148" i="69"/>
  <c r="N148" i="69"/>
  <c r="S149" i="69"/>
  <c r="P149" i="69"/>
  <c r="K148" i="69"/>
  <c r="E148" i="69"/>
  <c r="C149" i="69"/>
  <c r="H147" i="69"/>
  <c r="G147" i="69"/>
  <c r="F147" i="69"/>
  <c r="J147" i="69"/>
  <c r="I147" i="69"/>
  <c r="Q148" i="63"/>
  <c r="L147" i="63"/>
  <c r="G147" i="63" s="1"/>
  <c r="S149" i="63"/>
  <c r="N148" i="63"/>
  <c r="J147" i="63"/>
  <c r="I147" i="63"/>
  <c r="H147" i="63"/>
  <c r="F147" i="63"/>
  <c r="T150" i="63"/>
  <c r="O149" i="63"/>
  <c r="C149" i="63"/>
  <c r="E148" i="63"/>
  <c r="R149" i="63"/>
  <c r="M148" i="63"/>
  <c r="K148" i="63"/>
  <c r="P149" i="63"/>
  <c r="S150" i="71" l="1"/>
  <c r="N149" i="71"/>
  <c r="T150" i="71"/>
  <c r="O149" i="71"/>
  <c r="J148" i="71"/>
  <c r="I148" i="71"/>
  <c r="H148" i="71"/>
  <c r="G148" i="71"/>
  <c r="F148" i="71"/>
  <c r="C150" i="71"/>
  <c r="E149" i="71"/>
  <c r="M149" i="71"/>
  <c r="R150" i="71"/>
  <c r="L149" i="71"/>
  <c r="Q150" i="71"/>
  <c r="K149" i="71"/>
  <c r="P150" i="71"/>
  <c r="Q150" i="70"/>
  <c r="L149" i="70"/>
  <c r="S150" i="70"/>
  <c r="N149" i="70"/>
  <c r="O148" i="70"/>
  <c r="J148" i="70" s="1"/>
  <c r="T149" i="70"/>
  <c r="R149" i="70"/>
  <c r="M148" i="70"/>
  <c r="H148" i="70" s="1"/>
  <c r="C150" i="70"/>
  <c r="E149" i="70"/>
  <c r="I148" i="70"/>
  <c r="G148" i="70"/>
  <c r="F148" i="70"/>
  <c r="K150" i="70"/>
  <c r="P151" i="70"/>
  <c r="S150" i="69"/>
  <c r="N149" i="69"/>
  <c r="R150" i="69"/>
  <c r="M149" i="69"/>
  <c r="C150" i="69"/>
  <c r="E149" i="69"/>
  <c r="O149" i="69"/>
  <c r="T150" i="69"/>
  <c r="I148" i="69"/>
  <c r="H148" i="69"/>
  <c r="G148" i="69"/>
  <c r="F148" i="69"/>
  <c r="J148" i="69"/>
  <c r="P150" i="69"/>
  <c r="K149" i="69"/>
  <c r="Q150" i="69"/>
  <c r="L149" i="69"/>
  <c r="M149" i="63"/>
  <c r="R150" i="63"/>
  <c r="J148" i="63"/>
  <c r="I148" i="63"/>
  <c r="F148" i="63"/>
  <c r="H148" i="63"/>
  <c r="C150" i="63"/>
  <c r="E149" i="63"/>
  <c r="S150" i="63"/>
  <c r="N149" i="63"/>
  <c r="T151" i="63"/>
  <c r="O150" i="63"/>
  <c r="K149" i="63"/>
  <c r="P150" i="63"/>
  <c r="L148" i="63"/>
  <c r="G148" i="63" s="1"/>
  <c r="Q149" i="63"/>
  <c r="L150" i="71" l="1"/>
  <c r="Q151" i="71"/>
  <c r="R151" i="71"/>
  <c r="M150" i="71"/>
  <c r="J149" i="71"/>
  <c r="G149" i="71"/>
  <c r="F149" i="71"/>
  <c r="I149" i="71"/>
  <c r="H149" i="71"/>
  <c r="T151" i="71"/>
  <c r="O150" i="71"/>
  <c r="E150" i="71"/>
  <c r="C151" i="71"/>
  <c r="K150" i="71"/>
  <c r="P151" i="71"/>
  <c r="N150" i="71"/>
  <c r="S151" i="71"/>
  <c r="R150" i="70"/>
  <c r="M149" i="70"/>
  <c r="H149" i="70" s="1"/>
  <c r="O149" i="70"/>
  <c r="T150" i="70"/>
  <c r="S151" i="70"/>
  <c r="N150" i="70"/>
  <c r="J149" i="70"/>
  <c r="I149" i="70"/>
  <c r="G149" i="70"/>
  <c r="F149" i="70"/>
  <c r="K151" i="70"/>
  <c r="P152" i="70"/>
  <c r="C151" i="70"/>
  <c r="E150" i="70"/>
  <c r="Q151" i="70"/>
  <c r="L150" i="70"/>
  <c r="Q151" i="69"/>
  <c r="L150" i="69"/>
  <c r="T151" i="69"/>
  <c r="O150" i="69"/>
  <c r="J149" i="69"/>
  <c r="I149" i="69"/>
  <c r="H149" i="69"/>
  <c r="G149" i="69"/>
  <c r="F149" i="69"/>
  <c r="K150" i="69"/>
  <c r="P151" i="69"/>
  <c r="C151" i="69"/>
  <c r="E150" i="69"/>
  <c r="R151" i="69"/>
  <c r="M150" i="69"/>
  <c r="S151" i="69"/>
  <c r="N150" i="69"/>
  <c r="E150" i="63"/>
  <c r="C151" i="63"/>
  <c r="K150" i="63"/>
  <c r="P151" i="63"/>
  <c r="O151" i="63"/>
  <c r="T152" i="63"/>
  <c r="N150" i="63"/>
  <c r="S151" i="63"/>
  <c r="M150" i="63"/>
  <c r="R151" i="63"/>
  <c r="L149" i="63"/>
  <c r="G149" i="63" s="1"/>
  <c r="Q150" i="63"/>
  <c r="J149" i="63"/>
  <c r="H149" i="63"/>
  <c r="I149" i="63"/>
  <c r="F149" i="63"/>
  <c r="P152" i="71" l="1"/>
  <c r="K151" i="71"/>
  <c r="E151" i="71"/>
  <c r="C152" i="71"/>
  <c r="H150" i="71"/>
  <c r="G150" i="71"/>
  <c r="F150" i="71"/>
  <c r="J150" i="71"/>
  <c r="I150" i="71"/>
  <c r="M151" i="71"/>
  <c r="R152" i="71"/>
  <c r="O151" i="71"/>
  <c r="T152" i="71"/>
  <c r="L151" i="71"/>
  <c r="Q152" i="71"/>
  <c r="N151" i="71"/>
  <c r="S152" i="71"/>
  <c r="L151" i="70"/>
  <c r="Q152" i="70"/>
  <c r="I150" i="70"/>
  <c r="G150" i="70"/>
  <c r="F150" i="70"/>
  <c r="C152" i="70"/>
  <c r="E151" i="70"/>
  <c r="K152" i="70"/>
  <c r="P153" i="70"/>
  <c r="S152" i="70"/>
  <c r="N151" i="70"/>
  <c r="T151" i="70"/>
  <c r="O150" i="70"/>
  <c r="J150" i="70" s="1"/>
  <c r="R151" i="70"/>
  <c r="M150" i="70"/>
  <c r="H150" i="70" s="1"/>
  <c r="R152" i="69"/>
  <c r="M151" i="69"/>
  <c r="J150" i="69"/>
  <c r="I150" i="69"/>
  <c r="H150" i="69"/>
  <c r="G150" i="69"/>
  <c r="F150" i="69"/>
  <c r="C152" i="69"/>
  <c r="E151" i="69"/>
  <c r="S152" i="69"/>
  <c r="N151" i="69"/>
  <c r="K151" i="69"/>
  <c r="P152" i="69"/>
  <c r="T152" i="69"/>
  <c r="O151" i="69"/>
  <c r="L151" i="69"/>
  <c r="Q152" i="69"/>
  <c r="N151" i="63"/>
  <c r="S152" i="63"/>
  <c r="O152" i="63"/>
  <c r="T153" i="63"/>
  <c r="L150" i="63"/>
  <c r="G150" i="63" s="1"/>
  <c r="Q151" i="63"/>
  <c r="P152" i="63"/>
  <c r="K151" i="63"/>
  <c r="M151" i="63"/>
  <c r="R152" i="63"/>
  <c r="E151" i="63"/>
  <c r="C152" i="63"/>
  <c r="I150" i="63"/>
  <c r="F150" i="63"/>
  <c r="H150" i="63"/>
  <c r="J150" i="63"/>
  <c r="Q153" i="71" l="1"/>
  <c r="L152" i="71"/>
  <c r="E152" i="71"/>
  <c r="C153" i="71"/>
  <c r="T153" i="71"/>
  <c r="O152" i="71"/>
  <c r="M152" i="71"/>
  <c r="R153" i="71"/>
  <c r="I151" i="71"/>
  <c r="H151" i="71"/>
  <c r="G151" i="71"/>
  <c r="J151" i="71"/>
  <c r="F151" i="71"/>
  <c r="N152" i="71"/>
  <c r="S153" i="71"/>
  <c r="K152" i="71"/>
  <c r="P153" i="71"/>
  <c r="R152" i="70"/>
  <c r="M151" i="70"/>
  <c r="E152" i="70"/>
  <c r="C153" i="70"/>
  <c r="T152" i="70"/>
  <c r="O151" i="70"/>
  <c r="J151" i="70" s="1"/>
  <c r="S153" i="70"/>
  <c r="N152" i="70"/>
  <c r="K153" i="70"/>
  <c r="P154" i="70"/>
  <c r="L152" i="70"/>
  <c r="Q153" i="70"/>
  <c r="I151" i="70"/>
  <c r="H151" i="70"/>
  <c r="G151" i="70"/>
  <c r="F151" i="70"/>
  <c r="E152" i="69"/>
  <c r="C153" i="69"/>
  <c r="T153" i="69"/>
  <c r="O152" i="69"/>
  <c r="K152" i="69"/>
  <c r="P153" i="69"/>
  <c r="S153" i="69"/>
  <c r="N152" i="69"/>
  <c r="L152" i="69"/>
  <c r="Q153" i="69"/>
  <c r="J151" i="69"/>
  <c r="I151" i="69"/>
  <c r="H151" i="69"/>
  <c r="G151" i="69"/>
  <c r="F151" i="69"/>
  <c r="M152" i="69"/>
  <c r="R153" i="69"/>
  <c r="L151" i="63"/>
  <c r="G151" i="63" s="1"/>
  <c r="Q152" i="63"/>
  <c r="T154" i="63"/>
  <c r="O153" i="63"/>
  <c r="F151" i="63"/>
  <c r="J151" i="63"/>
  <c r="I151" i="63"/>
  <c r="H151" i="63"/>
  <c r="P153" i="63"/>
  <c r="K152" i="63"/>
  <c r="E152" i="63"/>
  <c r="C153" i="63"/>
  <c r="M152" i="63"/>
  <c r="R153" i="63"/>
  <c r="N152" i="63"/>
  <c r="S153" i="63"/>
  <c r="R154" i="71" l="1"/>
  <c r="M153" i="71"/>
  <c r="N153" i="71"/>
  <c r="S154" i="71"/>
  <c r="O153" i="71"/>
  <c r="T154" i="71"/>
  <c r="C154" i="71"/>
  <c r="E153" i="71"/>
  <c r="F152" i="71"/>
  <c r="J152" i="71"/>
  <c r="I152" i="71"/>
  <c r="H152" i="71"/>
  <c r="G152" i="71"/>
  <c r="P154" i="71"/>
  <c r="K153" i="71"/>
  <c r="L153" i="71"/>
  <c r="Q154" i="71"/>
  <c r="N153" i="70"/>
  <c r="S154" i="70"/>
  <c r="T153" i="70"/>
  <c r="O152" i="70"/>
  <c r="J152" i="70" s="1"/>
  <c r="L153" i="70"/>
  <c r="Q154" i="70"/>
  <c r="E153" i="70"/>
  <c r="C154" i="70"/>
  <c r="I152" i="70"/>
  <c r="G152" i="70"/>
  <c r="F152" i="70"/>
  <c r="P155" i="70"/>
  <c r="K154" i="70"/>
  <c r="M152" i="70"/>
  <c r="H152" i="70" s="1"/>
  <c r="R153" i="70"/>
  <c r="N153" i="69"/>
  <c r="S154" i="69"/>
  <c r="K153" i="69"/>
  <c r="P154" i="69"/>
  <c r="T154" i="69"/>
  <c r="O153" i="69"/>
  <c r="L153" i="69"/>
  <c r="Q154" i="69"/>
  <c r="E153" i="69"/>
  <c r="C154" i="69"/>
  <c r="M153" i="69"/>
  <c r="R154" i="69"/>
  <c r="J152" i="69"/>
  <c r="I152" i="69"/>
  <c r="H152" i="69"/>
  <c r="G152" i="69"/>
  <c r="F152" i="69"/>
  <c r="R154" i="63"/>
  <c r="M153" i="63"/>
  <c r="C154" i="63"/>
  <c r="E153" i="63"/>
  <c r="F152" i="63"/>
  <c r="H152" i="63"/>
  <c r="J152" i="63"/>
  <c r="I152" i="63"/>
  <c r="O154" i="63"/>
  <c r="T155" i="63"/>
  <c r="P154" i="63"/>
  <c r="K153" i="63"/>
  <c r="Q153" i="63"/>
  <c r="L152" i="63"/>
  <c r="G152" i="63" s="1"/>
  <c r="N153" i="63"/>
  <c r="S154" i="63"/>
  <c r="G153" i="71" l="1"/>
  <c r="F153" i="71"/>
  <c r="J153" i="71"/>
  <c r="I153" i="71"/>
  <c r="H153" i="71"/>
  <c r="E154" i="71"/>
  <c r="C155" i="71"/>
  <c r="P155" i="71"/>
  <c r="K154" i="71"/>
  <c r="O154" i="71"/>
  <c r="T155" i="71"/>
  <c r="S155" i="71"/>
  <c r="N154" i="71"/>
  <c r="Q155" i="71"/>
  <c r="L154" i="71"/>
  <c r="M154" i="71"/>
  <c r="R155" i="71"/>
  <c r="C155" i="70"/>
  <c r="E154" i="70"/>
  <c r="F153" i="70"/>
  <c r="I153" i="70"/>
  <c r="G153" i="70"/>
  <c r="K155" i="70"/>
  <c r="P156" i="70"/>
  <c r="Q155" i="70"/>
  <c r="L154" i="70"/>
  <c r="T154" i="70"/>
  <c r="O153" i="70"/>
  <c r="J153" i="70" s="1"/>
  <c r="S155" i="70"/>
  <c r="N154" i="70"/>
  <c r="M153" i="70"/>
  <c r="H153" i="70" s="1"/>
  <c r="R154" i="70"/>
  <c r="L154" i="69"/>
  <c r="Q155" i="69"/>
  <c r="O154" i="69"/>
  <c r="T155" i="69"/>
  <c r="M154" i="69"/>
  <c r="R155" i="69"/>
  <c r="P155" i="69"/>
  <c r="K154" i="69"/>
  <c r="E154" i="69"/>
  <c r="C155" i="69"/>
  <c r="N154" i="69"/>
  <c r="S155" i="69"/>
  <c r="F153" i="69"/>
  <c r="J153" i="69"/>
  <c r="I153" i="69"/>
  <c r="H153" i="69"/>
  <c r="G153" i="69"/>
  <c r="Q154" i="63"/>
  <c r="L153" i="63"/>
  <c r="G153" i="63" s="1"/>
  <c r="P155" i="63"/>
  <c r="K154" i="63"/>
  <c r="H153" i="63"/>
  <c r="F153" i="63"/>
  <c r="I153" i="63"/>
  <c r="J153" i="63"/>
  <c r="T156" i="63"/>
  <c r="O155" i="63"/>
  <c r="C155" i="63"/>
  <c r="E154" i="63"/>
  <c r="S155" i="63"/>
  <c r="N154" i="63"/>
  <c r="M154" i="63"/>
  <c r="R155" i="63"/>
  <c r="K155" i="71" l="1"/>
  <c r="P156" i="71"/>
  <c r="E155" i="71"/>
  <c r="C156" i="71"/>
  <c r="Q156" i="71"/>
  <c r="L155" i="71"/>
  <c r="H154" i="71"/>
  <c r="G154" i="71"/>
  <c r="J154" i="71"/>
  <c r="I154" i="71"/>
  <c r="F154" i="71"/>
  <c r="N155" i="71"/>
  <c r="S156" i="71"/>
  <c r="T156" i="71"/>
  <c r="O155" i="71"/>
  <c r="R156" i="71"/>
  <c r="M155" i="71"/>
  <c r="S156" i="70"/>
  <c r="N155" i="70"/>
  <c r="O154" i="70"/>
  <c r="J154" i="70" s="1"/>
  <c r="T155" i="70"/>
  <c r="Q156" i="70"/>
  <c r="L155" i="70"/>
  <c r="G154" i="70"/>
  <c r="F154" i="70"/>
  <c r="I154" i="70"/>
  <c r="R155" i="70"/>
  <c r="M154" i="70"/>
  <c r="H154" i="70" s="1"/>
  <c r="K156" i="70"/>
  <c r="P157" i="70"/>
  <c r="C156" i="70"/>
  <c r="E155" i="70"/>
  <c r="P156" i="69"/>
  <c r="K155" i="69"/>
  <c r="M155" i="69"/>
  <c r="R156" i="69"/>
  <c r="N155" i="69"/>
  <c r="S156" i="69"/>
  <c r="O155" i="69"/>
  <c r="T156" i="69"/>
  <c r="E155" i="69"/>
  <c r="C156" i="69"/>
  <c r="Q156" i="69"/>
  <c r="L155" i="69"/>
  <c r="G154" i="69"/>
  <c r="F154" i="69"/>
  <c r="J154" i="69"/>
  <c r="I154" i="69"/>
  <c r="H154" i="69"/>
  <c r="N155" i="63"/>
  <c r="S156" i="63"/>
  <c r="J154" i="63"/>
  <c r="I154" i="63"/>
  <c r="H154" i="63"/>
  <c r="F154" i="63"/>
  <c r="E155" i="63"/>
  <c r="C156" i="63"/>
  <c r="K155" i="63"/>
  <c r="P156" i="63"/>
  <c r="O156" i="63"/>
  <c r="T157" i="63"/>
  <c r="M155" i="63"/>
  <c r="R156" i="63"/>
  <c r="L154" i="63"/>
  <c r="G154" i="63" s="1"/>
  <c r="Q155" i="63"/>
  <c r="R157" i="71" l="1"/>
  <c r="M156" i="71"/>
  <c r="O156" i="71"/>
  <c r="T157" i="71"/>
  <c r="S157" i="71"/>
  <c r="N156" i="71"/>
  <c r="L156" i="71"/>
  <c r="Q157" i="71"/>
  <c r="C157" i="71"/>
  <c r="E156" i="71"/>
  <c r="I155" i="71"/>
  <c r="H155" i="71"/>
  <c r="F155" i="71"/>
  <c r="J155" i="71"/>
  <c r="G155" i="71"/>
  <c r="P157" i="71"/>
  <c r="K156" i="71"/>
  <c r="K157" i="70"/>
  <c r="P158" i="70"/>
  <c r="L156" i="70"/>
  <c r="Q157" i="70"/>
  <c r="R156" i="70"/>
  <c r="M155" i="70"/>
  <c r="H155" i="70" s="1"/>
  <c r="T156" i="70"/>
  <c r="O155" i="70"/>
  <c r="J155" i="70" s="1"/>
  <c r="C157" i="70"/>
  <c r="E156" i="70"/>
  <c r="I155" i="70"/>
  <c r="G155" i="70"/>
  <c r="F155" i="70"/>
  <c r="S157" i="70"/>
  <c r="N156" i="70"/>
  <c r="N156" i="69"/>
  <c r="S157" i="69"/>
  <c r="O156" i="69"/>
  <c r="T157" i="69"/>
  <c r="R157" i="69"/>
  <c r="M156" i="69"/>
  <c r="Q157" i="69"/>
  <c r="L156" i="69"/>
  <c r="E156" i="69"/>
  <c r="C157" i="69"/>
  <c r="H155" i="69"/>
  <c r="G155" i="69"/>
  <c r="F155" i="69"/>
  <c r="J155" i="69"/>
  <c r="I155" i="69"/>
  <c r="P157" i="69"/>
  <c r="K156" i="69"/>
  <c r="H155" i="63"/>
  <c r="F155" i="63"/>
  <c r="J155" i="63"/>
  <c r="I155" i="63"/>
  <c r="P157" i="63"/>
  <c r="K156" i="63"/>
  <c r="R157" i="63"/>
  <c r="M156" i="63"/>
  <c r="O157" i="63"/>
  <c r="T158" i="63"/>
  <c r="N156" i="63"/>
  <c r="S157" i="63"/>
  <c r="Q156" i="63"/>
  <c r="L155" i="63"/>
  <c r="G155" i="63" s="1"/>
  <c r="C157" i="63"/>
  <c r="E156" i="63"/>
  <c r="K157" i="71" l="1"/>
  <c r="P158" i="71"/>
  <c r="Q158" i="71"/>
  <c r="L157" i="71"/>
  <c r="S158" i="71"/>
  <c r="N157" i="71"/>
  <c r="T158" i="71"/>
  <c r="O157" i="71"/>
  <c r="J156" i="71"/>
  <c r="I156" i="71"/>
  <c r="G156" i="71"/>
  <c r="F156" i="71"/>
  <c r="H156" i="71"/>
  <c r="C158" i="71"/>
  <c r="E157" i="71"/>
  <c r="M157" i="71"/>
  <c r="R158" i="71"/>
  <c r="S158" i="70"/>
  <c r="N157" i="70"/>
  <c r="T157" i="70"/>
  <c r="O156" i="70"/>
  <c r="J156" i="70" s="1"/>
  <c r="R157" i="70"/>
  <c r="M156" i="70"/>
  <c r="H156" i="70" s="1"/>
  <c r="L157" i="70"/>
  <c r="Q158" i="70"/>
  <c r="I156" i="70"/>
  <c r="G156" i="70"/>
  <c r="F156" i="70"/>
  <c r="K158" i="70"/>
  <c r="P159" i="70"/>
  <c r="E157" i="70"/>
  <c r="C158" i="70"/>
  <c r="Q158" i="69"/>
  <c r="L157" i="69"/>
  <c r="P158" i="69"/>
  <c r="K157" i="69"/>
  <c r="R158" i="69"/>
  <c r="M157" i="69"/>
  <c r="O157" i="69"/>
  <c r="T158" i="69"/>
  <c r="C158" i="69"/>
  <c r="E157" i="69"/>
  <c r="S158" i="69"/>
  <c r="N157" i="69"/>
  <c r="I156" i="69"/>
  <c r="H156" i="69"/>
  <c r="G156" i="69"/>
  <c r="F156" i="69"/>
  <c r="J156" i="69"/>
  <c r="C158" i="63"/>
  <c r="E157" i="63"/>
  <c r="M157" i="63"/>
  <c r="R158" i="63"/>
  <c r="L156" i="63"/>
  <c r="G156" i="63" s="1"/>
  <c r="Q157" i="63"/>
  <c r="P158" i="63"/>
  <c r="K157" i="63"/>
  <c r="S158" i="63"/>
  <c r="N157" i="63"/>
  <c r="T159" i="63"/>
  <c r="O158" i="63"/>
  <c r="I156" i="63"/>
  <c r="F156" i="63"/>
  <c r="J156" i="63"/>
  <c r="H156" i="63"/>
  <c r="J157" i="71" l="1"/>
  <c r="H157" i="71"/>
  <c r="G157" i="71"/>
  <c r="F157" i="71"/>
  <c r="I157" i="71"/>
  <c r="T159" i="71"/>
  <c r="O158" i="71"/>
  <c r="E158" i="71"/>
  <c r="C159" i="71"/>
  <c r="N158" i="71"/>
  <c r="S159" i="71"/>
  <c r="L158" i="71"/>
  <c r="Q159" i="71"/>
  <c r="K158" i="71"/>
  <c r="P159" i="71"/>
  <c r="R159" i="71"/>
  <c r="M158" i="71"/>
  <c r="I157" i="70"/>
  <c r="G157" i="70"/>
  <c r="F157" i="70"/>
  <c r="L158" i="70"/>
  <c r="Q159" i="70"/>
  <c r="P160" i="70"/>
  <c r="K159" i="70"/>
  <c r="M157" i="70"/>
  <c r="H157" i="70" s="1"/>
  <c r="R158" i="70"/>
  <c r="T158" i="70"/>
  <c r="O157" i="70"/>
  <c r="J157" i="70" s="1"/>
  <c r="E158" i="70"/>
  <c r="C159" i="70"/>
  <c r="N158" i="70"/>
  <c r="S159" i="70"/>
  <c r="T159" i="69"/>
  <c r="O158" i="69"/>
  <c r="R159" i="69"/>
  <c r="M158" i="69"/>
  <c r="S159" i="69"/>
  <c r="N158" i="69"/>
  <c r="K158" i="69"/>
  <c r="P159" i="69"/>
  <c r="J157" i="69"/>
  <c r="I157" i="69"/>
  <c r="H157" i="69"/>
  <c r="G157" i="69"/>
  <c r="F157" i="69"/>
  <c r="C159" i="69"/>
  <c r="E158" i="69"/>
  <c r="Q159" i="69"/>
  <c r="L158" i="69"/>
  <c r="K158" i="63"/>
  <c r="P159" i="63"/>
  <c r="Q158" i="63"/>
  <c r="L157" i="63"/>
  <c r="G157" i="63" s="1"/>
  <c r="R159" i="63"/>
  <c r="M158" i="63"/>
  <c r="T160" i="63"/>
  <c r="O159" i="63"/>
  <c r="J157" i="63"/>
  <c r="H157" i="63"/>
  <c r="I157" i="63"/>
  <c r="F157" i="63"/>
  <c r="N158" i="63"/>
  <c r="S159" i="63"/>
  <c r="E158" i="63"/>
  <c r="C159" i="63"/>
  <c r="I158" i="71" l="1"/>
  <c r="H158" i="71"/>
  <c r="G158" i="71"/>
  <c r="F158" i="71"/>
  <c r="J158" i="71"/>
  <c r="M159" i="71"/>
  <c r="R160" i="71"/>
  <c r="P160" i="71"/>
  <c r="K159" i="71"/>
  <c r="T160" i="71"/>
  <c r="O159" i="71"/>
  <c r="Q160" i="71"/>
  <c r="L159" i="71"/>
  <c r="S160" i="71"/>
  <c r="N159" i="71"/>
  <c r="E159" i="71"/>
  <c r="C160" i="71"/>
  <c r="P161" i="70"/>
  <c r="K160" i="70"/>
  <c r="F158" i="70"/>
  <c r="I158" i="70"/>
  <c r="G158" i="70"/>
  <c r="E159" i="70"/>
  <c r="C160" i="70"/>
  <c r="T159" i="70"/>
  <c r="O158" i="70"/>
  <c r="J158" i="70" s="1"/>
  <c r="M158" i="70"/>
  <c r="H158" i="70" s="1"/>
  <c r="R159" i="70"/>
  <c r="Q160" i="70"/>
  <c r="L159" i="70"/>
  <c r="N159" i="70"/>
  <c r="S160" i="70"/>
  <c r="Q160" i="69"/>
  <c r="L159" i="69"/>
  <c r="J158" i="69"/>
  <c r="I158" i="69"/>
  <c r="H158" i="69"/>
  <c r="G158" i="69"/>
  <c r="F158" i="69"/>
  <c r="P160" i="69"/>
  <c r="K159" i="69"/>
  <c r="C160" i="69"/>
  <c r="E159" i="69"/>
  <c r="R160" i="69"/>
  <c r="M159" i="69"/>
  <c r="S160" i="69"/>
  <c r="N159" i="69"/>
  <c r="T160" i="69"/>
  <c r="O159" i="69"/>
  <c r="S160" i="63"/>
  <c r="N159" i="63"/>
  <c r="T161" i="63"/>
  <c r="O160" i="63"/>
  <c r="M159" i="63"/>
  <c r="R160" i="63"/>
  <c r="Q159" i="63"/>
  <c r="L158" i="63"/>
  <c r="G158" i="63" s="1"/>
  <c r="I158" i="63"/>
  <c r="H158" i="63"/>
  <c r="J158" i="63"/>
  <c r="F158" i="63"/>
  <c r="P160" i="63"/>
  <c r="K159" i="63"/>
  <c r="C160" i="63"/>
  <c r="E159" i="63"/>
  <c r="J159" i="71" l="1"/>
  <c r="I159" i="71"/>
  <c r="H159" i="71"/>
  <c r="G159" i="71"/>
  <c r="F159" i="71"/>
  <c r="P161" i="71"/>
  <c r="K160" i="71"/>
  <c r="R161" i="71"/>
  <c r="M160" i="71"/>
  <c r="S161" i="71"/>
  <c r="N160" i="71"/>
  <c r="Q161" i="71"/>
  <c r="L160" i="71"/>
  <c r="O160" i="71"/>
  <c r="T161" i="71"/>
  <c r="C161" i="71"/>
  <c r="E160" i="71"/>
  <c r="G159" i="70"/>
  <c r="F159" i="70"/>
  <c r="I159" i="70"/>
  <c r="E160" i="70"/>
  <c r="C161" i="70"/>
  <c r="P162" i="70"/>
  <c r="K161" i="70"/>
  <c r="Q161" i="70"/>
  <c r="L160" i="70"/>
  <c r="N160" i="70"/>
  <c r="S161" i="70"/>
  <c r="M159" i="70"/>
  <c r="H159" i="70" s="1"/>
  <c r="R160" i="70"/>
  <c r="O159" i="70"/>
  <c r="J159" i="70" s="1"/>
  <c r="T160" i="70"/>
  <c r="O160" i="69"/>
  <c r="T161" i="69"/>
  <c r="P161" i="69"/>
  <c r="K160" i="69"/>
  <c r="N160" i="69"/>
  <c r="S161" i="69"/>
  <c r="R161" i="69"/>
  <c r="M160" i="69"/>
  <c r="J159" i="69"/>
  <c r="I159" i="69"/>
  <c r="H159" i="69"/>
  <c r="G159" i="69"/>
  <c r="F159" i="69"/>
  <c r="E160" i="69"/>
  <c r="C161" i="69"/>
  <c r="Q161" i="69"/>
  <c r="L160" i="69"/>
  <c r="C161" i="63"/>
  <c r="E160" i="63"/>
  <c r="L159" i="63"/>
  <c r="G159" i="63" s="1"/>
  <c r="Q160" i="63"/>
  <c r="K160" i="63"/>
  <c r="P161" i="63"/>
  <c r="M160" i="63"/>
  <c r="R161" i="63"/>
  <c r="O161" i="63"/>
  <c r="T162" i="63"/>
  <c r="J159" i="63"/>
  <c r="I159" i="63"/>
  <c r="F159" i="63"/>
  <c r="H159" i="63"/>
  <c r="N160" i="63"/>
  <c r="S161" i="63"/>
  <c r="C162" i="71" l="1"/>
  <c r="E161" i="71"/>
  <c r="R162" i="71"/>
  <c r="M161" i="71"/>
  <c r="T162" i="71"/>
  <c r="O161" i="71"/>
  <c r="K161" i="71"/>
  <c r="P162" i="71"/>
  <c r="Q162" i="71"/>
  <c r="L161" i="71"/>
  <c r="S162" i="71"/>
  <c r="N161" i="71"/>
  <c r="G160" i="71"/>
  <c r="F160" i="71"/>
  <c r="J160" i="71"/>
  <c r="I160" i="71"/>
  <c r="H160" i="71"/>
  <c r="K162" i="70"/>
  <c r="P163" i="70"/>
  <c r="C162" i="70"/>
  <c r="E161" i="70"/>
  <c r="I160" i="70"/>
  <c r="G160" i="70"/>
  <c r="F160" i="70"/>
  <c r="S162" i="70"/>
  <c r="N161" i="70"/>
  <c r="R161" i="70"/>
  <c r="M160" i="70"/>
  <c r="H160" i="70" s="1"/>
  <c r="Q162" i="70"/>
  <c r="L161" i="70"/>
  <c r="O160" i="70"/>
  <c r="J160" i="70" s="1"/>
  <c r="T161" i="70"/>
  <c r="C162" i="69"/>
  <c r="E161" i="69"/>
  <c r="R162" i="69"/>
  <c r="M161" i="69"/>
  <c r="Q162" i="69"/>
  <c r="L161" i="69"/>
  <c r="I160" i="69"/>
  <c r="H160" i="69"/>
  <c r="G160" i="69"/>
  <c r="F160" i="69"/>
  <c r="J160" i="69"/>
  <c r="S162" i="69"/>
  <c r="N161" i="69"/>
  <c r="P162" i="69"/>
  <c r="K161" i="69"/>
  <c r="O161" i="69"/>
  <c r="T162" i="69"/>
  <c r="M161" i="63"/>
  <c r="R162" i="63"/>
  <c r="P162" i="63"/>
  <c r="K161" i="63"/>
  <c r="L160" i="63"/>
  <c r="G160" i="63" s="1"/>
  <c r="Q161" i="63"/>
  <c r="O162" i="63"/>
  <c r="T163" i="63"/>
  <c r="F160" i="63"/>
  <c r="H160" i="63"/>
  <c r="I160" i="63"/>
  <c r="J160" i="63"/>
  <c r="N161" i="63"/>
  <c r="S162" i="63"/>
  <c r="E161" i="63"/>
  <c r="C162" i="63"/>
  <c r="K162" i="71" l="1"/>
  <c r="P163" i="71"/>
  <c r="T163" i="71"/>
  <c r="O162" i="71"/>
  <c r="S163" i="71"/>
  <c r="N162" i="71"/>
  <c r="M162" i="71"/>
  <c r="R163" i="71"/>
  <c r="J161" i="71"/>
  <c r="I161" i="71"/>
  <c r="H161" i="71"/>
  <c r="G161" i="71"/>
  <c r="F161" i="71"/>
  <c r="L162" i="71"/>
  <c r="Q163" i="71"/>
  <c r="E162" i="71"/>
  <c r="C163" i="71"/>
  <c r="Q163" i="70"/>
  <c r="L162" i="70"/>
  <c r="R162" i="70"/>
  <c r="M161" i="70"/>
  <c r="H161" i="70" s="1"/>
  <c r="I161" i="70"/>
  <c r="G161" i="70"/>
  <c r="F161" i="70"/>
  <c r="C163" i="70"/>
  <c r="E162" i="70"/>
  <c r="S163" i="70"/>
  <c r="N162" i="70"/>
  <c r="K163" i="70"/>
  <c r="P164" i="70"/>
  <c r="O161" i="70"/>
  <c r="J161" i="70" s="1"/>
  <c r="T162" i="70"/>
  <c r="K162" i="69"/>
  <c r="P163" i="69"/>
  <c r="Q163" i="69"/>
  <c r="L162" i="69"/>
  <c r="S163" i="69"/>
  <c r="N162" i="69"/>
  <c r="R163" i="69"/>
  <c r="M162" i="69"/>
  <c r="J161" i="69"/>
  <c r="I161" i="69"/>
  <c r="H161" i="69"/>
  <c r="G161" i="69"/>
  <c r="F161" i="69"/>
  <c r="T163" i="69"/>
  <c r="O162" i="69"/>
  <c r="C163" i="69"/>
  <c r="E162" i="69"/>
  <c r="O163" i="63"/>
  <c r="T164" i="63"/>
  <c r="N162" i="63"/>
  <c r="S163" i="63"/>
  <c r="L161" i="63"/>
  <c r="G161" i="63" s="1"/>
  <c r="Q162" i="63"/>
  <c r="P163" i="63"/>
  <c r="K162" i="63"/>
  <c r="M162" i="63"/>
  <c r="R163" i="63"/>
  <c r="I161" i="63"/>
  <c r="H161" i="63"/>
  <c r="J161" i="63"/>
  <c r="F161" i="63"/>
  <c r="E162" i="63"/>
  <c r="C163" i="63"/>
  <c r="J162" i="71" l="1"/>
  <c r="F162" i="71"/>
  <c r="I162" i="71"/>
  <c r="H162" i="71"/>
  <c r="G162" i="71"/>
  <c r="M163" i="71"/>
  <c r="R164" i="71"/>
  <c r="L163" i="71"/>
  <c r="Q164" i="71"/>
  <c r="N163" i="71"/>
  <c r="S164" i="71"/>
  <c r="T164" i="71"/>
  <c r="O163" i="71"/>
  <c r="K163" i="71"/>
  <c r="P164" i="71"/>
  <c r="E163" i="71"/>
  <c r="C164" i="71"/>
  <c r="K164" i="70"/>
  <c r="P165" i="70"/>
  <c r="S164" i="70"/>
  <c r="N163" i="70"/>
  <c r="I162" i="70"/>
  <c r="H162" i="70"/>
  <c r="G162" i="70"/>
  <c r="F162" i="70"/>
  <c r="R163" i="70"/>
  <c r="M162" i="70"/>
  <c r="C164" i="70"/>
  <c r="E163" i="70"/>
  <c r="T163" i="70"/>
  <c r="O162" i="70"/>
  <c r="J162" i="70" s="1"/>
  <c r="L163" i="70"/>
  <c r="Q164" i="70"/>
  <c r="C164" i="69"/>
  <c r="E163" i="69"/>
  <c r="T164" i="69"/>
  <c r="O163" i="69"/>
  <c r="S164" i="69"/>
  <c r="N163" i="69"/>
  <c r="L163" i="69"/>
  <c r="Q164" i="69"/>
  <c r="K163" i="69"/>
  <c r="P164" i="69"/>
  <c r="R164" i="69"/>
  <c r="M163" i="69"/>
  <c r="J162" i="69"/>
  <c r="I162" i="69"/>
  <c r="H162" i="69"/>
  <c r="G162" i="69"/>
  <c r="F162" i="69"/>
  <c r="P164" i="63"/>
  <c r="K163" i="63"/>
  <c r="H162" i="63"/>
  <c r="F162" i="63"/>
  <c r="J162" i="63"/>
  <c r="I162" i="63"/>
  <c r="Q163" i="63"/>
  <c r="L162" i="63"/>
  <c r="G162" i="63" s="1"/>
  <c r="N163" i="63"/>
  <c r="S164" i="63"/>
  <c r="R164" i="63"/>
  <c r="M163" i="63"/>
  <c r="O164" i="63"/>
  <c r="T165" i="63"/>
  <c r="C164" i="63"/>
  <c r="E163" i="63"/>
  <c r="F163" i="71" l="1"/>
  <c r="J163" i="71"/>
  <c r="I163" i="71"/>
  <c r="H163" i="71"/>
  <c r="G163" i="71"/>
  <c r="P165" i="71"/>
  <c r="K164" i="71"/>
  <c r="M164" i="71"/>
  <c r="R165" i="71"/>
  <c r="O164" i="71"/>
  <c r="T165" i="71"/>
  <c r="N164" i="71"/>
  <c r="S165" i="71"/>
  <c r="E164" i="71"/>
  <c r="C165" i="71"/>
  <c r="L164" i="71"/>
  <c r="Q165" i="71"/>
  <c r="T164" i="70"/>
  <c r="O163" i="70"/>
  <c r="J163" i="70"/>
  <c r="I163" i="70"/>
  <c r="G163" i="70"/>
  <c r="F163" i="70"/>
  <c r="E164" i="70"/>
  <c r="C165" i="70"/>
  <c r="S165" i="70"/>
  <c r="N164" i="70"/>
  <c r="R164" i="70"/>
  <c r="M163" i="70"/>
  <c r="H163" i="70" s="1"/>
  <c r="K165" i="70"/>
  <c r="P166" i="70"/>
  <c r="L164" i="70"/>
  <c r="Q165" i="70"/>
  <c r="L164" i="69"/>
  <c r="Q165" i="69"/>
  <c r="S165" i="69"/>
  <c r="N164" i="69"/>
  <c r="T165" i="69"/>
  <c r="O164" i="69"/>
  <c r="M164" i="69"/>
  <c r="R165" i="69"/>
  <c r="K164" i="69"/>
  <c r="P165" i="69"/>
  <c r="J163" i="69"/>
  <c r="I163" i="69"/>
  <c r="H163" i="69"/>
  <c r="G163" i="69"/>
  <c r="F163" i="69"/>
  <c r="E164" i="69"/>
  <c r="C165" i="69"/>
  <c r="C165" i="63"/>
  <c r="E164" i="63"/>
  <c r="Q164" i="63"/>
  <c r="L163" i="63"/>
  <c r="G163" i="63" s="1"/>
  <c r="T166" i="63"/>
  <c r="O165" i="63"/>
  <c r="S165" i="63"/>
  <c r="N164" i="63"/>
  <c r="R165" i="63"/>
  <c r="M164" i="63"/>
  <c r="I163" i="63"/>
  <c r="F163" i="63"/>
  <c r="J163" i="63"/>
  <c r="H163" i="63"/>
  <c r="P165" i="63"/>
  <c r="K164" i="63"/>
  <c r="E165" i="71" l="1"/>
  <c r="C166" i="71"/>
  <c r="G164" i="71"/>
  <c r="F164" i="71"/>
  <c r="J164" i="71"/>
  <c r="I164" i="71"/>
  <c r="H164" i="71"/>
  <c r="P166" i="71"/>
  <c r="K165" i="71"/>
  <c r="N165" i="71"/>
  <c r="S166" i="71"/>
  <c r="O165" i="71"/>
  <c r="T166" i="71"/>
  <c r="Q166" i="71"/>
  <c r="L165" i="71"/>
  <c r="M165" i="71"/>
  <c r="R166" i="71"/>
  <c r="I164" i="70"/>
  <c r="G164" i="70"/>
  <c r="F164" i="70"/>
  <c r="M164" i="70"/>
  <c r="H164" i="70" s="1"/>
  <c r="R165" i="70"/>
  <c r="P167" i="70"/>
  <c r="K166" i="70"/>
  <c r="N165" i="70"/>
  <c r="S166" i="70"/>
  <c r="L165" i="70"/>
  <c r="Q166" i="70"/>
  <c r="E165" i="70"/>
  <c r="C166" i="70"/>
  <c r="T165" i="70"/>
  <c r="O164" i="70"/>
  <c r="J164" i="70" s="1"/>
  <c r="J164" i="69"/>
  <c r="I164" i="69"/>
  <c r="H164" i="69"/>
  <c r="G164" i="69"/>
  <c r="F164" i="69"/>
  <c r="M165" i="69"/>
  <c r="R166" i="69"/>
  <c r="T166" i="69"/>
  <c r="O165" i="69"/>
  <c r="N165" i="69"/>
  <c r="S166" i="69"/>
  <c r="K165" i="69"/>
  <c r="P166" i="69"/>
  <c r="L165" i="69"/>
  <c r="Q166" i="69"/>
  <c r="E165" i="69"/>
  <c r="C166" i="69"/>
  <c r="S166" i="63"/>
  <c r="N165" i="63"/>
  <c r="T167" i="63"/>
  <c r="O166" i="63"/>
  <c r="Q165" i="63"/>
  <c r="L164" i="63"/>
  <c r="G164" i="63" s="1"/>
  <c r="J164" i="63"/>
  <c r="H164" i="63"/>
  <c r="F164" i="63"/>
  <c r="I164" i="63"/>
  <c r="K165" i="63"/>
  <c r="P166" i="63"/>
  <c r="R166" i="63"/>
  <c r="M165" i="63"/>
  <c r="E165" i="63"/>
  <c r="C166" i="63"/>
  <c r="P167" i="71" l="1"/>
  <c r="K166" i="71"/>
  <c r="Q167" i="71"/>
  <c r="L166" i="71"/>
  <c r="O166" i="71"/>
  <c r="T167" i="71"/>
  <c r="N166" i="71"/>
  <c r="S167" i="71"/>
  <c r="E166" i="71"/>
  <c r="C167" i="71"/>
  <c r="R167" i="71"/>
  <c r="M166" i="71"/>
  <c r="H165" i="71"/>
  <c r="G165" i="71"/>
  <c r="F165" i="71"/>
  <c r="J165" i="71"/>
  <c r="I165" i="71"/>
  <c r="T166" i="70"/>
  <c r="O165" i="70"/>
  <c r="J165" i="70" s="1"/>
  <c r="P168" i="70"/>
  <c r="K167" i="70"/>
  <c r="E166" i="70"/>
  <c r="C167" i="70"/>
  <c r="M165" i="70"/>
  <c r="H165" i="70" s="1"/>
  <c r="R166" i="70"/>
  <c r="F165" i="70"/>
  <c r="I165" i="70"/>
  <c r="G165" i="70"/>
  <c r="L166" i="70"/>
  <c r="Q167" i="70"/>
  <c r="N166" i="70"/>
  <c r="S167" i="70"/>
  <c r="F165" i="69"/>
  <c r="J165" i="69"/>
  <c r="I165" i="69"/>
  <c r="H165" i="69"/>
  <c r="G165" i="69"/>
  <c r="O166" i="69"/>
  <c r="T167" i="69"/>
  <c r="L166" i="69"/>
  <c r="Q167" i="69"/>
  <c r="M166" i="69"/>
  <c r="R167" i="69"/>
  <c r="P167" i="69"/>
  <c r="K166" i="69"/>
  <c r="N166" i="69"/>
  <c r="S167" i="69"/>
  <c r="E166" i="69"/>
  <c r="C167" i="69"/>
  <c r="I165" i="63"/>
  <c r="H165" i="63"/>
  <c r="F165" i="63"/>
  <c r="J165" i="63"/>
  <c r="R167" i="63"/>
  <c r="M166" i="63"/>
  <c r="K166" i="63"/>
  <c r="P167" i="63"/>
  <c r="Q166" i="63"/>
  <c r="L165" i="63"/>
  <c r="G165" i="63" s="1"/>
  <c r="T168" i="63"/>
  <c r="O167" i="63"/>
  <c r="C167" i="63"/>
  <c r="E166" i="63"/>
  <c r="S167" i="63"/>
  <c r="N166" i="63"/>
  <c r="S168" i="71" l="1"/>
  <c r="N167" i="71"/>
  <c r="O167" i="71"/>
  <c r="T168" i="71"/>
  <c r="R168" i="71"/>
  <c r="M167" i="71"/>
  <c r="Q168" i="71"/>
  <c r="L167" i="71"/>
  <c r="C168" i="71"/>
  <c r="E167" i="71"/>
  <c r="I166" i="71"/>
  <c r="H166" i="71"/>
  <c r="G166" i="71"/>
  <c r="F166" i="71"/>
  <c r="J166" i="71"/>
  <c r="P168" i="71"/>
  <c r="K167" i="71"/>
  <c r="M166" i="70"/>
  <c r="H166" i="70" s="1"/>
  <c r="R167" i="70"/>
  <c r="Q168" i="70"/>
  <c r="L167" i="70"/>
  <c r="E167" i="70"/>
  <c r="C168" i="70"/>
  <c r="G166" i="70"/>
  <c r="F166" i="70"/>
  <c r="I166" i="70"/>
  <c r="P169" i="70"/>
  <c r="K168" i="70"/>
  <c r="N167" i="70"/>
  <c r="S168" i="70"/>
  <c r="O166" i="70"/>
  <c r="J166" i="70" s="1"/>
  <c r="T167" i="70"/>
  <c r="G166" i="69"/>
  <c r="F166" i="69"/>
  <c r="J166" i="69"/>
  <c r="I166" i="69"/>
  <c r="H166" i="69"/>
  <c r="N167" i="69"/>
  <c r="S168" i="69"/>
  <c r="O167" i="69"/>
  <c r="T168" i="69"/>
  <c r="P168" i="69"/>
  <c r="K167" i="69"/>
  <c r="M167" i="69"/>
  <c r="R168" i="69"/>
  <c r="E167" i="69"/>
  <c r="C168" i="69"/>
  <c r="Q168" i="69"/>
  <c r="L167" i="69"/>
  <c r="E167" i="63"/>
  <c r="C168" i="63"/>
  <c r="M167" i="63"/>
  <c r="R168" i="63"/>
  <c r="J166" i="63"/>
  <c r="I166" i="63"/>
  <c r="F166" i="63"/>
  <c r="H166" i="63"/>
  <c r="S168" i="63"/>
  <c r="N167" i="63"/>
  <c r="T169" i="63"/>
  <c r="O168" i="63"/>
  <c r="L166" i="63"/>
  <c r="G166" i="63" s="1"/>
  <c r="Q167" i="63"/>
  <c r="K167" i="63"/>
  <c r="P168" i="63"/>
  <c r="K168" i="71" l="1"/>
  <c r="P169" i="71"/>
  <c r="Q169" i="71"/>
  <c r="L168" i="71"/>
  <c r="R169" i="71"/>
  <c r="M168" i="71"/>
  <c r="T169" i="71"/>
  <c r="O168" i="71"/>
  <c r="J167" i="71"/>
  <c r="I167" i="71"/>
  <c r="H167" i="71"/>
  <c r="G167" i="71"/>
  <c r="F167" i="71"/>
  <c r="C169" i="71"/>
  <c r="E168" i="71"/>
  <c r="S169" i="71"/>
  <c r="N168" i="71"/>
  <c r="N168" i="70"/>
  <c r="S169" i="70"/>
  <c r="E168" i="70"/>
  <c r="C169" i="70"/>
  <c r="G167" i="70"/>
  <c r="F167" i="70"/>
  <c r="I167" i="70"/>
  <c r="P170" i="70"/>
  <c r="K169" i="70"/>
  <c r="Q169" i="70"/>
  <c r="L168" i="70"/>
  <c r="M167" i="70"/>
  <c r="H167" i="70" s="1"/>
  <c r="R168" i="70"/>
  <c r="O167" i="70"/>
  <c r="J167" i="70" s="1"/>
  <c r="T168" i="70"/>
  <c r="Q169" i="69"/>
  <c r="L168" i="69"/>
  <c r="E168" i="69"/>
  <c r="C169" i="69"/>
  <c r="N168" i="69"/>
  <c r="S169" i="69"/>
  <c r="H167" i="69"/>
  <c r="G167" i="69"/>
  <c r="F167" i="69"/>
  <c r="J167" i="69"/>
  <c r="I167" i="69"/>
  <c r="R169" i="69"/>
  <c r="M168" i="69"/>
  <c r="P169" i="69"/>
  <c r="K168" i="69"/>
  <c r="O168" i="69"/>
  <c r="T169" i="69"/>
  <c r="L167" i="63"/>
  <c r="G167" i="63" s="1"/>
  <c r="Q168" i="63"/>
  <c r="O169" i="63"/>
  <c r="T170" i="63"/>
  <c r="R169" i="63"/>
  <c r="M168" i="63"/>
  <c r="N168" i="63"/>
  <c r="S169" i="63"/>
  <c r="E168" i="63"/>
  <c r="C169" i="63"/>
  <c r="K168" i="63"/>
  <c r="P169" i="63"/>
  <c r="J167" i="63"/>
  <c r="F167" i="63"/>
  <c r="H167" i="63"/>
  <c r="I167" i="63"/>
  <c r="S170" i="71" l="1"/>
  <c r="N169" i="71"/>
  <c r="T170" i="71"/>
  <c r="O169" i="71"/>
  <c r="C170" i="71"/>
  <c r="E169" i="71"/>
  <c r="J168" i="71"/>
  <c r="I168" i="71"/>
  <c r="H168" i="71"/>
  <c r="G168" i="71"/>
  <c r="F168" i="71"/>
  <c r="R170" i="71"/>
  <c r="M169" i="71"/>
  <c r="L169" i="71"/>
  <c r="Q170" i="71"/>
  <c r="K169" i="71"/>
  <c r="P170" i="71"/>
  <c r="R169" i="70"/>
  <c r="M168" i="70"/>
  <c r="H168" i="70" s="1"/>
  <c r="Q170" i="70"/>
  <c r="L169" i="70"/>
  <c r="C170" i="70"/>
  <c r="E169" i="70"/>
  <c r="I168" i="70"/>
  <c r="G168" i="70"/>
  <c r="F168" i="70"/>
  <c r="K170" i="70"/>
  <c r="P171" i="70"/>
  <c r="S170" i="70"/>
  <c r="N169" i="70"/>
  <c r="O168" i="70"/>
  <c r="J168" i="70" s="1"/>
  <c r="T169" i="70"/>
  <c r="P170" i="69"/>
  <c r="K169" i="69"/>
  <c r="S170" i="69"/>
  <c r="N169" i="69"/>
  <c r="R170" i="69"/>
  <c r="M169" i="69"/>
  <c r="C170" i="69"/>
  <c r="E169" i="69"/>
  <c r="I168" i="69"/>
  <c r="H168" i="69"/>
  <c r="G168" i="69"/>
  <c r="F168" i="69"/>
  <c r="J168" i="69"/>
  <c r="O169" i="69"/>
  <c r="T170" i="69"/>
  <c r="Q170" i="69"/>
  <c r="L169" i="69"/>
  <c r="N169" i="63"/>
  <c r="S170" i="63"/>
  <c r="M169" i="63"/>
  <c r="R170" i="63"/>
  <c r="P170" i="63"/>
  <c r="K169" i="63"/>
  <c r="O170" i="63"/>
  <c r="T171" i="63"/>
  <c r="E169" i="63"/>
  <c r="C170" i="63"/>
  <c r="L168" i="63"/>
  <c r="G168" i="63" s="1"/>
  <c r="Q169" i="63"/>
  <c r="F168" i="63"/>
  <c r="H168" i="63"/>
  <c r="I168" i="63"/>
  <c r="J168" i="63"/>
  <c r="L170" i="71" l="1"/>
  <c r="Q171" i="71"/>
  <c r="J169" i="71"/>
  <c r="I169" i="71"/>
  <c r="H169" i="71"/>
  <c r="G169" i="71"/>
  <c r="F169" i="71"/>
  <c r="E170" i="71"/>
  <c r="C171" i="71"/>
  <c r="M170" i="71"/>
  <c r="R171" i="71"/>
  <c r="T171" i="71"/>
  <c r="O170" i="71"/>
  <c r="K170" i="71"/>
  <c r="P171" i="71"/>
  <c r="S171" i="71"/>
  <c r="N170" i="71"/>
  <c r="S171" i="70"/>
  <c r="N170" i="70"/>
  <c r="I169" i="70"/>
  <c r="G169" i="70"/>
  <c r="F169" i="70"/>
  <c r="K171" i="70"/>
  <c r="P172" i="70"/>
  <c r="C171" i="70"/>
  <c r="E170" i="70"/>
  <c r="Q171" i="70"/>
  <c r="L170" i="70"/>
  <c r="O169" i="70"/>
  <c r="J169" i="70" s="1"/>
  <c r="T170" i="70"/>
  <c r="R170" i="70"/>
  <c r="M169" i="70"/>
  <c r="H169" i="70" s="1"/>
  <c r="Q171" i="69"/>
  <c r="L170" i="69"/>
  <c r="T171" i="69"/>
  <c r="O170" i="69"/>
  <c r="C171" i="69"/>
  <c r="E170" i="69"/>
  <c r="J169" i="69"/>
  <c r="I169" i="69"/>
  <c r="H169" i="69"/>
  <c r="G169" i="69"/>
  <c r="F169" i="69"/>
  <c r="R171" i="69"/>
  <c r="M170" i="69"/>
  <c r="S171" i="69"/>
  <c r="N170" i="69"/>
  <c r="K170" i="69"/>
  <c r="P171" i="69"/>
  <c r="O171" i="63"/>
  <c r="T172" i="63"/>
  <c r="K170" i="63"/>
  <c r="P171" i="63"/>
  <c r="M170" i="63"/>
  <c r="R171" i="63"/>
  <c r="L169" i="63"/>
  <c r="G169" i="63" s="1"/>
  <c r="Q170" i="63"/>
  <c r="E170" i="63"/>
  <c r="C171" i="63"/>
  <c r="N170" i="63"/>
  <c r="S171" i="63"/>
  <c r="I169" i="63"/>
  <c r="H169" i="63"/>
  <c r="F169" i="63"/>
  <c r="J169" i="63"/>
  <c r="N171" i="71" l="1"/>
  <c r="S172" i="71"/>
  <c r="J170" i="71"/>
  <c r="I170" i="71"/>
  <c r="G170" i="71"/>
  <c r="H170" i="71"/>
  <c r="F170" i="71"/>
  <c r="K171" i="71"/>
  <c r="P172" i="71"/>
  <c r="T172" i="71"/>
  <c r="O171" i="71"/>
  <c r="M171" i="71"/>
  <c r="R172" i="71"/>
  <c r="L171" i="71"/>
  <c r="Q172" i="71"/>
  <c r="E171" i="71"/>
  <c r="C172" i="71"/>
  <c r="R171" i="70"/>
  <c r="M170" i="70"/>
  <c r="H170" i="70" s="1"/>
  <c r="T171" i="70"/>
  <c r="O170" i="70"/>
  <c r="L171" i="70"/>
  <c r="Q172" i="70"/>
  <c r="J170" i="70"/>
  <c r="I170" i="70"/>
  <c r="G170" i="70"/>
  <c r="F170" i="70"/>
  <c r="C172" i="70"/>
  <c r="E171" i="70"/>
  <c r="K172" i="70"/>
  <c r="P173" i="70"/>
  <c r="S172" i="70"/>
  <c r="N171" i="70"/>
  <c r="S172" i="69"/>
  <c r="N171" i="69"/>
  <c r="J170" i="69"/>
  <c r="I170" i="69"/>
  <c r="H170" i="69"/>
  <c r="G170" i="69"/>
  <c r="F170" i="69"/>
  <c r="R172" i="69"/>
  <c r="M171" i="69"/>
  <c r="T172" i="69"/>
  <c r="O171" i="69"/>
  <c r="C172" i="69"/>
  <c r="E171" i="69"/>
  <c r="K171" i="69"/>
  <c r="P172" i="69"/>
  <c r="L171" i="69"/>
  <c r="Q172" i="69"/>
  <c r="Q171" i="63"/>
  <c r="L170" i="63"/>
  <c r="G170" i="63" s="1"/>
  <c r="R172" i="63"/>
  <c r="M171" i="63"/>
  <c r="N171" i="63"/>
  <c r="S172" i="63"/>
  <c r="P172" i="63"/>
  <c r="K171" i="63"/>
  <c r="E171" i="63"/>
  <c r="C172" i="63"/>
  <c r="O172" i="63"/>
  <c r="T173" i="63"/>
  <c r="H170" i="63"/>
  <c r="F170" i="63"/>
  <c r="J170" i="63"/>
  <c r="I170" i="63"/>
  <c r="F171" i="71" l="1"/>
  <c r="J171" i="71"/>
  <c r="H171" i="71"/>
  <c r="I171" i="71"/>
  <c r="G171" i="71"/>
  <c r="L172" i="71"/>
  <c r="Q173" i="71"/>
  <c r="M172" i="71"/>
  <c r="R173" i="71"/>
  <c r="O172" i="71"/>
  <c r="T173" i="71"/>
  <c r="N172" i="71"/>
  <c r="S173" i="71"/>
  <c r="E172" i="71"/>
  <c r="C173" i="71"/>
  <c r="P173" i="71"/>
  <c r="K172" i="71"/>
  <c r="S173" i="70"/>
  <c r="N172" i="70"/>
  <c r="P174" i="70"/>
  <c r="K173" i="70"/>
  <c r="L172" i="70"/>
  <c r="Q173" i="70"/>
  <c r="I171" i="70"/>
  <c r="G171" i="70"/>
  <c r="F171" i="70"/>
  <c r="E172" i="70"/>
  <c r="C173" i="70"/>
  <c r="T172" i="70"/>
  <c r="O171" i="70"/>
  <c r="J171" i="70" s="1"/>
  <c r="R172" i="70"/>
  <c r="M171" i="70"/>
  <c r="H171" i="70" s="1"/>
  <c r="K172" i="69"/>
  <c r="P173" i="69"/>
  <c r="J171" i="69"/>
  <c r="I171" i="69"/>
  <c r="H171" i="69"/>
  <c r="G171" i="69"/>
  <c r="F171" i="69"/>
  <c r="M172" i="69"/>
  <c r="R173" i="69"/>
  <c r="E172" i="69"/>
  <c r="C173" i="69"/>
  <c r="T173" i="69"/>
  <c r="O172" i="69"/>
  <c r="L172" i="69"/>
  <c r="Q173" i="69"/>
  <c r="S173" i="69"/>
  <c r="N172" i="69"/>
  <c r="S173" i="63"/>
  <c r="N172" i="63"/>
  <c r="T174" i="63"/>
  <c r="O173" i="63"/>
  <c r="M172" i="63"/>
  <c r="R173" i="63"/>
  <c r="C173" i="63"/>
  <c r="E172" i="63"/>
  <c r="P173" i="63"/>
  <c r="K172" i="63"/>
  <c r="I171" i="63"/>
  <c r="F171" i="63"/>
  <c r="J171" i="63"/>
  <c r="H171" i="63"/>
  <c r="L171" i="63"/>
  <c r="G171" i="63" s="1"/>
  <c r="Q172" i="63"/>
  <c r="G172" i="71" l="1"/>
  <c r="F172" i="71"/>
  <c r="I172" i="71"/>
  <c r="J172" i="71"/>
  <c r="H172" i="71"/>
  <c r="E173" i="71"/>
  <c r="C174" i="71"/>
  <c r="N173" i="71"/>
  <c r="S174" i="71"/>
  <c r="O173" i="71"/>
  <c r="T174" i="71"/>
  <c r="P174" i="71"/>
  <c r="K173" i="71"/>
  <c r="Q174" i="71"/>
  <c r="L173" i="71"/>
  <c r="M173" i="71"/>
  <c r="R174" i="71"/>
  <c r="M172" i="70"/>
  <c r="H172" i="70" s="1"/>
  <c r="R173" i="70"/>
  <c r="T173" i="70"/>
  <c r="O172" i="70"/>
  <c r="J172" i="70" s="1"/>
  <c r="Q174" i="70"/>
  <c r="L173" i="70"/>
  <c r="E173" i="70"/>
  <c r="C174" i="70"/>
  <c r="I172" i="70"/>
  <c r="G172" i="70"/>
  <c r="F172" i="70"/>
  <c r="P175" i="70"/>
  <c r="K174" i="70"/>
  <c r="S174" i="70"/>
  <c r="N173" i="70"/>
  <c r="N173" i="69"/>
  <c r="S174" i="69"/>
  <c r="L173" i="69"/>
  <c r="Q174" i="69"/>
  <c r="T174" i="69"/>
  <c r="O173" i="69"/>
  <c r="E173" i="69"/>
  <c r="C174" i="69"/>
  <c r="J172" i="69"/>
  <c r="I172" i="69"/>
  <c r="H172" i="69"/>
  <c r="G172" i="69"/>
  <c r="F172" i="69"/>
  <c r="K173" i="69"/>
  <c r="P174" i="69"/>
  <c r="M173" i="69"/>
  <c r="R174" i="69"/>
  <c r="J172" i="63"/>
  <c r="H172" i="63"/>
  <c r="I172" i="63"/>
  <c r="F172" i="63"/>
  <c r="E173" i="63"/>
  <c r="C174" i="63"/>
  <c r="R174" i="63"/>
  <c r="M173" i="63"/>
  <c r="O174" i="63"/>
  <c r="T175" i="63"/>
  <c r="Q173" i="63"/>
  <c r="L172" i="63"/>
  <c r="G172" i="63" s="1"/>
  <c r="K173" i="63"/>
  <c r="P174" i="63"/>
  <c r="N173" i="63"/>
  <c r="S174" i="63"/>
  <c r="E174" i="71" l="1"/>
  <c r="C175" i="71"/>
  <c r="Q175" i="71"/>
  <c r="L174" i="71"/>
  <c r="H173" i="71"/>
  <c r="G173" i="71"/>
  <c r="F173" i="71"/>
  <c r="J173" i="71"/>
  <c r="I173" i="71"/>
  <c r="P175" i="71"/>
  <c r="K174" i="71"/>
  <c r="O174" i="71"/>
  <c r="T175" i="71"/>
  <c r="R175" i="71"/>
  <c r="M174" i="71"/>
  <c r="N174" i="71"/>
  <c r="S175" i="71"/>
  <c r="C175" i="70"/>
  <c r="E174" i="70"/>
  <c r="F173" i="70"/>
  <c r="I173" i="70"/>
  <c r="G173" i="70"/>
  <c r="P176" i="70"/>
  <c r="K175" i="70"/>
  <c r="Q175" i="70"/>
  <c r="L174" i="70"/>
  <c r="T174" i="70"/>
  <c r="O173" i="70"/>
  <c r="J173" i="70" s="1"/>
  <c r="N174" i="70"/>
  <c r="S175" i="70"/>
  <c r="M173" i="70"/>
  <c r="H173" i="70" s="1"/>
  <c r="R174" i="70"/>
  <c r="P175" i="69"/>
  <c r="K174" i="69"/>
  <c r="F173" i="69"/>
  <c r="J173" i="69"/>
  <c r="I173" i="69"/>
  <c r="H173" i="69"/>
  <c r="G173" i="69"/>
  <c r="O174" i="69"/>
  <c r="T175" i="69"/>
  <c r="L174" i="69"/>
  <c r="Q175" i="69"/>
  <c r="N174" i="69"/>
  <c r="S175" i="69"/>
  <c r="E174" i="69"/>
  <c r="C175" i="69"/>
  <c r="M174" i="69"/>
  <c r="R175" i="69"/>
  <c r="R175" i="63"/>
  <c r="M174" i="63"/>
  <c r="K174" i="63"/>
  <c r="P175" i="63"/>
  <c r="C175" i="63"/>
  <c r="E174" i="63"/>
  <c r="I173" i="63"/>
  <c r="H173" i="63"/>
  <c r="J173" i="63"/>
  <c r="F173" i="63"/>
  <c r="Q174" i="63"/>
  <c r="L173" i="63"/>
  <c r="G173" i="63" s="1"/>
  <c r="T176" i="63"/>
  <c r="O175" i="63"/>
  <c r="S175" i="63"/>
  <c r="N174" i="63"/>
  <c r="R176" i="71" l="1"/>
  <c r="M175" i="71"/>
  <c r="Q176" i="71"/>
  <c r="L175" i="71"/>
  <c r="P176" i="71"/>
  <c r="K175" i="71"/>
  <c r="C176" i="71"/>
  <c r="E175" i="71"/>
  <c r="O175" i="71"/>
  <c r="T176" i="71"/>
  <c r="S176" i="71"/>
  <c r="N175" i="71"/>
  <c r="I174" i="71"/>
  <c r="H174" i="71"/>
  <c r="G174" i="71"/>
  <c r="F174" i="71"/>
  <c r="J174" i="71"/>
  <c r="P177" i="70"/>
  <c r="K176" i="70"/>
  <c r="N175" i="70"/>
  <c r="S176" i="70"/>
  <c r="O174" i="70"/>
  <c r="J174" i="70" s="1"/>
  <c r="T175" i="70"/>
  <c r="Q176" i="70"/>
  <c r="L175" i="70"/>
  <c r="G174" i="70"/>
  <c r="F174" i="70"/>
  <c r="I174" i="70"/>
  <c r="M174" i="70"/>
  <c r="H174" i="70" s="1"/>
  <c r="R175" i="70"/>
  <c r="E175" i="70"/>
  <c r="C176" i="70"/>
  <c r="G174" i="69"/>
  <c r="F174" i="69"/>
  <c r="J174" i="69"/>
  <c r="I174" i="69"/>
  <c r="H174" i="69"/>
  <c r="N175" i="69"/>
  <c r="S176" i="69"/>
  <c r="Q176" i="69"/>
  <c r="L175" i="69"/>
  <c r="E175" i="69"/>
  <c r="C176" i="69"/>
  <c r="M175" i="69"/>
  <c r="R176" i="69"/>
  <c r="O175" i="69"/>
  <c r="T176" i="69"/>
  <c r="P176" i="69"/>
  <c r="K175" i="69"/>
  <c r="T177" i="63"/>
  <c r="O176" i="63"/>
  <c r="J174" i="63"/>
  <c r="I174" i="63"/>
  <c r="F174" i="63"/>
  <c r="H174" i="63"/>
  <c r="S176" i="63"/>
  <c r="N175" i="63"/>
  <c r="E175" i="63"/>
  <c r="C176" i="63"/>
  <c r="K175" i="63"/>
  <c r="P176" i="63"/>
  <c r="L174" i="63"/>
  <c r="G174" i="63" s="1"/>
  <c r="Q175" i="63"/>
  <c r="M175" i="63"/>
  <c r="R176" i="63"/>
  <c r="C177" i="71" l="1"/>
  <c r="E176" i="71"/>
  <c r="J175" i="71"/>
  <c r="I175" i="71"/>
  <c r="H175" i="71"/>
  <c r="G175" i="71"/>
  <c r="F175" i="71"/>
  <c r="K176" i="71"/>
  <c r="P177" i="71"/>
  <c r="S177" i="71"/>
  <c r="N176" i="71"/>
  <c r="Q177" i="71"/>
  <c r="L176" i="71"/>
  <c r="T177" i="71"/>
  <c r="O176" i="71"/>
  <c r="R177" i="71"/>
  <c r="M176" i="71"/>
  <c r="I175" i="70"/>
  <c r="G175" i="70"/>
  <c r="F175" i="70"/>
  <c r="J175" i="70"/>
  <c r="R176" i="70"/>
  <c r="M175" i="70"/>
  <c r="H175" i="70" s="1"/>
  <c r="Q177" i="70"/>
  <c r="L176" i="70"/>
  <c r="O175" i="70"/>
  <c r="T176" i="70"/>
  <c r="S177" i="70"/>
  <c r="N176" i="70"/>
  <c r="C177" i="70"/>
  <c r="E176" i="70"/>
  <c r="K177" i="70"/>
  <c r="P178" i="70"/>
  <c r="P177" i="69"/>
  <c r="K176" i="69"/>
  <c r="Q177" i="69"/>
  <c r="L176" i="69"/>
  <c r="O176" i="69"/>
  <c r="T177" i="69"/>
  <c r="N176" i="69"/>
  <c r="S177" i="69"/>
  <c r="R177" i="69"/>
  <c r="M176" i="69"/>
  <c r="E176" i="69"/>
  <c r="C177" i="69"/>
  <c r="H175" i="69"/>
  <c r="G175" i="69"/>
  <c r="F175" i="69"/>
  <c r="J175" i="69"/>
  <c r="I175" i="69"/>
  <c r="N176" i="63"/>
  <c r="S177" i="63"/>
  <c r="L175" i="63"/>
  <c r="G175" i="63" s="1"/>
  <c r="Q176" i="63"/>
  <c r="K176" i="63"/>
  <c r="P177" i="63"/>
  <c r="E176" i="63"/>
  <c r="C177" i="63"/>
  <c r="J175" i="63"/>
  <c r="I175" i="63"/>
  <c r="F175" i="63"/>
  <c r="H175" i="63"/>
  <c r="M176" i="63"/>
  <c r="R177" i="63"/>
  <c r="O177" i="63"/>
  <c r="T178" i="63"/>
  <c r="T178" i="71" l="1"/>
  <c r="O177" i="71"/>
  <c r="R178" i="71"/>
  <c r="M177" i="71"/>
  <c r="L177" i="71"/>
  <c r="Q178" i="71"/>
  <c r="S178" i="71"/>
  <c r="N177" i="71"/>
  <c r="J176" i="71"/>
  <c r="I176" i="71"/>
  <c r="H176" i="71"/>
  <c r="G176" i="71"/>
  <c r="F176" i="71"/>
  <c r="K177" i="71"/>
  <c r="P178" i="71"/>
  <c r="C178" i="71"/>
  <c r="E177" i="71"/>
  <c r="Q178" i="70"/>
  <c r="L177" i="70"/>
  <c r="R177" i="70"/>
  <c r="M176" i="70"/>
  <c r="H176" i="70" s="1"/>
  <c r="I176" i="70"/>
  <c r="G176" i="70"/>
  <c r="F176" i="70"/>
  <c r="S178" i="70"/>
  <c r="N177" i="70"/>
  <c r="C178" i="70"/>
  <c r="E177" i="70"/>
  <c r="O176" i="70"/>
  <c r="J176" i="70" s="1"/>
  <c r="T177" i="70"/>
  <c r="K178" i="70"/>
  <c r="P179" i="70"/>
  <c r="S178" i="69"/>
  <c r="N177" i="69"/>
  <c r="C178" i="69"/>
  <c r="E177" i="69"/>
  <c r="O177" i="69"/>
  <c r="T178" i="69"/>
  <c r="Q178" i="69"/>
  <c r="L177" i="69"/>
  <c r="I176" i="69"/>
  <c r="H176" i="69"/>
  <c r="G176" i="69"/>
  <c r="F176" i="69"/>
  <c r="J176" i="69"/>
  <c r="R178" i="69"/>
  <c r="M177" i="69"/>
  <c r="P178" i="69"/>
  <c r="K177" i="69"/>
  <c r="M177" i="63"/>
  <c r="R178" i="63"/>
  <c r="F176" i="63"/>
  <c r="H176" i="63"/>
  <c r="J176" i="63"/>
  <c r="I176" i="63"/>
  <c r="E177" i="63"/>
  <c r="C178" i="63"/>
  <c r="P178" i="63"/>
  <c r="K177" i="63"/>
  <c r="L176" i="63"/>
  <c r="G176" i="63" s="1"/>
  <c r="Q177" i="63"/>
  <c r="N177" i="63"/>
  <c r="S178" i="63"/>
  <c r="O178" i="63"/>
  <c r="T179" i="63"/>
  <c r="S179" i="71" l="1"/>
  <c r="N178" i="71"/>
  <c r="E178" i="71"/>
  <c r="C179" i="71"/>
  <c r="K178" i="71"/>
  <c r="P179" i="71"/>
  <c r="L178" i="71"/>
  <c r="Q179" i="71"/>
  <c r="M178" i="71"/>
  <c r="R179" i="71"/>
  <c r="J177" i="71"/>
  <c r="I177" i="71"/>
  <c r="H177" i="71"/>
  <c r="G177" i="71"/>
  <c r="F177" i="71"/>
  <c r="T179" i="71"/>
  <c r="O178" i="71"/>
  <c r="I177" i="70"/>
  <c r="G177" i="70"/>
  <c r="F177" i="70"/>
  <c r="C179" i="70"/>
  <c r="E178" i="70"/>
  <c r="T178" i="70"/>
  <c r="O177" i="70"/>
  <c r="J177" i="70" s="1"/>
  <c r="R178" i="70"/>
  <c r="M177" i="70"/>
  <c r="H177" i="70" s="1"/>
  <c r="S179" i="70"/>
  <c r="N178" i="70"/>
  <c r="K179" i="70"/>
  <c r="P180" i="70"/>
  <c r="L178" i="70"/>
  <c r="Q179" i="70"/>
  <c r="K178" i="69"/>
  <c r="P179" i="69"/>
  <c r="T179" i="69"/>
  <c r="O178" i="69"/>
  <c r="J177" i="69"/>
  <c r="I177" i="69"/>
  <c r="H177" i="69"/>
  <c r="G177" i="69"/>
  <c r="F177" i="69"/>
  <c r="R179" i="69"/>
  <c r="M178" i="69"/>
  <c r="C179" i="69"/>
  <c r="E178" i="69"/>
  <c r="Q179" i="69"/>
  <c r="L178" i="69"/>
  <c r="S179" i="69"/>
  <c r="N178" i="69"/>
  <c r="I177" i="63"/>
  <c r="H177" i="63"/>
  <c r="J177" i="63"/>
  <c r="F177" i="63"/>
  <c r="L177" i="63"/>
  <c r="G177" i="63" s="1"/>
  <c r="Q178" i="63"/>
  <c r="N178" i="63"/>
  <c r="S179" i="63"/>
  <c r="P179" i="63"/>
  <c r="K178" i="63"/>
  <c r="M178" i="63"/>
  <c r="R179" i="63"/>
  <c r="O179" i="63"/>
  <c r="T180" i="63"/>
  <c r="E178" i="63"/>
  <c r="C179" i="63"/>
  <c r="P180" i="71" l="1"/>
  <c r="K179" i="71"/>
  <c r="T180" i="71"/>
  <c r="O179" i="71"/>
  <c r="Q180" i="71"/>
  <c r="L179" i="71"/>
  <c r="E179" i="71"/>
  <c r="C180" i="71"/>
  <c r="J178" i="71"/>
  <c r="I178" i="71"/>
  <c r="H178" i="71"/>
  <c r="G178" i="71"/>
  <c r="F178" i="71"/>
  <c r="R180" i="71"/>
  <c r="M179" i="71"/>
  <c r="N179" i="71"/>
  <c r="S180" i="71"/>
  <c r="T179" i="70"/>
  <c r="O178" i="70"/>
  <c r="K180" i="70"/>
  <c r="P181" i="70"/>
  <c r="J178" i="70"/>
  <c r="I178" i="70"/>
  <c r="G178" i="70"/>
  <c r="F178" i="70"/>
  <c r="E179" i="70"/>
  <c r="C180" i="70"/>
  <c r="S180" i="70"/>
  <c r="N179" i="70"/>
  <c r="R179" i="70"/>
  <c r="M178" i="70"/>
  <c r="H178" i="70" s="1"/>
  <c r="L179" i="70"/>
  <c r="Q180" i="70"/>
  <c r="L179" i="69"/>
  <c r="Q180" i="69"/>
  <c r="J178" i="69"/>
  <c r="I178" i="69"/>
  <c r="H178" i="69"/>
  <c r="G178" i="69"/>
  <c r="F178" i="69"/>
  <c r="C180" i="69"/>
  <c r="E179" i="69"/>
  <c r="T180" i="69"/>
  <c r="O179" i="69"/>
  <c r="S180" i="69"/>
  <c r="N179" i="69"/>
  <c r="R180" i="69"/>
  <c r="M179" i="69"/>
  <c r="K179" i="69"/>
  <c r="P180" i="69"/>
  <c r="H178" i="63"/>
  <c r="F178" i="63"/>
  <c r="J178" i="63"/>
  <c r="I178" i="63"/>
  <c r="O180" i="63"/>
  <c r="T181" i="63"/>
  <c r="Q179" i="63"/>
  <c r="L178" i="63"/>
  <c r="G178" i="63" s="1"/>
  <c r="R180" i="63"/>
  <c r="M179" i="63"/>
  <c r="P180" i="63"/>
  <c r="K179" i="63"/>
  <c r="C180" i="63"/>
  <c r="E179" i="63"/>
  <c r="N179" i="63"/>
  <c r="S180" i="63"/>
  <c r="F179" i="71" l="1"/>
  <c r="J179" i="71"/>
  <c r="I179" i="71"/>
  <c r="H179" i="71"/>
  <c r="G179" i="71"/>
  <c r="M180" i="71"/>
  <c r="R181" i="71"/>
  <c r="Q181" i="71"/>
  <c r="L180" i="71"/>
  <c r="C181" i="71"/>
  <c r="E180" i="71"/>
  <c r="O180" i="71"/>
  <c r="T181" i="71"/>
  <c r="S181" i="71"/>
  <c r="N180" i="71"/>
  <c r="K180" i="71"/>
  <c r="P181" i="71"/>
  <c r="N180" i="70"/>
  <c r="S181" i="70"/>
  <c r="P182" i="70"/>
  <c r="K181" i="70"/>
  <c r="E180" i="70"/>
  <c r="C181" i="70"/>
  <c r="I179" i="70"/>
  <c r="F179" i="70"/>
  <c r="G179" i="70"/>
  <c r="M179" i="70"/>
  <c r="H179" i="70" s="1"/>
  <c r="R180" i="70"/>
  <c r="L180" i="70"/>
  <c r="Q181" i="70"/>
  <c r="T180" i="70"/>
  <c r="O179" i="70"/>
  <c r="J179" i="70" s="1"/>
  <c r="M180" i="69"/>
  <c r="R181" i="69"/>
  <c r="T181" i="69"/>
  <c r="O180" i="69"/>
  <c r="L180" i="69"/>
  <c r="Q181" i="69"/>
  <c r="E180" i="69"/>
  <c r="C181" i="69"/>
  <c r="S181" i="69"/>
  <c r="N180" i="69"/>
  <c r="K180" i="69"/>
  <c r="P181" i="69"/>
  <c r="J179" i="69"/>
  <c r="I179" i="69"/>
  <c r="H179" i="69"/>
  <c r="G179" i="69"/>
  <c r="F179" i="69"/>
  <c r="Q180" i="63"/>
  <c r="L179" i="63"/>
  <c r="G179" i="63" s="1"/>
  <c r="T182" i="63"/>
  <c r="O181" i="63"/>
  <c r="C181" i="63"/>
  <c r="E180" i="63"/>
  <c r="P181" i="63"/>
  <c r="K180" i="63"/>
  <c r="I179" i="63"/>
  <c r="F179" i="63"/>
  <c r="J179" i="63"/>
  <c r="H179" i="63"/>
  <c r="R181" i="63"/>
  <c r="M180" i="63"/>
  <c r="S181" i="63"/>
  <c r="N180" i="63"/>
  <c r="M181" i="71" l="1"/>
  <c r="R182" i="71"/>
  <c r="M182" i="71" s="1"/>
  <c r="N181" i="71"/>
  <c r="S182" i="71"/>
  <c r="N182" i="71" s="1"/>
  <c r="T182" i="71"/>
  <c r="O182" i="71" s="1"/>
  <c r="O181" i="71"/>
  <c r="G180" i="71"/>
  <c r="F180" i="71"/>
  <c r="J180" i="71"/>
  <c r="I180" i="71"/>
  <c r="H180" i="71"/>
  <c r="E181" i="71"/>
  <c r="C182" i="71"/>
  <c r="E182" i="71" s="1"/>
  <c r="Q182" i="71"/>
  <c r="L182" i="71" s="1"/>
  <c r="L181" i="71"/>
  <c r="K181" i="71"/>
  <c r="P182" i="71"/>
  <c r="K182" i="71" s="1"/>
  <c r="L181" i="70"/>
  <c r="Q182" i="70"/>
  <c r="E181" i="70"/>
  <c r="C182" i="70"/>
  <c r="M180" i="70"/>
  <c r="H180" i="70" s="1"/>
  <c r="R181" i="70"/>
  <c r="F180" i="70"/>
  <c r="I180" i="70"/>
  <c r="G180" i="70"/>
  <c r="K182" i="70"/>
  <c r="T181" i="70"/>
  <c r="O180" i="70"/>
  <c r="J180" i="70" s="1"/>
  <c r="N181" i="70"/>
  <c r="S182" i="70"/>
  <c r="E181" i="69"/>
  <c r="C182" i="69"/>
  <c r="J180" i="69"/>
  <c r="I180" i="69"/>
  <c r="H180" i="69"/>
  <c r="G180" i="69"/>
  <c r="F180" i="69"/>
  <c r="L181" i="69"/>
  <c r="Q182" i="69"/>
  <c r="K181" i="69"/>
  <c r="P182" i="69"/>
  <c r="T182" i="69"/>
  <c r="O181" i="69"/>
  <c r="M181" i="69"/>
  <c r="R182" i="69"/>
  <c r="N181" i="69"/>
  <c r="S182" i="69"/>
  <c r="K181" i="63"/>
  <c r="P182" i="63"/>
  <c r="S182" i="63"/>
  <c r="N181" i="63"/>
  <c r="J180" i="63"/>
  <c r="H180" i="63"/>
  <c r="I180" i="63"/>
  <c r="F180" i="63"/>
  <c r="E181" i="63"/>
  <c r="C182" i="63"/>
  <c r="T183" i="63"/>
  <c r="O182" i="63"/>
  <c r="R182" i="63"/>
  <c r="M181" i="63"/>
  <c r="Q181" i="63"/>
  <c r="L180" i="63"/>
  <c r="G180" i="63" s="1"/>
  <c r="F182" i="71" l="1"/>
  <c r="J182" i="71"/>
  <c r="H182" i="71"/>
  <c r="G182" i="71"/>
  <c r="I182" i="71"/>
  <c r="I181" i="71"/>
  <c r="G181" i="71"/>
  <c r="F181" i="71"/>
  <c r="H181" i="71"/>
  <c r="J181" i="71"/>
  <c r="O181" i="70"/>
  <c r="J181" i="70" s="1"/>
  <c r="T182" i="70"/>
  <c r="M181" i="70"/>
  <c r="H181" i="70" s="1"/>
  <c r="R182" i="70"/>
  <c r="E182" i="70"/>
  <c r="G181" i="70"/>
  <c r="F181" i="70"/>
  <c r="I181" i="70"/>
  <c r="P184" i="70"/>
  <c r="L182" i="70"/>
  <c r="N182" i="70"/>
  <c r="O182" i="69"/>
  <c r="T183" i="69"/>
  <c r="P183" i="69"/>
  <c r="K182" i="69"/>
  <c r="M182" i="69"/>
  <c r="R183" i="69"/>
  <c r="E182" i="69"/>
  <c r="C183" i="69"/>
  <c r="N182" i="69"/>
  <c r="S183" i="69"/>
  <c r="L182" i="69"/>
  <c r="Q183" i="69"/>
  <c r="F181" i="69"/>
  <c r="J181" i="69"/>
  <c r="I181" i="69"/>
  <c r="H181" i="69"/>
  <c r="G181" i="69"/>
  <c r="Q182" i="63"/>
  <c r="L181" i="63"/>
  <c r="G181" i="63" s="1"/>
  <c r="R183" i="63"/>
  <c r="M182" i="63"/>
  <c r="T184" i="63"/>
  <c r="O183" i="63"/>
  <c r="S183" i="63"/>
  <c r="N182" i="63"/>
  <c r="I181" i="63"/>
  <c r="H181" i="63"/>
  <c r="F181" i="63"/>
  <c r="J181" i="63"/>
  <c r="P183" i="63"/>
  <c r="K182" i="63"/>
  <c r="C183" i="63"/>
  <c r="E182" i="63"/>
  <c r="Q184" i="70" l="1"/>
  <c r="C184" i="70"/>
  <c r="G182" i="70"/>
  <c r="F182" i="70"/>
  <c r="I182" i="70"/>
  <c r="P185" i="70"/>
  <c r="K184" i="70"/>
  <c r="M182" i="70"/>
  <c r="H182" i="70" s="1"/>
  <c r="O182" i="70"/>
  <c r="J182" i="70" s="1"/>
  <c r="S184" i="70"/>
  <c r="E183" i="69"/>
  <c r="C184" i="69"/>
  <c r="G182" i="69"/>
  <c r="F182" i="69"/>
  <c r="J182" i="69"/>
  <c r="I182" i="69"/>
  <c r="H182" i="69"/>
  <c r="M183" i="69"/>
  <c r="R184" i="69"/>
  <c r="P184" i="69"/>
  <c r="K183" i="69"/>
  <c r="Q184" i="69"/>
  <c r="L183" i="69"/>
  <c r="N183" i="69"/>
  <c r="S184" i="69"/>
  <c r="O183" i="69"/>
  <c r="T184" i="69"/>
  <c r="E183" i="63"/>
  <c r="C184" i="63"/>
  <c r="S184" i="63"/>
  <c r="N183" i="63"/>
  <c r="T185" i="63"/>
  <c r="O184" i="63"/>
  <c r="M183" i="63"/>
  <c r="R184" i="63"/>
  <c r="K183" i="63"/>
  <c r="P184" i="63"/>
  <c r="J182" i="63"/>
  <c r="I182" i="63"/>
  <c r="F182" i="63"/>
  <c r="H182" i="63"/>
  <c r="L182" i="63"/>
  <c r="G182" i="63" s="1"/>
  <c r="Q183" i="63"/>
  <c r="R184" i="70" l="1"/>
  <c r="C185" i="70"/>
  <c r="E184" i="70"/>
  <c r="T184" i="70"/>
  <c r="K185" i="70"/>
  <c r="P186" i="70"/>
  <c r="S185" i="70"/>
  <c r="N184" i="70"/>
  <c r="Q185" i="70"/>
  <c r="L184" i="70"/>
  <c r="Q185" i="69"/>
  <c r="L184" i="69"/>
  <c r="N184" i="69"/>
  <c r="S185" i="69"/>
  <c r="P185" i="69"/>
  <c r="K184" i="69"/>
  <c r="E184" i="69"/>
  <c r="C185" i="69"/>
  <c r="O184" i="69"/>
  <c r="T185" i="69"/>
  <c r="R185" i="69"/>
  <c r="M184" i="69"/>
  <c r="H183" i="69"/>
  <c r="G183" i="69"/>
  <c r="F183" i="69"/>
  <c r="J183" i="69"/>
  <c r="I183" i="69"/>
  <c r="R185" i="63"/>
  <c r="M184" i="63"/>
  <c r="O185" i="63"/>
  <c r="T186" i="63"/>
  <c r="N184" i="63"/>
  <c r="S185" i="63"/>
  <c r="P185" i="63"/>
  <c r="K184" i="63"/>
  <c r="E184" i="63"/>
  <c r="C185" i="63"/>
  <c r="Q184" i="63"/>
  <c r="L183" i="63"/>
  <c r="G183" i="63" s="1"/>
  <c r="J183" i="63"/>
  <c r="F183" i="63"/>
  <c r="H183" i="63"/>
  <c r="I183" i="63"/>
  <c r="Q186" i="70" l="1"/>
  <c r="L185" i="70"/>
  <c r="I184" i="70"/>
  <c r="G184" i="70"/>
  <c r="F184" i="70"/>
  <c r="C186" i="70"/>
  <c r="E185" i="70"/>
  <c r="S186" i="70"/>
  <c r="N185" i="70"/>
  <c r="O184" i="70"/>
  <c r="J184" i="70" s="1"/>
  <c r="T185" i="70"/>
  <c r="K186" i="70"/>
  <c r="P187" i="70"/>
  <c r="R185" i="70"/>
  <c r="M184" i="70"/>
  <c r="H184" i="70" s="1"/>
  <c r="C186" i="69"/>
  <c r="E185" i="69"/>
  <c r="P186" i="69"/>
  <c r="K185" i="69"/>
  <c r="S186" i="69"/>
  <c r="N185" i="69"/>
  <c r="I184" i="69"/>
  <c r="H184" i="69"/>
  <c r="G184" i="69"/>
  <c r="F184" i="69"/>
  <c r="J184" i="69"/>
  <c r="R186" i="69"/>
  <c r="M185" i="69"/>
  <c r="O185" i="69"/>
  <c r="T186" i="69"/>
  <c r="Q186" i="69"/>
  <c r="L185" i="69"/>
  <c r="P186" i="63"/>
  <c r="K185" i="63"/>
  <c r="N185" i="63"/>
  <c r="S186" i="63"/>
  <c r="O186" i="63"/>
  <c r="T187" i="63"/>
  <c r="L184" i="63"/>
  <c r="G184" i="63" s="1"/>
  <c r="Q185" i="63"/>
  <c r="E185" i="63"/>
  <c r="C186" i="63"/>
  <c r="F184" i="63"/>
  <c r="H184" i="63"/>
  <c r="I184" i="63"/>
  <c r="J184" i="63"/>
  <c r="M185" i="63"/>
  <c r="R186" i="63"/>
  <c r="R186" i="70" l="1"/>
  <c r="M185" i="70"/>
  <c r="C187" i="70"/>
  <c r="E186" i="70"/>
  <c r="T186" i="70"/>
  <c r="O185" i="70"/>
  <c r="J185" i="70" s="1"/>
  <c r="K187" i="70"/>
  <c r="P188" i="70"/>
  <c r="S187" i="70"/>
  <c r="N186" i="70"/>
  <c r="I185" i="70"/>
  <c r="H185" i="70"/>
  <c r="G185" i="70"/>
  <c r="F185" i="70"/>
  <c r="L186" i="70"/>
  <c r="Q187" i="70"/>
  <c r="Q187" i="69"/>
  <c r="L186" i="69"/>
  <c r="T187" i="69"/>
  <c r="O186" i="69"/>
  <c r="S187" i="69"/>
  <c r="N186" i="69"/>
  <c r="K186" i="69"/>
  <c r="P187" i="69"/>
  <c r="J185" i="69"/>
  <c r="I185" i="69"/>
  <c r="H185" i="69"/>
  <c r="G185" i="69"/>
  <c r="F185" i="69"/>
  <c r="R187" i="69"/>
  <c r="M186" i="69"/>
  <c r="C187" i="69"/>
  <c r="E186" i="69"/>
  <c r="Q186" i="63"/>
  <c r="L185" i="63"/>
  <c r="G185" i="63" s="1"/>
  <c r="O187" i="63"/>
  <c r="T188" i="63"/>
  <c r="N186" i="63"/>
  <c r="S187" i="63"/>
  <c r="E186" i="63"/>
  <c r="C187" i="63"/>
  <c r="R187" i="63"/>
  <c r="M186" i="63"/>
  <c r="H185" i="63"/>
  <c r="I185" i="63"/>
  <c r="J185" i="63"/>
  <c r="F185" i="63"/>
  <c r="P187" i="63"/>
  <c r="K186" i="63"/>
  <c r="K188" i="70" l="1"/>
  <c r="P189" i="70"/>
  <c r="T187" i="70"/>
  <c r="O186" i="70"/>
  <c r="J186" i="70" s="1"/>
  <c r="I186" i="70"/>
  <c r="G186" i="70"/>
  <c r="F186" i="70"/>
  <c r="E187" i="70"/>
  <c r="C188" i="70"/>
  <c r="L187" i="70"/>
  <c r="Q188" i="70"/>
  <c r="S188" i="70"/>
  <c r="N187" i="70"/>
  <c r="R187" i="70"/>
  <c r="M186" i="70"/>
  <c r="H186" i="70" s="1"/>
  <c r="C188" i="69"/>
  <c r="E187" i="69"/>
  <c r="K187" i="69"/>
  <c r="P188" i="69"/>
  <c r="R188" i="69"/>
  <c r="M187" i="69"/>
  <c r="S188" i="69"/>
  <c r="N187" i="69"/>
  <c r="T188" i="69"/>
  <c r="O187" i="69"/>
  <c r="J186" i="69"/>
  <c r="I186" i="69"/>
  <c r="H186" i="69"/>
  <c r="G186" i="69"/>
  <c r="F186" i="69"/>
  <c r="L187" i="69"/>
  <c r="Q188" i="69"/>
  <c r="P188" i="63"/>
  <c r="K187" i="63"/>
  <c r="C188" i="63"/>
  <c r="E187" i="63"/>
  <c r="I186" i="63"/>
  <c r="H186" i="63"/>
  <c r="F186" i="63"/>
  <c r="J186" i="63"/>
  <c r="S188" i="63"/>
  <c r="N187" i="63"/>
  <c r="T189" i="63"/>
  <c r="O188" i="63"/>
  <c r="R188" i="63"/>
  <c r="M187" i="63"/>
  <c r="Q187" i="63"/>
  <c r="L186" i="63"/>
  <c r="G186" i="63" s="1"/>
  <c r="M187" i="70" l="1"/>
  <c r="H187" i="70" s="1"/>
  <c r="R188" i="70"/>
  <c r="N188" i="70"/>
  <c r="S189" i="70"/>
  <c r="E188" i="70"/>
  <c r="C189" i="70"/>
  <c r="T188" i="70"/>
  <c r="O187" i="70"/>
  <c r="J187" i="70" s="1"/>
  <c r="I187" i="70"/>
  <c r="F187" i="70"/>
  <c r="G187" i="70"/>
  <c r="P190" i="70"/>
  <c r="K189" i="70"/>
  <c r="L188" i="70"/>
  <c r="Q189" i="70"/>
  <c r="M188" i="69"/>
  <c r="R189" i="69"/>
  <c r="K188" i="69"/>
  <c r="P189" i="69"/>
  <c r="S189" i="69"/>
  <c r="N188" i="69"/>
  <c r="J187" i="69"/>
  <c r="I187" i="69"/>
  <c r="H187" i="69"/>
  <c r="G187" i="69"/>
  <c r="F187" i="69"/>
  <c r="L188" i="69"/>
  <c r="Q189" i="69"/>
  <c r="T189" i="69"/>
  <c r="O188" i="69"/>
  <c r="E188" i="69"/>
  <c r="C189" i="69"/>
  <c r="J187" i="63"/>
  <c r="I187" i="63"/>
  <c r="F187" i="63"/>
  <c r="H187" i="63"/>
  <c r="C189" i="63"/>
  <c r="E188" i="63"/>
  <c r="S189" i="63"/>
  <c r="N188" i="63"/>
  <c r="L187" i="63"/>
  <c r="G187" i="63" s="1"/>
  <c r="Q188" i="63"/>
  <c r="R189" i="63"/>
  <c r="M188" i="63"/>
  <c r="T190" i="63"/>
  <c r="O189" i="63"/>
  <c r="K188" i="63"/>
  <c r="P189" i="63"/>
  <c r="T189" i="70" l="1"/>
  <c r="O188" i="70"/>
  <c r="E189" i="70"/>
  <c r="C190" i="70"/>
  <c r="F188" i="70"/>
  <c r="J188" i="70"/>
  <c r="I188" i="70"/>
  <c r="G188" i="70"/>
  <c r="N189" i="70"/>
  <c r="S190" i="70"/>
  <c r="P191" i="70"/>
  <c r="K190" i="70"/>
  <c r="M188" i="70"/>
  <c r="H188" i="70" s="1"/>
  <c r="R189" i="70"/>
  <c r="L189" i="70"/>
  <c r="Q190" i="70"/>
  <c r="T192" i="63"/>
  <c r="T191" i="63"/>
  <c r="T190" i="69"/>
  <c r="O189" i="69"/>
  <c r="J188" i="69"/>
  <c r="I188" i="69"/>
  <c r="H188" i="69"/>
  <c r="G188" i="69"/>
  <c r="F188" i="69"/>
  <c r="N189" i="69"/>
  <c r="S190" i="69"/>
  <c r="K189" i="69"/>
  <c r="P190" i="69"/>
  <c r="L189" i="69"/>
  <c r="Q190" i="69"/>
  <c r="M189" i="69"/>
  <c r="R190" i="69"/>
  <c r="E189" i="69"/>
  <c r="C190" i="69"/>
  <c r="N189" i="63"/>
  <c r="S190" i="63"/>
  <c r="J188" i="63"/>
  <c r="H188" i="63"/>
  <c r="F188" i="63"/>
  <c r="I188" i="63"/>
  <c r="O190" i="63"/>
  <c r="E189" i="63"/>
  <c r="C190" i="63"/>
  <c r="R190" i="63"/>
  <c r="M189" i="63"/>
  <c r="Q189" i="63"/>
  <c r="L188" i="63"/>
  <c r="G188" i="63" s="1"/>
  <c r="K189" i="63"/>
  <c r="P190" i="63"/>
  <c r="M189" i="70" l="1"/>
  <c r="R190" i="70"/>
  <c r="E190" i="70"/>
  <c r="C191" i="70"/>
  <c r="N190" i="70"/>
  <c r="S191" i="70"/>
  <c r="G189" i="70"/>
  <c r="F189" i="70"/>
  <c r="H189" i="70"/>
  <c r="I189" i="70"/>
  <c r="P192" i="70"/>
  <c r="K191" i="70"/>
  <c r="Q191" i="70"/>
  <c r="L190" i="70"/>
  <c r="O189" i="70"/>
  <c r="J189" i="70" s="1"/>
  <c r="T190" i="70"/>
  <c r="R192" i="63"/>
  <c r="R191" i="63"/>
  <c r="S192" i="63"/>
  <c r="S191" i="63"/>
  <c r="C192" i="63"/>
  <c r="C191" i="63"/>
  <c r="P192" i="63"/>
  <c r="P191" i="63"/>
  <c r="O191" i="63"/>
  <c r="T193" i="63"/>
  <c r="O192" i="63"/>
  <c r="T194" i="63"/>
  <c r="F189" i="69"/>
  <c r="J189" i="69"/>
  <c r="I189" i="69"/>
  <c r="H189" i="69"/>
  <c r="G189" i="69"/>
  <c r="M190" i="69"/>
  <c r="R191" i="69"/>
  <c r="L190" i="69"/>
  <c r="Q191" i="69"/>
  <c r="P191" i="69"/>
  <c r="K190" i="69"/>
  <c r="E190" i="69"/>
  <c r="C191" i="69"/>
  <c r="N190" i="69"/>
  <c r="S191" i="69"/>
  <c r="O190" i="69"/>
  <c r="T191" i="69"/>
  <c r="M190" i="63"/>
  <c r="I189" i="63"/>
  <c r="H189" i="63"/>
  <c r="J189" i="63"/>
  <c r="F189" i="63"/>
  <c r="N190" i="63"/>
  <c r="L189" i="63"/>
  <c r="G189" i="63" s="1"/>
  <c r="Q190" i="63"/>
  <c r="E190" i="63"/>
  <c r="K190" i="63"/>
  <c r="Q192" i="70" l="1"/>
  <c r="L191" i="70"/>
  <c r="S192" i="70"/>
  <c r="N191" i="70"/>
  <c r="E191" i="70"/>
  <c r="C192" i="70"/>
  <c r="P193" i="70"/>
  <c r="K192" i="70"/>
  <c r="G190" i="70"/>
  <c r="F190" i="70"/>
  <c r="I190" i="70"/>
  <c r="M190" i="70"/>
  <c r="H190" i="70" s="1"/>
  <c r="R191" i="70"/>
  <c r="O190" i="70"/>
  <c r="J190" i="70" s="1"/>
  <c r="T191" i="70"/>
  <c r="K191" i="63"/>
  <c r="P193" i="63"/>
  <c r="K192" i="63"/>
  <c r="P194" i="63"/>
  <c r="E191" i="63"/>
  <c r="C193" i="63"/>
  <c r="E192" i="63"/>
  <c r="C194" i="63"/>
  <c r="T196" i="63"/>
  <c r="O194" i="63"/>
  <c r="S193" i="63"/>
  <c r="N191" i="63"/>
  <c r="N192" i="63"/>
  <c r="S194" i="63"/>
  <c r="O193" i="63"/>
  <c r="T195" i="63"/>
  <c r="R193" i="63"/>
  <c r="M191" i="63"/>
  <c r="Q192" i="63"/>
  <c r="Q191" i="63"/>
  <c r="M192" i="63"/>
  <c r="R194" i="63"/>
  <c r="N191" i="69"/>
  <c r="S192" i="69"/>
  <c r="M191" i="69"/>
  <c r="R192" i="69"/>
  <c r="E191" i="69"/>
  <c r="C192" i="69"/>
  <c r="P192" i="69"/>
  <c r="K191" i="69"/>
  <c r="G190" i="69"/>
  <c r="F190" i="69"/>
  <c r="J190" i="69"/>
  <c r="I190" i="69"/>
  <c r="H190" i="69"/>
  <c r="O191" i="69"/>
  <c r="T192" i="69"/>
  <c r="Q192" i="69"/>
  <c r="L191" i="69"/>
  <c r="J190" i="63"/>
  <c r="I190" i="63"/>
  <c r="F190" i="63"/>
  <c r="H190" i="63"/>
  <c r="L190" i="63"/>
  <c r="G190" i="63" s="1"/>
  <c r="C193" i="70" l="1"/>
  <c r="E192" i="70"/>
  <c r="R192" i="70"/>
  <c r="M191" i="70"/>
  <c r="H191" i="70" s="1"/>
  <c r="I191" i="70"/>
  <c r="G191" i="70"/>
  <c r="F191" i="70"/>
  <c r="K193" i="70"/>
  <c r="P194" i="70"/>
  <c r="S193" i="70"/>
  <c r="N192" i="70"/>
  <c r="T192" i="70"/>
  <c r="O191" i="70"/>
  <c r="J191" i="70" s="1"/>
  <c r="Q193" i="70"/>
  <c r="L192" i="70"/>
  <c r="I191" i="63"/>
  <c r="H191" i="63"/>
  <c r="O195" i="63"/>
  <c r="T197" i="63"/>
  <c r="E194" i="63"/>
  <c r="C196" i="63"/>
  <c r="J192" i="63"/>
  <c r="H192" i="63"/>
  <c r="I192" i="63"/>
  <c r="F192" i="63"/>
  <c r="R196" i="63"/>
  <c r="M194" i="63"/>
  <c r="S196" i="63"/>
  <c r="N194" i="63"/>
  <c r="E193" i="63"/>
  <c r="J193" i="63" s="1"/>
  <c r="C195" i="63"/>
  <c r="F191" i="63"/>
  <c r="J191" i="63"/>
  <c r="P196" i="63"/>
  <c r="K194" i="63"/>
  <c r="L192" i="63"/>
  <c r="G192" i="63" s="1"/>
  <c r="Q194" i="63"/>
  <c r="S195" i="63"/>
  <c r="N193" i="63"/>
  <c r="K193" i="63"/>
  <c r="P195" i="63"/>
  <c r="Q193" i="63"/>
  <c r="L191" i="63"/>
  <c r="G191" i="63" s="1"/>
  <c r="R195" i="63"/>
  <c r="M193" i="63"/>
  <c r="T198" i="63"/>
  <c r="O196" i="63"/>
  <c r="H191" i="69"/>
  <c r="G191" i="69"/>
  <c r="F191" i="69"/>
  <c r="J191" i="69"/>
  <c r="I191" i="69"/>
  <c r="O192" i="69"/>
  <c r="T193" i="69"/>
  <c r="R193" i="69"/>
  <c r="M192" i="69"/>
  <c r="Q193" i="69"/>
  <c r="L192" i="69"/>
  <c r="E192" i="69"/>
  <c r="C193" i="69"/>
  <c r="P193" i="69"/>
  <c r="K192" i="69"/>
  <c r="N192" i="69"/>
  <c r="S193" i="69"/>
  <c r="Q194" i="70" l="1"/>
  <c r="L193" i="70"/>
  <c r="T193" i="70"/>
  <c r="O192" i="70"/>
  <c r="J192" i="70" s="1"/>
  <c r="S194" i="70"/>
  <c r="N193" i="70"/>
  <c r="P195" i="70"/>
  <c r="K194" i="70"/>
  <c r="R193" i="70"/>
  <c r="M192" i="70"/>
  <c r="I192" i="70"/>
  <c r="H192" i="70"/>
  <c r="G192" i="70"/>
  <c r="F192" i="70"/>
  <c r="C194" i="70"/>
  <c r="E193" i="70"/>
  <c r="I194" i="63"/>
  <c r="F193" i="63"/>
  <c r="I193" i="63"/>
  <c r="O198" i="63"/>
  <c r="T200" i="63"/>
  <c r="N195" i="63"/>
  <c r="S197" i="63"/>
  <c r="E195" i="63"/>
  <c r="C197" i="63"/>
  <c r="H193" i="63"/>
  <c r="Q196" i="63"/>
  <c r="L194" i="63"/>
  <c r="G194" i="63" s="1"/>
  <c r="R197" i="63"/>
  <c r="M195" i="63"/>
  <c r="E196" i="63"/>
  <c r="J196" i="63" s="1"/>
  <c r="C198" i="63"/>
  <c r="S198" i="63"/>
  <c r="N196" i="63"/>
  <c r="F194" i="63"/>
  <c r="J194" i="63"/>
  <c r="L193" i="63"/>
  <c r="G193" i="63" s="1"/>
  <c r="Q195" i="63"/>
  <c r="P198" i="63"/>
  <c r="K196" i="63"/>
  <c r="H194" i="63"/>
  <c r="O197" i="63"/>
  <c r="T199" i="63"/>
  <c r="K195" i="63"/>
  <c r="P197" i="63"/>
  <c r="R198" i="63"/>
  <c r="M196" i="63"/>
  <c r="O193" i="69"/>
  <c r="T194" i="69"/>
  <c r="C194" i="69"/>
  <c r="E193" i="69"/>
  <c r="P194" i="69"/>
  <c r="K193" i="69"/>
  <c r="Q194" i="69"/>
  <c r="L193" i="69"/>
  <c r="R194" i="69"/>
  <c r="M193" i="69"/>
  <c r="I192" i="69"/>
  <c r="H192" i="69"/>
  <c r="G192" i="69"/>
  <c r="F192" i="69"/>
  <c r="J192" i="69"/>
  <c r="S194" i="69"/>
  <c r="N193" i="69"/>
  <c r="P196" i="70" l="1"/>
  <c r="K195" i="70"/>
  <c r="N194" i="70"/>
  <c r="S195" i="70"/>
  <c r="T194" i="70"/>
  <c r="O193" i="70"/>
  <c r="J193" i="70" s="1"/>
  <c r="C195" i="70"/>
  <c r="E194" i="70"/>
  <c r="I193" i="70"/>
  <c r="G193" i="70"/>
  <c r="F193" i="70"/>
  <c r="R194" i="70"/>
  <c r="M193" i="70"/>
  <c r="H193" i="70" s="1"/>
  <c r="L194" i="70"/>
  <c r="Q195" i="70"/>
  <c r="H196" i="63"/>
  <c r="F196" i="63"/>
  <c r="S200" i="63"/>
  <c r="N198" i="63"/>
  <c r="E197" i="63"/>
  <c r="C199" i="63"/>
  <c r="P200" i="63"/>
  <c r="K198" i="63"/>
  <c r="E198" i="63"/>
  <c r="C200" i="63"/>
  <c r="I195" i="63"/>
  <c r="J195" i="63"/>
  <c r="F195" i="63"/>
  <c r="H195" i="63"/>
  <c r="R200" i="63"/>
  <c r="M198" i="63"/>
  <c r="Q197" i="63"/>
  <c r="L195" i="63"/>
  <c r="G195" i="63" s="1"/>
  <c r="N197" i="63"/>
  <c r="S199" i="63"/>
  <c r="K197" i="63"/>
  <c r="P199" i="63"/>
  <c r="R199" i="63"/>
  <c r="M197" i="63"/>
  <c r="T202" i="63"/>
  <c r="O200" i="63"/>
  <c r="O199" i="63"/>
  <c r="T201" i="63"/>
  <c r="I196" i="63"/>
  <c r="Q198" i="63"/>
  <c r="L196" i="63"/>
  <c r="G196" i="63" s="1"/>
  <c r="K194" i="69"/>
  <c r="P195" i="69"/>
  <c r="Q195" i="69"/>
  <c r="L194" i="69"/>
  <c r="J193" i="69"/>
  <c r="I193" i="69"/>
  <c r="H193" i="69"/>
  <c r="G193" i="69"/>
  <c r="F193" i="69"/>
  <c r="C195" i="69"/>
  <c r="E194" i="69"/>
  <c r="S195" i="69"/>
  <c r="N194" i="69"/>
  <c r="T195" i="69"/>
  <c r="O194" i="69"/>
  <c r="R195" i="69"/>
  <c r="M194" i="69"/>
  <c r="I194" i="70" l="1"/>
  <c r="F194" i="70"/>
  <c r="G194" i="70"/>
  <c r="E195" i="70"/>
  <c r="C196" i="70"/>
  <c r="T195" i="70"/>
  <c r="O194" i="70"/>
  <c r="J194" i="70" s="1"/>
  <c r="S196" i="70"/>
  <c r="N195" i="70"/>
  <c r="R195" i="70"/>
  <c r="M194" i="70"/>
  <c r="H194" i="70" s="1"/>
  <c r="L195" i="70"/>
  <c r="Q196" i="70"/>
  <c r="K196" i="70"/>
  <c r="P197" i="70"/>
  <c r="E200" i="63"/>
  <c r="C202" i="63"/>
  <c r="F198" i="63"/>
  <c r="J198" i="63"/>
  <c r="H198" i="63"/>
  <c r="M199" i="63"/>
  <c r="R201" i="63"/>
  <c r="K200" i="63"/>
  <c r="P202" i="63"/>
  <c r="R202" i="63"/>
  <c r="M200" i="63"/>
  <c r="Q200" i="63"/>
  <c r="L198" i="63"/>
  <c r="G198" i="63" s="1"/>
  <c r="P201" i="63"/>
  <c r="K199" i="63"/>
  <c r="E199" i="63"/>
  <c r="C201" i="63"/>
  <c r="J197" i="63"/>
  <c r="F197" i="63"/>
  <c r="H197" i="63"/>
  <c r="I197" i="63"/>
  <c r="O202" i="63"/>
  <c r="T204" i="63"/>
  <c r="T203" i="63"/>
  <c r="O201" i="63"/>
  <c r="S201" i="63"/>
  <c r="N199" i="63"/>
  <c r="I198" i="63"/>
  <c r="Q199" i="63"/>
  <c r="L197" i="63"/>
  <c r="G197" i="63" s="1"/>
  <c r="S202" i="63"/>
  <c r="N200" i="63"/>
  <c r="R196" i="69"/>
  <c r="M195" i="69"/>
  <c r="T196" i="69"/>
  <c r="O195" i="69"/>
  <c r="S196" i="69"/>
  <c r="N195" i="69"/>
  <c r="J194" i="69"/>
  <c r="I194" i="69"/>
  <c r="H194" i="69"/>
  <c r="G194" i="69"/>
  <c r="F194" i="69"/>
  <c r="L195" i="69"/>
  <c r="Q196" i="69"/>
  <c r="C196" i="69"/>
  <c r="E195" i="69"/>
  <c r="K195" i="69"/>
  <c r="P196" i="69"/>
  <c r="I200" i="63" l="1"/>
  <c r="H200" i="63"/>
  <c r="T196" i="70"/>
  <c r="O195" i="70"/>
  <c r="E196" i="70"/>
  <c r="C197" i="70"/>
  <c r="J195" i="70"/>
  <c r="I195" i="70"/>
  <c r="G195" i="70"/>
  <c r="F195" i="70"/>
  <c r="L196" i="70"/>
  <c r="Q197" i="70"/>
  <c r="M195" i="70"/>
  <c r="H195" i="70" s="1"/>
  <c r="R196" i="70"/>
  <c r="N196" i="70"/>
  <c r="S197" i="70"/>
  <c r="P198" i="70"/>
  <c r="K197" i="70"/>
  <c r="F199" i="63"/>
  <c r="R203" i="63"/>
  <c r="M201" i="63"/>
  <c r="K201" i="63"/>
  <c r="P203" i="63"/>
  <c r="Q201" i="63"/>
  <c r="L199" i="63"/>
  <c r="G199" i="63" s="1"/>
  <c r="Q202" i="63"/>
  <c r="L200" i="63"/>
  <c r="G200" i="63" s="1"/>
  <c r="S204" i="63"/>
  <c r="N202" i="63"/>
  <c r="T206" i="63"/>
  <c r="O204" i="63"/>
  <c r="S203" i="63"/>
  <c r="N201" i="63"/>
  <c r="R204" i="63"/>
  <c r="M202" i="63"/>
  <c r="E201" i="63"/>
  <c r="C203" i="63"/>
  <c r="P204" i="63"/>
  <c r="K202" i="63"/>
  <c r="E202" i="63"/>
  <c r="C204" i="63"/>
  <c r="T205" i="63"/>
  <c r="O203" i="63"/>
  <c r="H199" i="63"/>
  <c r="J199" i="63"/>
  <c r="I199" i="63"/>
  <c r="F200" i="63"/>
  <c r="J200" i="63"/>
  <c r="J195" i="69"/>
  <c r="I195" i="69"/>
  <c r="H195" i="69"/>
  <c r="G195" i="69"/>
  <c r="F195" i="69"/>
  <c r="S197" i="69"/>
  <c r="N196" i="69"/>
  <c r="T197" i="69"/>
  <c r="O196" i="69"/>
  <c r="E196" i="69"/>
  <c r="C197" i="69"/>
  <c r="L196" i="69"/>
  <c r="Q197" i="69"/>
  <c r="K196" i="69"/>
  <c r="P197" i="69"/>
  <c r="M196" i="69"/>
  <c r="R197" i="69"/>
  <c r="P199" i="70" l="1"/>
  <c r="K198" i="70"/>
  <c r="M196" i="70"/>
  <c r="H196" i="70" s="1"/>
  <c r="R197" i="70"/>
  <c r="N197" i="70"/>
  <c r="S198" i="70"/>
  <c r="E197" i="70"/>
  <c r="C198" i="70"/>
  <c r="L197" i="70"/>
  <c r="Q198" i="70"/>
  <c r="F196" i="70"/>
  <c r="J196" i="70"/>
  <c r="I196" i="70"/>
  <c r="G196" i="70"/>
  <c r="T197" i="70"/>
  <c r="O196" i="70"/>
  <c r="H202" i="63"/>
  <c r="R206" i="63"/>
  <c r="M204" i="63"/>
  <c r="J202" i="63"/>
  <c r="F202" i="63"/>
  <c r="L201" i="63"/>
  <c r="G201" i="63" s="1"/>
  <c r="Q203" i="63"/>
  <c r="P205" i="63"/>
  <c r="K203" i="63"/>
  <c r="L202" i="63"/>
  <c r="G202" i="63" s="1"/>
  <c r="Q204" i="63"/>
  <c r="C206" i="63"/>
  <c r="E204" i="63"/>
  <c r="K204" i="63"/>
  <c r="P206" i="63"/>
  <c r="T208" i="63"/>
  <c r="O206" i="63"/>
  <c r="E203" i="63"/>
  <c r="C205" i="63"/>
  <c r="I202" i="63"/>
  <c r="O205" i="63"/>
  <c r="T207" i="63"/>
  <c r="S205" i="63"/>
  <c r="N203" i="63"/>
  <c r="F201" i="63"/>
  <c r="H201" i="63"/>
  <c r="I201" i="63"/>
  <c r="J201" i="63"/>
  <c r="S206" i="63"/>
  <c r="N204" i="63"/>
  <c r="R205" i="63"/>
  <c r="M203" i="63"/>
  <c r="L197" i="69"/>
  <c r="Q198" i="69"/>
  <c r="T198" i="69"/>
  <c r="O197" i="69"/>
  <c r="E197" i="69"/>
  <c r="C198" i="69"/>
  <c r="K197" i="69"/>
  <c r="P198" i="69"/>
  <c r="J196" i="69"/>
  <c r="I196" i="69"/>
  <c r="H196" i="69"/>
  <c r="G196" i="69"/>
  <c r="F196" i="69"/>
  <c r="N197" i="69"/>
  <c r="S198" i="69"/>
  <c r="M197" i="69"/>
  <c r="R198" i="69"/>
  <c r="O197" i="70" l="1"/>
  <c r="T198" i="70"/>
  <c r="E198" i="70"/>
  <c r="C199" i="70"/>
  <c r="G197" i="70"/>
  <c r="F197" i="70"/>
  <c r="J197" i="70"/>
  <c r="I197" i="70"/>
  <c r="N198" i="70"/>
  <c r="S199" i="70"/>
  <c r="M197" i="70"/>
  <c r="H197" i="70" s="1"/>
  <c r="R198" i="70"/>
  <c r="Q199" i="70"/>
  <c r="L198" i="70"/>
  <c r="P200" i="70"/>
  <c r="K199" i="70"/>
  <c r="I204" i="63"/>
  <c r="T210" i="63"/>
  <c r="O208" i="63"/>
  <c r="K205" i="63"/>
  <c r="P207" i="63"/>
  <c r="R207" i="63"/>
  <c r="M205" i="63"/>
  <c r="L203" i="63"/>
  <c r="G203" i="63" s="1"/>
  <c r="Q205" i="63"/>
  <c r="O207" i="63"/>
  <c r="T209" i="63"/>
  <c r="S207" i="63"/>
  <c r="N205" i="63"/>
  <c r="S208" i="63"/>
  <c r="N206" i="63"/>
  <c r="F204" i="63"/>
  <c r="J204" i="63"/>
  <c r="C208" i="63"/>
  <c r="E206" i="63"/>
  <c r="C207" i="63"/>
  <c r="E205" i="63"/>
  <c r="L204" i="63"/>
  <c r="G204" i="63" s="1"/>
  <c r="Q206" i="63"/>
  <c r="I203" i="63"/>
  <c r="J203" i="63"/>
  <c r="F203" i="63"/>
  <c r="H203" i="63"/>
  <c r="H204" i="63"/>
  <c r="P208" i="63"/>
  <c r="K206" i="63"/>
  <c r="R208" i="63"/>
  <c r="M206" i="63"/>
  <c r="H206" i="63" s="1"/>
  <c r="P199" i="69"/>
  <c r="K198" i="69"/>
  <c r="F197" i="69"/>
  <c r="J197" i="69"/>
  <c r="I197" i="69"/>
  <c r="H197" i="69"/>
  <c r="G197" i="69"/>
  <c r="N198" i="69"/>
  <c r="S199" i="69"/>
  <c r="E198" i="69"/>
  <c r="C199" i="69"/>
  <c r="O198" i="69"/>
  <c r="T199" i="69"/>
  <c r="L198" i="69"/>
  <c r="Q199" i="69"/>
  <c r="M198" i="69"/>
  <c r="R199" i="69"/>
  <c r="I206" i="63" l="1"/>
  <c r="P201" i="70"/>
  <c r="K200" i="70"/>
  <c r="M198" i="70"/>
  <c r="H198" i="70" s="1"/>
  <c r="R199" i="70"/>
  <c r="Q200" i="70"/>
  <c r="L199" i="70"/>
  <c r="E199" i="70"/>
  <c r="C200" i="70"/>
  <c r="N199" i="70"/>
  <c r="S200" i="70"/>
  <c r="G198" i="70"/>
  <c r="F198" i="70"/>
  <c r="I198" i="70"/>
  <c r="O198" i="70"/>
  <c r="J198" i="70" s="1"/>
  <c r="T199" i="70"/>
  <c r="Q207" i="63"/>
  <c r="L205" i="63"/>
  <c r="G205" i="63" s="1"/>
  <c r="R210" i="63"/>
  <c r="M208" i="63"/>
  <c r="P210" i="63"/>
  <c r="K208" i="63"/>
  <c r="F205" i="63"/>
  <c r="H205" i="63"/>
  <c r="I205" i="63"/>
  <c r="J205" i="63"/>
  <c r="S210" i="63"/>
  <c r="N208" i="63"/>
  <c r="M207" i="63"/>
  <c r="R209" i="63"/>
  <c r="C209" i="63"/>
  <c r="E207" i="63"/>
  <c r="P209" i="63"/>
  <c r="K207" i="63"/>
  <c r="Q208" i="63"/>
  <c r="L206" i="63"/>
  <c r="G206" i="63" s="1"/>
  <c r="J206" i="63"/>
  <c r="F206" i="63"/>
  <c r="S209" i="63"/>
  <c r="N207" i="63"/>
  <c r="E208" i="63"/>
  <c r="C210" i="63"/>
  <c r="T211" i="63"/>
  <c r="O209" i="63"/>
  <c r="O210" i="63"/>
  <c r="T212" i="63"/>
  <c r="Q200" i="69"/>
  <c r="L199" i="69"/>
  <c r="E199" i="69"/>
  <c r="C200" i="69"/>
  <c r="G198" i="69"/>
  <c r="F198" i="69"/>
  <c r="J198" i="69"/>
  <c r="I198" i="69"/>
  <c r="H198" i="69"/>
  <c r="O199" i="69"/>
  <c r="T200" i="69"/>
  <c r="M199" i="69"/>
  <c r="R200" i="69"/>
  <c r="N199" i="69"/>
  <c r="S200" i="69"/>
  <c r="P200" i="69"/>
  <c r="K199" i="69"/>
  <c r="C201" i="70" l="1"/>
  <c r="E200" i="70"/>
  <c r="I199" i="70"/>
  <c r="G199" i="70"/>
  <c r="F199" i="70"/>
  <c r="Q201" i="70"/>
  <c r="L200" i="70"/>
  <c r="R200" i="70"/>
  <c r="M199" i="70"/>
  <c r="H199" i="70" s="1"/>
  <c r="S201" i="70"/>
  <c r="N200" i="70"/>
  <c r="O199" i="70"/>
  <c r="J199" i="70" s="1"/>
  <c r="T200" i="70"/>
  <c r="K201" i="70"/>
  <c r="P202" i="70"/>
  <c r="I208" i="63"/>
  <c r="H208" i="63"/>
  <c r="N209" i="63"/>
  <c r="S211" i="63"/>
  <c r="J207" i="63"/>
  <c r="H207" i="63"/>
  <c r="I207" i="63"/>
  <c r="E209" i="63"/>
  <c r="C211" i="63"/>
  <c r="R211" i="63"/>
  <c r="M209" i="63"/>
  <c r="P212" i="63"/>
  <c r="K210" i="63"/>
  <c r="C212" i="63"/>
  <c r="E210" i="63"/>
  <c r="Q210" i="63"/>
  <c r="L208" i="63"/>
  <c r="G208" i="63" s="1"/>
  <c r="S212" i="63"/>
  <c r="N210" i="63"/>
  <c r="R212" i="63"/>
  <c r="M210" i="63"/>
  <c r="O212" i="63"/>
  <c r="T214" i="63"/>
  <c r="O211" i="63"/>
  <c r="T213" i="63"/>
  <c r="F208" i="63"/>
  <c r="J208" i="63"/>
  <c r="F207" i="63"/>
  <c r="P211" i="63"/>
  <c r="K209" i="63"/>
  <c r="L207" i="63"/>
  <c r="G207" i="63" s="1"/>
  <c r="Q209" i="63"/>
  <c r="N200" i="69"/>
  <c r="S201" i="69"/>
  <c r="P201" i="69"/>
  <c r="K200" i="69"/>
  <c r="H199" i="69"/>
  <c r="G199" i="69"/>
  <c r="F199" i="69"/>
  <c r="J199" i="69"/>
  <c r="I199" i="69"/>
  <c r="E200" i="69"/>
  <c r="C201" i="69"/>
  <c r="R201" i="69"/>
  <c r="M200" i="69"/>
  <c r="O200" i="69"/>
  <c r="T201" i="69"/>
  <c r="Q201" i="69"/>
  <c r="L200" i="69"/>
  <c r="Q202" i="70" l="1"/>
  <c r="L201" i="70"/>
  <c r="O200" i="70"/>
  <c r="J200" i="70" s="1"/>
  <c r="T201" i="70"/>
  <c r="S202" i="70"/>
  <c r="N201" i="70"/>
  <c r="R201" i="70"/>
  <c r="M200" i="70"/>
  <c r="H200" i="70" s="1"/>
  <c r="I200" i="70"/>
  <c r="G200" i="70"/>
  <c r="F200" i="70"/>
  <c r="K202" i="70"/>
  <c r="P203" i="70"/>
  <c r="C202" i="70"/>
  <c r="E201" i="70"/>
  <c r="S214" i="63"/>
  <c r="N212" i="63"/>
  <c r="R213" i="63"/>
  <c r="M211" i="63"/>
  <c r="L209" i="63"/>
  <c r="G209" i="63" s="1"/>
  <c r="Q211" i="63"/>
  <c r="E211" i="63"/>
  <c r="C213" i="63"/>
  <c r="J209" i="63"/>
  <c r="F209" i="63"/>
  <c r="H209" i="63"/>
  <c r="I209" i="63"/>
  <c r="Q212" i="63"/>
  <c r="L210" i="63"/>
  <c r="G210" i="63" s="1"/>
  <c r="T216" i="63"/>
  <c r="O214" i="63"/>
  <c r="F210" i="63"/>
  <c r="J210" i="63"/>
  <c r="C214" i="63"/>
  <c r="E212" i="63"/>
  <c r="O213" i="63"/>
  <c r="T215" i="63"/>
  <c r="H210" i="63"/>
  <c r="K211" i="63"/>
  <c r="P213" i="63"/>
  <c r="R214" i="63"/>
  <c r="M212" i="63"/>
  <c r="P214" i="63"/>
  <c r="K212" i="63"/>
  <c r="S213" i="63"/>
  <c r="N211" i="63"/>
  <c r="I210" i="63"/>
  <c r="R202" i="69"/>
  <c r="M201" i="69"/>
  <c r="Q202" i="69"/>
  <c r="L201" i="69"/>
  <c r="C202" i="69"/>
  <c r="E201" i="69"/>
  <c r="P202" i="69"/>
  <c r="K201" i="69"/>
  <c r="I200" i="69"/>
  <c r="H200" i="69"/>
  <c r="G200" i="69"/>
  <c r="F200" i="69"/>
  <c r="J200" i="69"/>
  <c r="S202" i="69"/>
  <c r="N201" i="69"/>
  <c r="O201" i="69"/>
  <c r="T202" i="69"/>
  <c r="C203" i="70" l="1"/>
  <c r="E202" i="70"/>
  <c r="R202" i="70"/>
  <c r="M201" i="70"/>
  <c r="H201" i="70" s="1"/>
  <c r="S203" i="70"/>
  <c r="N202" i="70"/>
  <c r="T202" i="70"/>
  <c r="O201" i="70"/>
  <c r="J201" i="70" s="1"/>
  <c r="P204" i="70"/>
  <c r="K203" i="70"/>
  <c r="I201" i="70"/>
  <c r="G201" i="70"/>
  <c r="F201" i="70"/>
  <c r="L202" i="70"/>
  <c r="Q203" i="70"/>
  <c r="H212" i="63"/>
  <c r="C215" i="63"/>
  <c r="E213" i="63"/>
  <c r="T218" i="63"/>
  <c r="O216" i="63"/>
  <c r="T217" i="63"/>
  <c r="O215" i="63"/>
  <c r="I211" i="63"/>
  <c r="J211" i="63"/>
  <c r="F211" i="63"/>
  <c r="H211" i="63"/>
  <c r="Q213" i="63"/>
  <c r="L211" i="63"/>
  <c r="G211" i="63" s="1"/>
  <c r="P216" i="63"/>
  <c r="K214" i="63"/>
  <c r="F212" i="63"/>
  <c r="J212" i="63"/>
  <c r="L212" i="63"/>
  <c r="G212" i="63" s="1"/>
  <c r="Q214" i="63"/>
  <c r="S215" i="63"/>
  <c r="N213" i="63"/>
  <c r="E214" i="63"/>
  <c r="C216" i="63"/>
  <c r="R216" i="63"/>
  <c r="M214" i="63"/>
  <c r="M213" i="63"/>
  <c r="R215" i="63"/>
  <c r="P215" i="63"/>
  <c r="K213" i="63"/>
  <c r="I212" i="63"/>
  <c r="S216" i="63"/>
  <c r="N214" i="63"/>
  <c r="K202" i="69"/>
  <c r="P203" i="69"/>
  <c r="S203" i="69"/>
  <c r="N202" i="69"/>
  <c r="J201" i="69"/>
  <c r="I201" i="69"/>
  <c r="H201" i="69"/>
  <c r="G201" i="69"/>
  <c r="F201" i="69"/>
  <c r="C203" i="69"/>
  <c r="E202" i="69"/>
  <c r="Q203" i="69"/>
  <c r="L202" i="69"/>
  <c r="T203" i="69"/>
  <c r="O202" i="69"/>
  <c r="R203" i="69"/>
  <c r="M202" i="69"/>
  <c r="T203" i="70" l="1"/>
  <c r="O202" i="70"/>
  <c r="S204" i="70"/>
  <c r="N203" i="70"/>
  <c r="R203" i="70"/>
  <c r="M202" i="70"/>
  <c r="H202" i="70" s="1"/>
  <c r="J202" i="70"/>
  <c r="I202" i="70"/>
  <c r="G202" i="70"/>
  <c r="F202" i="70"/>
  <c r="Q204" i="70"/>
  <c r="L203" i="70"/>
  <c r="P205" i="70"/>
  <c r="K204" i="70"/>
  <c r="E203" i="70"/>
  <c r="C204" i="70"/>
  <c r="I214" i="63"/>
  <c r="R218" i="63"/>
  <c r="M216" i="63"/>
  <c r="J214" i="63"/>
  <c r="F214" i="63"/>
  <c r="T219" i="63"/>
  <c r="O217" i="63"/>
  <c r="E216" i="63"/>
  <c r="C218" i="63"/>
  <c r="P218" i="63"/>
  <c r="K216" i="63"/>
  <c r="K215" i="63"/>
  <c r="P217" i="63"/>
  <c r="S217" i="63"/>
  <c r="N215" i="63"/>
  <c r="M215" i="63"/>
  <c r="R217" i="63"/>
  <c r="Q216" i="63"/>
  <c r="L214" i="63"/>
  <c r="G214" i="63" s="1"/>
  <c r="Q215" i="63"/>
  <c r="L213" i="63"/>
  <c r="G213" i="63" s="1"/>
  <c r="T220" i="63"/>
  <c r="O218" i="63"/>
  <c r="F213" i="63"/>
  <c r="H213" i="63"/>
  <c r="J213" i="63"/>
  <c r="I213" i="63"/>
  <c r="S218" i="63"/>
  <c r="N216" i="63"/>
  <c r="H214" i="63"/>
  <c r="E215" i="63"/>
  <c r="C217" i="63"/>
  <c r="T204" i="69"/>
  <c r="O203" i="69"/>
  <c r="J202" i="69"/>
  <c r="I202" i="69"/>
  <c r="H202" i="69"/>
  <c r="G202" i="69"/>
  <c r="F202" i="69"/>
  <c r="S204" i="69"/>
  <c r="N203" i="69"/>
  <c r="C204" i="69"/>
  <c r="E203" i="69"/>
  <c r="K203" i="69"/>
  <c r="P204" i="69"/>
  <c r="R204" i="69"/>
  <c r="M203" i="69"/>
  <c r="L203" i="69"/>
  <c r="Q204" i="69"/>
  <c r="I203" i="70" l="1"/>
  <c r="G203" i="70"/>
  <c r="F203" i="70"/>
  <c r="R204" i="70"/>
  <c r="M203" i="70"/>
  <c r="H203" i="70" s="1"/>
  <c r="K205" i="70"/>
  <c r="P206" i="70"/>
  <c r="S205" i="70"/>
  <c r="N204" i="70"/>
  <c r="L204" i="70"/>
  <c r="Q205" i="70"/>
  <c r="C205" i="70"/>
  <c r="E204" i="70"/>
  <c r="T204" i="70"/>
  <c r="O203" i="70"/>
  <c r="J203" i="70" s="1"/>
  <c r="I216" i="63"/>
  <c r="E217" i="63"/>
  <c r="C219" i="63"/>
  <c r="J216" i="63"/>
  <c r="F216" i="63"/>
  <c r="T222" i="63"/>
  <c r="O220" i="63"/>
  <c r="N217" i="63"/>
  <c r="S219" i="63"/>
  <c r="T221" i="63"/>
  <c r="O219" i="63"/>
  <c r="K217" i="63"/>
  <c r="P219" i="63"/>
  <c r="I215" i="63"/>
  <c r="J215" i="63"/>
  <c r="H215" i="63"/>
  <c r="F215" i="63"/>
  <c r="Q217" i="63"/>
  <c r="L215" i="63"/>
  <c r="G215" i="63" s="1"/>
  <c r="H216" i="63"/>
  <c r="S220" i="63"/>
  <c r="N218" i="63"/>
  <c r="Q218" i="63"/>
  <c r="L216" i="63"/>
  <c r="G216" i="63" s="1"/>
  <c r="P220" i="63"/>
  <c r="K218" i="63"/>
  <c r="R219" i="63"/>
  <c r="M217" i="63"/>
  <c r="E218" i="63"/>
  <c r="C220" i="63"/>
  <c r="R220" i="63"/>
  <c r="M218" i="63"/>
  <c r="S205" i="69"/>
  <c r="N204" i="69"/>
  <c r="M204" i="69"/>
  <c r="R205" i="69"/>
  <c r="K204" i="69"/>
  <c r="P205" i="69"/>
  <c r="J203" i="69"/>
  <c r="G203" i="69"/>
  <c r="I203" i="69"/>
  <c r="H203" i="69"/>
  <c r="F203" i="69"/>
  <c r="E204" i="69"/>
  <c r="C205" i="69"/>
  <c r="L204" i="69"/>
  <c r="Q205" i="69"/>
  <c r="T205" i="69"/>
  <c r="O204" i="69"/>
  <c r="T205" i="70" l="1"/>
  <c r="O204" i="70"/>
  <c r="E205" i="70"/>
  <c r="C206" i="70"/>
  <c r="R205" i="70"/>
  <c r="M204" i="70"/>
  <c r="H204" i="70" s="1"/>
  <c r="L205" i="70"/>
  <c r="Q206" i="70"/>
  <c r="F204" i="70"/>
  <c r="G204" i="70"/>
  <c r="J204" i="70"/>
  <c r="I204" i="70"/>
  <c r="S206" i="70"/>
  <c r="N205" i="70"/>
  <c r="P207" i="70"/>
  <c r="K206" i="70"/>
  <c r="I218" i="63"/>
  <c r="R222" i="63"/>
  <c r="M220" i="63"/>
  <c r="F218" i="63"/>
  <c r="J218" i="63"/>
  <c r="S222" i="63"/>
  <c r="N220" i="63"/>
  <c r="I220" i="63" s="1"/>
  <c r="T224" i="63"/>
  <c r="T226" i="63" s="1"/>
  <c r="O222" i="63"/>
  <c r="E220" i="63"/>
  <c r="C222" i="63"/>
  <c r="R221" i="63"/>
  <c r="M219" i="63"/>
  <c r="L217" i="63"/>
  <c r="G217" i="63" s="1"/>
  <c r="Q219" i="63"/>
  <c r="L218" i="63"/>
  <c r="G218" i="63" s="1"/>
  <c r="Q220" i="63"/>
  <c r="P221" i="63"/>
  <c r="K219" i="63"/>
  <c r="P222" i="63"/>
  <c r="K220" i="63"/>
  <c r="O221" i="63"/>
  <c r="T223" i="63"/>
  <c r="C221" i="63"/>
  <c r="E219" i="63"/>
  <c r="H218" i="63"/>
  <c r="S221" i="63"/>
  <c r="N219" i="63"/>
  <c r="H217" i="63"/>
  <c r="F217" i="63"/>
  <c r="I217" i="63"/>
  <c r="J217" i="63"/>
  <c r="T206" i="69"/>
  <c r="O205" i="69"/>
  <c r="M205" i="69"/>
  <c r="R206" i="69"/>
  <c r="E205" i="69"/>
  <c r="C206" i="69"/>
  <c r="K205" i="69"/>
  <c r="P206" i="69"/>
  <c r="L205" i="69"/>
  <c r="Q206" i="69"/>
  <c r="J204" i="69"/>
  <c r="I204" i="69"/>
  <c r="H204" i="69"/>
  <c r="G204" i="69"/>
  <c r="F204" i="69"/>
  <c r="N205" i="69"/>
  <c r="S206" i="69"/>
  <c r="O226" i="63" l="1"/>
  <c r="T228" i="63"/>
  <c r="P208" i="70"/>
  <c r="K207" i="70"/>
  <c r="L206" i="70"/>
  <c r="Q207" i="70"/>
  <c r="N206" i="70"/>
  <c r="S207" i="70"/>
  <c r="M205" i="70"/>
  <c r="H205" i="70" s="1"/>
  <c r="R206" i="70"/>
  <c r="E206" i="70"/>
  <c r="C207" i="70"/>
  <c r="G205" i="70"/>
  <c r="I205" i="70"/>
  <c r="F205" i="70"/>
  <c r="T206" i="70"/>
  <c r="O205" i="70"/>
  <c r="J205" i="70" s="1"/>
  <c r="O224" i="63"/>
  <c r="O223" i="63"/>
  <c r="T225" i="63"/>
  <c r="T227" i="63" s="1"/>
  <c r="E221" i="63"/>
  <c r="C223" i="63"/>
  <c r="Q221" i="63"/>
  <c r="L219" i="63"/>
  <c r="G219" i="63" s="1"/>
  <c r="P224" i="63"/>
  <c r="P226" i="63" s="1"/>
  <c r="K222" i="63"/>
  <c r="R223" i="63"/>
  <c r="M221" i="63"/>
  <c r="S223" i="63"/>
  <c r="N221" i="63"/>
  <c r="C224" i="63"/>
  <c r="C226" i="63" s="1"/>
  <c r="E222" i="63"/>
  <c r="S224" i="63"/>
  <c r="S226" i="63" s="1"/>
  <c r="N222" i="63"/>
  <c r="K221" i="63"/>
  <c r="P223" i="63"/>
  <c r="F220" i="63"/>
  <c r="J220" i="63"/>
  <c r="H220" i="63"/>
  <c r="I219" i="63"/>
  <c r="H219" i="63"/>
  <c r="J219" i="63"/>
  <c r="F219" i="63"/>
  <c r="Q222" i="63"/>
  <c r="L220" i="63"/>
  <c r="G220" i="63" s="1"/>
  <c r="R224" i="63"/>
  <c r="R226" i="63" s="1"/>
  <c r="M222" i="63"/>
  <c r="P207" i="69"/>
  <c r="K206" i="69"/>
  <c r="F205" i="69"/>
  <c r="J205" i="69"/>
  <c r="I205" i="69"/>
  <c r="H205" i="69"/>
  <c r="G205" i="69"/>
  <c r="M206" i="69"/>
  <c r="R207" i="69"/>
  <c r="E206" i="69"/>
  <c r="C207" i="69"/>
  <c r="L206" i="69"/>
  <c r="Q207" i="69"/>
  <c r="N206" i="69"/>
  <c r="S207" i="69"/>
  <c r="O206" i="69"/>
  <c r="T207" i="69"/>
  <c r="M226" i="63" l="1"/>
  <c r="R228" i="63"/>
  <c r="O227" i="63"/>
  <c r="T229" i="63"/>
  <c r="O228" i="63"/>
  <c r="T230" i="63"/>
  <c r="E226" i="63"/>
  <c r="C228" i="63"/>
  <c r="N226" i="63"/>
  <c r="S228" i="63"/>
  <c r="K226" i="63"/>
  <c r="P228" i="63"/>
  <c r="T207" i="70"/>
  <c r="O206" i="70"/>
  <c r="M206" i="70"/>
  <c r="H206" i="70" s="1"/>
  <c r="R207" i="70"/>
  <c r="N207" i="70"/>
  <c r="S208" i="70"/>
  <c r="Q208" i="70"/>
  <c r="L207" i="70"/>
  <c r="E207" i="70"/>
  <c r="C208" i="70"/>
  <c r="F206" i="70"/>
  <c r="J206" i="70"/>
  <c r="I206" i="70"/>
  <c r="G206" i="70"/>
  <c r="P209" i="70"/>
  <c r="K208" i="70"/>
  <c r="H222" i="63"/>
  <c r="E224" i="63"/>
  <c r="M224" i="63"/>
  <c r="E223" i="63"/>
  <c r="J223" i="63" s="1"/>
  <c r="C225" i="63"/>
  <c r="C227" i="63" s="1"/>
  <c r="N223" i="63"/>
  <c r="S225" i="63"/>
  <c r="S227" i="63" s="1"/>
  <c r="K223" i="63"/>
  <c r="P225" i="63"/>
  <c r="P227" i="63" s="1"/>
  <c r="O225" i="63"/>
  <c r="M223" i="63"/>
  <c r="R225" i="63"/>
  <c r="R227" i="63" s="1"/>
  <c r="I222" i="63"/>
  <c r="N224" i="63"/>
  <c r="K224" i="63"/>
  <c r="J222" i="63"/>
  <c r="F222" i="63"/>
  <c r="J224" i="63"/>
  <c r="Q223" i="63"/>
  <c r="L221" i="63"/>
  <c r="G221" i="63" s="1"/>
  <c r="Q224" i="63"/>
  <c r="Q226" i="63" s="1"/>
  <c r="L222" i="63"/>
  <c r="G222" i="63" s="1"/>
  <c r="H221" i="63"/>
  <c r="I221" i="63"/>
  <c r="J221" i="63"/>
  <c r="F221" i="63"/>
  <c r="N207" i="69"/>
  <c r="S208" i="69"/>
  <c r="Q208" i="69"/>
  <c r="L207" i="69"/>
  <c r="G206" i="69"/>
  <c r="F206" i="69"/>
  <c r="J206" i="69"/>
  <c r="I206" i="69"/>
  <c r="H206" i="69"/>
  <c r="E207" i="69"/>
  <c r="C208" i="69"/>
  <c r="O207" i="69"/>
  <c r="T208" i="69"/>
  <c r="M207" i="69"/>
  <c r="R208" i="69"/>
  <c r="P208" i="69"/>
  <c r="K207" i="69"/>
  <c r="H224" i="63" l="1"/>
  <c r="M227" i="63"/>
  <c r="R229" i="63"/>
  <c r="E228" i="63"/>
  <c r="C230" i="63"/>
  <c r="T232" i="63"/>
  <c r="O230" i="63"/>
  <c r="P229" i="63"/>
  <c r="K227" i="63"/>
  <c r="P230" i="63"/>
  <c r="K228" i="63"/>
  <c r="T231" i="63"/>
  <c r="O229" i="63"/>
  <c r="F226" i="63"/>
  <c r="I226" i="63"/>
  <c r="H226" i="63"/>
  <c r="J226" i="63"/>
  <c r="F224" i="63"/>
  <c r="N227" i="63"/>
  <c r="S229" i="63"/>
  <c r="Q228" i="63"/>
  <c r="L226" i="63"/>
  <c r="G226" i="63" s="1"/>
  <c r="I224" i="63"/>
  <c r="S230" i="63"/>
  <c r="N228" i="63"/>
  <c r="I228" i="63" s="1"/>
  <c r="M228" i="63"/>
  <c r="R230" i="63"/>
  <c r="E227" i="63"/>
  <c r="C229" i="63"/>
  <c r="P210" i="70"/>
  <c r="K209" i="70"/>
  <c r="Q209" i="70"/>
  <c r="L208" i="70"/>
  <c r="N208" i="70"/>
  <c r="S209" i="70"/>
  <c r="M207" i="70"/>
  <c r="H207" i="70" s="1"/>
  <c r="R208" i="70"/>
  <c r="C209" i="70"/>
  <c r="E208" i="70"/>
  <c r="G207" i="70"/>
  <c r="F207" i="70"/>
  <c r="I207" i="70"/>
  <c r="O207" i="70"/>
  <c r="J207" i="70" s="1"/>
  <c r="T208" i="70"/>
  <c r="I223" i="63"/>
  <c r="H223" i="63"/>
  <c r="E225" i="63"/>
  <c r="M225" i="63"/>
  <c r="L223" i="63"/>
  <c r="G223" i="63" s="1"/>
  <c r="Q225" i="63"/>
  <c r="Q227" i="63" s="1"/>
  <c r="K225" i="63"/>
  <c r="L224" i="63"/>
  <c r="G224" i="63" s="1"/>
  <c r="F223" i="63"/>
  <c r="N225" i="63"/>
  <c r="P209" i="69"/>
  <c r="K208" i="69"/>
  <c r="R209" i="69"/>
  <c r="M208" i="69"/>
  <c r="O208" i="69"/>
  <c r="T209" i="69"/>
  <c r="Q209" i="69"/>
  <c r="L208" i="69"/>
  <c r="H207" i="69"/>
  <c r="G207" i="69"/>
  <c r="F207" i="69"/>
  <c r="J207" i="69"/>
  <c r="I207" i="69"/>
  <c r="N208" i="69"/>
  <c r="S209" i="69"/>
  <c r="E208" i="69"/>
  <c r="C209" i="69"/>
  <c r="P231" i="63" l="1"/>
  <c r="K229" i="63"/>
  <c r="S232" i="63"/>
  <c r="N230" i="63"/>
  <c r="J230" i="63"/>
  <c r="C231" i="63"/>
  <c r="E229" i="63"/>
  <c r="Q230" i="63"/>
  <c r="L228" i="63"/>
  <c r="T234" i="63"/>
  <c r="O232" i="63"/>
  <c r="H227" i="63"/>
  <c r="G227" i="63"/>
  <c r="J227" i="63"/>
  <c r="F227" i="63"/>
  <c r="I227" i="63"/>
  <c r="N229" i="63"/>
  <c r="S231" i="63"/>
  <c r="C232" i="63"/>
  <c r="E230" i="63"/>
  <c r="R232" i="63"/>
  <c r="M230" i="63"/>
  <c r="H230" i="63" s="1"/>
  <c r="T233" i="63"/>
  <c r="O231" i="63"/>
  <c r="G228" i="63"/>
  <c r="H228" i="63"/>
  <c r="J228" i="63"/>
  <c r="L227" i="63"/>
  <c r="Q229" i="63"/>
  <c r="F228" i="63"/>
  <c r="R231" i="63"/>
  <c r="M229" i="63"/>
  <c r="K230" i="63"/>
  <c r="P232" i="63"/>
  <c r="R209" i="70"/>
  <c r="M208" i="70"/>
  <c r="H208" i="70" s="1"/>
  <c r="S210" i="70"/>
  <c r="N209" i="70"/>
  <c r="Q210" i="70"/>
  <c r="L209" i="70"/>
  <c r="G208" i="70"/>
  <c r="F208" i="70"/>
  <c r="I208" i="70"/>
  <c r="O208" i="70"/>
  <c r="J208" i="70" s="1"/>
  <c r="T209" i="70"/>
  <c r="E209" i="70"/>
  <c r="C210" i="70"/>
  <c r="P211" i="70"/>
  <c r="K210" i="70"/>
  <c r="L225" i="63"/>
  <c r="G225" i="63" s="1"/>
  <c r="J225" i="63"/>
  <c r="F225" i="63"/>
  <c r="H225" i="63"/>
  <c r="I225" i="63"/>
  <c r="I208" i="69"/>
  <c r="H208" i="69"/>
  <c r="G208" i="69"/>
  <c r="F208" i="69"/>
  <c r="J208" i="69"/>
  <c r="R210" i="69"/>
  <c r="M209" i="69"/>
  <c r="Q210" i="69"/>
  <c r="L209" i="69"/>
  <c r="S210" i="69"/>
  <c r="N209" i="69"/>
  <c r="O209" i="69"/>
  <c r="T210" i="69"/>
  <c r="C210" i="69"/>
  <c r="E209" i="69"/>
  <c r="P210" i="69"/>
  <c r="K209" i="69"/>
  <c r="Q232" i="63" l="1"/>
  <c r="L230" i="63"/>
  <c r="E231" i="63"/>
  <c r="C233" i="63"/>
  <c r="G230" i="63"/>
  <c r="I230" i="63"/>
  <c r="F229" i="63"/>
  <c r="J229" i="63"/>
  <c r="I229" i="63"/>
  <c r="H229" i="63"/>
  <c r="J232" i="63"/>
  <c r="S234" i="63"/>
  <c r="N232" i="63"/>
  <c r="I232" i="63" s="1"/>
  <c r="T235" i="63"/>
  <c r="O233" i="63"/>
  <c r="C234" i="63"/>
  <c r="E232" i="63"/>
  <c r="P234" i="63"/>
  <c r="K232" i="63"/>
  <c r="F232" i="63" s="1"/>
  <c r="N231" i="63"/>
  <c r="S233" i="63"/>
  <c r="T236" i="63"/>
  <c r="O234" i="63"/>
  <c r="R233" i="63"/>
  <c r="M231" i="63"/>
  <c r="Q231" i="63"/>
  <c r="L229" i="63"/>
  <c r="G229" i="63" s="1"/>
  <c r="M232" i="63"/>
  <c r="H232" i="63" s="1"/>
  <c r="R234" i="63"/>
  <c r="F230" i="63"/>
  <c r="K231" i="63"/>
  <c r="P233" i="63"/>
  <c r="C211" i="70"/>
  <c r="E210" i="70"/>
  <c r="K211" i="70"/>
  <c r="P212" i="70"/>
  <c r="O209" i="70"/>
  <c r="J209" i="70" s="1"/>
  <c r="T210" i="70"/>
  <c r="Q211" i="70"/>
  <c r="L210" i="70"/>
  <c r="S211" i="70"/>
  <c r="N210" i="70"/>
  <c r="I209" i="70"/>
  <c r="G209" i="70"/>
  <c r="F209" i="70"/>
  <c r="R210" i="70"/>
  <c r="M209" i="70"/>
  <c r="H209" i="70" s="1"/>
  <c r="K210" i="69"/>
  <c r="P211" i="69"/>
  <c r="Q211" i="69"/>
  <c r="L210" i="69"/>
  <c r="T211" i="69"/>
  <c r="O210" i="69"/>
  <c r="R211" i="69"/>
  <c r="M210" i="69"/>
  <c r="S211" i="69"/>
  <c r="N210" i="69"/>
  <c r="J209" i="69"/>
  <c r="I209" i="69"/>
  <c r="H209" i="69"/>
  <c r="G209" i="69"/>
  <c r="F209" i="69"/>
  <c r="C211" i="69"/>
  <c r="E210" i="69"/>
  <c r="P235" i="63" l="1"/>
  <c r="K233" i="63"/>
  <c r="M233" i="63"/>
  <c r="R235" i="63"/>
  <c r="C236" i="63"/>
  <c r="E234" i="63"/>
  <c r="N233" i="63"/>
  <c r="I233" i="63" s="1"/>
  <c r="S235" i="63"/>
  <c r="I231" i="63"/>
  <c r="S236" i="63"/>
  <c r="N234" i="63"/>
  <c r="E233" i="63"/>
  <c r="C235" i="63"/>
  <c r="J231" i="63"/>
  <c r="H231" i="63"/>
  <c r="F231" i="63"/>
  <c r="T237" i="63"/>
  <c r="O235" i="63"/>
  <c r="L231" i="63"/>
  <c r="G231" i="63" s="1"/>
  <c r="Q233" i="63"/>
  <c r="K234" i="63"/>
  <c r="F234" i="63" s="1"/>
  <c r="P236" i="63"/>
  <c r="T238" i="63"/>
  <c r="O236" i="63"/>
  <c r="R236" i="63"/>
  <c r="M234" i="63"/>
  <c r="L232" i="63"/>
  <c r="G232" i="63" s="1"/>
  <c r="Q234" i="63"/>
  <c r="R211" i="70"/>
  <c r="M210" i="70"/>
  <c r="H210" i="70" s="1"/>
  <c r="T211" i="70"/>
  <c r="O210" i="70"/>
  <c r="J210" i="70" s="1"/>
  <c r="Q212" i="70"/>
  <c r="L211" i="70"/>
  <c r="K212" i="70"/>
  <c r="P213" i="70"/>
  <c r="I210" i="70"/>
  <c r="G210" i="70"/>
  <c r="F210" i="70"/>
  <c r="S212" i="70"/>
  <c r="N211" i="70"/>
  <c r="C212" i="70"/>
  <c r="E211" i="70"/>
  <c r="C212" i="69"/>
  <c r="E211" i="69"/>
  <c r="T212" i="69"/>
  <c r="O211" i="69"/>
  <c r="L211" i="69"/>
  <c r="Q212" i="69"/>
  <c r="R212" i="69"/>
  <c r="M211" i="69"/>
  <c r="K211" i="69"/>
  <c r="P212" i="69"/>
  <c r="J210" i="69"/>
  <c r="I210" i="69"/>
  <c r="H210" i="69"/>
  <c r="G210" i="69"/>
  <c r="F210" i="69"/>
  <c r="S212" i="69"/>
  <c r="N211" i="69"/>
  <c r="T240" i="63" l="1"/>
  <c r="O238" i="63"/>
  <c r="N235" i="63"/>
  <c r="S237" i="63"/>
  <c r="Q235" i="63"/>
  <c r="L233" i="63"/>
  <c r="G233" i="63" s="1"/>
  <c r="J233" i="63"/>
  <c r="F233" i="63"/>
  <c r="H233" i="63"/>
  <c r="C238" i="63"/>
  <c r="E236" i="63"/>
  <c r="I234" i="63"/>
  <c r="R237" i="63"/>
  <c r="M235" i="63"/>
  <c r="E235" i="63"/>
  <c r="C237" i="63"/>
  <c r="H234" i="63"/>
  <c r="S238" i="63"/>
  <c r="N236" i="63"/>
  <c r="I236" i="63" s="1"/>
  <c r="P238" i="63"/>
  <c r="K236" i="63"/>
  <c r="F236" i="63" s="1"/>
  <c r="Q236" i="63"/>
  <c r="L234" i="63"/>
  <c r="G234" i="63" s="1"/>
  <c r="M236" i="63"/>
  <c r="R238" i="63"/>
  <c r="T239" i="63"/>
  <c r="O237" i="63"/>
  <c r="J236" i="63"/>
  <c r="J234" i="63"/>
  <c r="P237" i="63"/>
  <c r="K235" i="63"/>
  <c r="C213" i="70"/>
  <c r="E212" i="70"/>
  <c r="K213" i="70"/>
  <c r="P214" i="70"/>
  <c r="S213" i="70"/>
  <c r="N212" i="70"/>
  <c r="L212" i="70"/>
  <c r="Q213" i="70"/>
  <c r="T212" i="70"/>
  <c r="O211" i="70"/>
  <c r="J211" i="70" s="1"/>
  <c r="I211" i="70"/>
  <c r="G211" i="70"/>
  <c r="F211" i="70"/>
  <c r="R212" i="70"/>
  <c r="M211" i="70"/>
  <c r="H211" i="70" s="1"/>
  <c r="S213" i="69"/>
  <c r="N212" i="69"/>
  <c r="L212" i="69"/>
  <c r="Q213" i="69"/>
  <c r="T213" i="69"/>
  <c r="O212" i="69"/>
  <c r="M212" i="69"/>
  <c r="R213" i="69"/>
  <c r="J211" i="69"/>
  <c r="I211" i="69"/>
  <c r="H211" i="69"/>
  <c r="G211" i="69"/>
  <c r="F211" i="69"/>
  <c r="K212" i="69"/>
  <c r="P213" i="69"/>
  <c r="E212" i="69"/>
  <c r="C213" i="69"/>
  <c r="R239" i="63" l="1"/>
  <c r="M237" i="63"/>
  <c r="Q237" i="63"/>
  <c r="L235" i="63"/>
  <c r="G235" i="63" s="1"/>
  <c r="P240" i="63"/>
  <c r="K238" i="63"/>
  <c r="F238" i="63" s="1"/>
  <c r="P239" i="63"/>
  <c r="K237" i="63"/>
  <c r="N237" i="63"/>
  <c r="S239" i="63"/>
  <c r="Q238" i="63"/>
  <c r="L236" i="63"/>
  <c r="G236" i="63" s="1"/>
  <c r="T241" i="63"/>
  <c r="O239" i="63"/>
  <c r="S240" i="63"/>
  <c r="N238" i="63"/>
  <c r="C240" i="63"/>
  <c r="E238" i="63"/>
  <c r="F235" i="63"/>
  <c r="I235" i="63"/>
  <c r="H235" i="63"/>
  <c r="J235" i="63"/>
  <c r="M238" i="63"/>
  <c r="H238" i="63" s="1"/>
  <c r="R240" i="63"/>
  <c r="H236" i="63"/>
  <c r="E237" i="63"/>
  <c r="C239" i="63"/>
  <c r="T242" i="63"/>
  <c r="O242" i="63" s="1"/>
  <c r="O240" i="63"/>
  <c r="L213" i="70"/>
  <c r="Q214" i="70"/>
  <c r="S214" i="70"/>
  <c r="N213" i="70"/>
  <c r="K214" i="70"/>
  <c r="P215" i="70"/>
  <c r="R213" i="70"/>
  <c r="M212" i="70"/>
  <c r="H212" i="70" s="1"/>
  <c r="F212" i="70"/>
  <c r="I212" i="70"/>
  <c r="G212" i="70"/>
  <c r="T213" i="70"/>
  <c r="O212" i="70"/>
  <c r="J212" i="70" s="1"/>
  <c r="E213" i="70"/>
  <c r="C214" i="70"/>
  <c r="T214" i="69"/>
  <c r="O213" i="69"/>
  <c r="M213" i="69"/>
  <c r="R214" i="69"/>
  <c r="K213" i="69"/>
  <c r="P214" i="69"/>
  <c r="L213" i="69"/>
  <c r="Q214" i="69"/>
  <c r="J212" i="69"/>
  <c r="I212" i="69"/>
  <c r="H212" i="69"/>
  <c r="G212" i="69"/>
  <c r="F212" i="69"/>
  <c r="E213" i="69"/>
  <c r="C214" i="69"/>
  <c r="N213" i="69"/>
  <c r="S214" i="69"/>
  <c r="T243" i="63" l="1"/>
  <c r="O243" i="63" s="1"/>
  <c r="O241" i="63"/>
  <c r="K240" i="63"/>
  <c r="P242" i="63"/>
  <c r="K242" i="63" s="1"/>
  <c r="P241" i="63"/>
  <c r="K239" i="63"/>
  <c r="C241" i="63"/>
  <c r="E239" i="63"/>
  <c r="J237" i="63"/>
  <c r="F237" i="63"/>
  <c r="H237" i="63"/>
  <c r="Q240" i="63"/>
  <c r="L238" i="63"/>
  <c r="G238" i="63" s="1"/>
  <c r="S241" i="63"/>
  <c r="N239" i="63"/>
  <c r="Q239" i="63"/>
  <c r="L237" i="63"/>
  <c r="G237" i="63" s="1"/>
  <c r="J238" i="63"/>
  <c r="C242" i="63"/>
  <c r="E242" i="63" s="1"/>
  <c r="E240" i="63"/>
  <c r="I237" i="63"/>
  <c r="S242" i="63"/>
  <c r="N242" i="63" s="1"/>
  <c r="N240" i="63"/>
  <c r="M240" i="63"/>
  <c r="R242" i="63"/>
  <c r="M242" i="63" s="1"/>
  <c r="I238" i="63"/>
  <c r="R241" i="63"/>
  <c r="M239" i="63"/>
  <c r="G213" i="70"/>
  <c r="I213" i="70"/>
  <c r="F213" i="70"/>
  <c r="M213" i="70"/>
  <c r="H213" i="70" s="1"/>
  <c r="R214" i="70"/>
  <c r="P216" i="70"/>
  <c r="K215" i="70"/>
  <c r="T214" i="70"/>
  <c r="O213" i="70"/>
  <c r="J213" i="70" s="1"/>
  <c r="N214" i="70"/>
  <c r="S215" i="70"/>
  <c r="L214" i="70"/>
  <c r="Q215" i="70"/>
  <c r="E214" i="70"/>
  <c r="C215" i="70"/>
  <c r="E214" i="69"/>
  <c r="C215" i="69"/>
  <c r="P215" i="69"/>
  <c r="K214" i="69"/>
  <c r="F213" i="69"/>
  <c r="J213" i="69"/>
  <c r="I213" i="69"/>
  <c r="H213" i="69"/>
  <c r="G213" i="69"/>
  <c r="L214" i="69"/>
  <c r="Q215" i="69"/>
  <c r="M214" i="69"/>
  <c r="R215" i="69"/>
  <c r="N214" i="69"/>
  <c r="S215" i="69"/>
  <c r="O214" i="69"/>
  <c r="T215" i="69"/>
  <c r="P243" i="63" l="1"/>
  <c r="K243" i="63" s="1"/>
  <c r="K241" i="63"/>
  <c r="J242" i="63"/>
  <c r="F242" i="63"/>
  <c r="I242" i="63"/>
  <c r="H242" i="63"/>
  <c r="Q242" i="63"/>
  <c r="L242" i="63" s="1"/>
  <c r="G242" i="63" s="1"/>
  <c r="L240" i="63"/>
  <c r="G240" i="63" s="1"/>
  <c r="F240" i="63"/>
  <c r="J241" i="63"/>
  <c r="N241" i="63"/>
  <c r="S243" i="63"/>
  <c r="N243" i="63" s="1"/>
  <c r="H240" i="63"/>
  <c r="Q241" i="63"/>
  <c r="L239" i="63"/>
  <c r="G239" i="63" s="1"/>
  <c r="E241" i="63"/>
  <c r="C243" i="63"/>
  <c r="E243" i="63" s="1"/>
  <c r="R243" i="63"/>
  <c r="M243" i="63" s="1"/>
  <c r="M241" i="63"/>
  <c r="I240" i="63"/>
  <c r="H239" i="63"/>
  <c r="I239" i="63"/>
  <c r="J239" i="63"/>
  <c r="F239" i="63"/>
  <c r="J240" i="63"/>
  <c r="F214" i="70"/>
  <c r="I214" i="70"/>
  <c r="G214" i="70"/>
  <c r="K216" i="70"/>
  <c r="L215" i="70"/>
  <c r="Q216" i="70"/>
  <c r="M214" i="70"/>
  <c r="H214" i="70" s="1"/>
  <c r="R215" i="70"/>
  <c r="N215" i="70"/>
  <c r="S216" i="70"/>
  <c r="T215" i="70"/>
  <c r="O214" i="70"/>
  <c r="J214" i="70" s="1"/>
  <c r="E215" i="70"/>
  <c r="C216" i="70"/>
  <c r="Q216" i="69"/>
  <c r="L215" i="69"/>
  <c r="P216" i="69"/>
  <c r="K215" i="69"/>
  <c r="E215" i="69"/>
  <c r="C216" i="69"/>
  <c r="N215" i="69"/>
  <c r="S216" i="69"/>
  <c r="M215" i="69"/>
  <c r="R216" i="69"/>
  <c r="O215" i="69"/>
  <c r="T216" i="69"/>
  <c r="G214" i="69"/>
  <c r="F214" i="69"/>
  <c r="J214" i="69"/>
  <c r="I214" i="69"/>
  <c r="H214" i="69"/>
  <c r="L241" i="63" l="1"/>
  <c r="G241" i="63" s="1"/>
  <c r="Q243" i="63"/>
  <c r="L243" i="63" s="1"/>
  <c r="G243" i="63" s="1"/>
  <c r="I243" i="63"/>
  <c r="J243" i="63"/>
  <c r="H243" i="63"/>
  <c r="F243" i="63"/>
  <c r="F241" i="63"/>
  <c r="I241" i="63"/>
  <c r="H241" i="63"/>
  <c r="G215" i="70"/>
  <c r="F215" i="70"/>
  <c r="I215" i="70"/>
  <c r="O215" i="70"/>
  <c r="J215" i="70" s="1"/>
  <c r="T216" i="70"/>
  <c r="M215" i="70"/>
  <c r="H215" i="70" s="1"/>
  <c r="R216" i="70"/>
  <c r="N216" i="70"/>
  <c r="E216" i="70"/>
  <c r="L216" i="70"/>
  <c r="E216" i="69"/>
  <c r="C217" i="69"/>
  <c r="H215" i="69"/>
  <c r="G215" i="69"/>
  <c r="F215" i="69"/>
  <c r="J215" i="69"/>
  <c r="I215" i="69"/>
  <c r="N216" i="69"/>
  <c r="S217" i="69"/>
  <c r="O216" i="69"/>
  <c r="T217" i="69"/>
  <c r="P217" i="69"/>
  <c r="K216" i="69"/>
  <c r="R217" i="69"/>
  <c r="M216" i="69"/>
  <c r="Q217" i="69"/>
  <c r="L216" i="69"/>
  <c r="O216" i="70" l="1"/>
  <c r="G216" i="70"/>
  <c r="F216" i="70"/>
  <c r="J216" i="70"/>
  <c r="I216" i="70"/>
  <c r="M216" i="70"/>
  <c r="H216" i="70" s="1"/>
  <c r="R218" i="69"/>
  <c r="M217" i="69"/>
  <c r="O217" i="69"/>
  <c r="T218" i="69"/>
  <c r="Q218" i="69"/>
  <c r="L217" i="69"/>
  <c r="C218" i="69"/>
  <c r="E217" i="69"/>
  <c r="P218" i="69"/>
  <c r="K217" i="69"/>
  <c r="S218" i="69"/>
  <c r="N217" i="69"/>
  <c r="I216" i="69"/>
  <c r="H216" i="69"/>
  <c r="G216" i="69"/>
  <c r="F216" i="69"/>
  <c r="J216" i="69"/>
  <c r="J217" i="69" l="1"/>
  <c r="I217" i="69"/>
  <c r="H217" i="69"/>
  <c r="G217" i="69"/>
  <c r="F217" i="69"/>
  <c r="T219" i="69"/>
  <c r="O218" i="69"/>
  <c r="S219" i="69"/>
  <c r="N218" i="69"/>
  <c r="C219" i="69"/>
  <c r="E218" i="69"/>
  <c r="Q219" i="69"/>
  <c r="L218" i="69"/>
  <c r="K218" i="69"/>
  <c r="P219" i="69"/>
  <c r="R219" i="69"/>
  <c r="M218" i="69"/>
  <c r="K219" i="69" l="1"/>
  <c r="P220" i="69"/>
  <c r="T220" i="69"/>
  <c r="O219" i="69"/>
  <c r="R220" i="69"/>
  <c r="M219" i="69"/>
  <c r="S220" i="69"/>
  <c r="N219" i="69"/>
  <c r="L219" i="69"/>
  <c r="Q220" i="69"/>
  <c r="J218" i="69"/>
  <c r="I218" i="69"/>
  <c r="H218" i="69"/>
  <c r="G218" i="69"/>
  <c r="F218" i="69"/>
  <c r="C220" i="69"/>
  <c r="E219" i="69"/>
  <c r="E220" i="69" l="1"/>
  <c r="C221" i="69"/>
  <c r="S221" i="69"/>
  <c r="N220" i="69"/>
  <c r="M220" i="69"/>
  <c r="R221" i="69"/>
  <c r="T221" i="69"/>
  <c r="O220" i="69"/>
  <c r="L220" i="69"/>
  <c r="Q221" i="69"/>
  <c r="K220" i="69"/>
  <c r="P221" i="69"/>
  <c r="J219" i="69"/>
  <c r="I219" i="69"/>
  <c r="H219" i="69"/>
  <c r="G219" i="69"/>
  <c r="F219" i="69"/>
  <c r="T222" i="69" l="1"/>
  <c r="O221" i="69"/>
  <c r="M221" i="69"/>
  <c r="R222" i="69"/>
  <c r="N221" i="69"/>
  <c r="S222" i="69"/>
  <c r="L221" i="69"/>
  <c r="Q222" i="69"/>
  <c r="E221" i="69"/>
  <c r="C222" i="69"/>
  <c r="K221" i="69"/>
  <c r="P222" i="69"/>
  <c r="J220" i="69"/>
  <c r="I220" i="69"/>
  <c r="H220" i="69"/>
  <c r="G220" i="69"/>
  <c r="F220" i="69"/>
  <c r="Q223" i="69" l="1"/>
  <c r="L222" i="69"/>
  <c r="S223" i="69"/>
  <c r="N222" i="69"/>
  <c r="P223" i="69"/>
  <c r="K222" i="69"/>
  <c r="M222" i="69"/>
  <c r="R223" i="69"/>
  <c r="C223" i="69"/>
  <c r="E222" i="69"/>
  <c r="F221" i="69"/>
  <c r="J221" i="69"/>
  <c r="I221" i="69"/>
  <c r="H221" i="69"/>
  <c r="G221" i="69"/>
  <c r="O222" i="69"/>
  <c r="T223" i="69"/>
  <c r="R224" i="69" l="1"/>
  <c r="R225" i="69" s="1"/>
  <c r="M223" i="69"/>
  <c r="P224" i="69"/>
  <c r="P225" i="69" s="1"/>
  <c r="K223" i="69"/>
  <c r="N223" i="69"/>
  <c r="S224" i="69"/>
  <c r="S225" i="69" s="1"/>
  <c r="G222" i="69"/>
  <c r="F222" i="69"/>
  <c r="J222" i="69"/>
  <c r="I222" i="69"/>
  <c r="H222" i="69"/>
  <c r="O223" i="69"/>
  <c r="T224" i="69"/>
  <c r="T225" i="69" s="1"/>
  <c r="C224" i="69"/>
  <c r="C225" i="69" s="1"/>
  <c r="E223" i="69"/>
  <c r="Q224" i="69"/>
  <c r="Q225" i="69" s="1"/>
  <c r="L223" i="69"/>
  <c r="N225" i="69" l="1"/>
  <c r="S226" i="69"/>
  <c r="L225" i="69"/>
  <c r="Q226" i="69"/>
  <c r="O225" i="69"/>
  <c r="T226" i="69"/>
  <c r="K225" i="69"/>
  <c r="F225" i="69" s="1"/>
  <c r="P226" i="69"/>
  <c r="E225" i="69"/>
  <c r="C226" i="69"/>
  <c r="M225" i="69"/>
  <c r="H225" i="69" s="1"/>
  <c r="R226" i="69"/>
  <c r="J225" i="69"/>
  <c r="G225" i="69"/>
  <c r="I225" i="69"/>
  <c r="N224" i="69"/>
  <c r="H223" i="69"/>
  <c r="G223" i="69"/>
  <c r="F223" i="69"/>
  <c r="I223" i="69"/>
  <c r="J223" i="69"/>
  <c r="E224" i="69"/>
  <c r="L224" i="69"/>
  <c r="O224" i="69"/>
  <c r="K224" i="69"/>
  <c r="M224" i="69"/>
  <c r="P227" i="69" l="1"/>
  <c r="K226" i="69"/>
  <c r="T227" i="69"/>
  <c r="O226" i="69"/>
  <c r="L226" i="69"/>
  <c r="Q227" i="69"/>
  <c r="M226" i="69"/>
  <c r="R227" i="69"/>
  <c r="E226" i="69"/>
  <c r="C227" i="69"/>
  <c r="N226" i="69"/>
  <c r="S227" i="69"/>
  <c r="I224" i="69"/>
  <c r="H224" i="69"/>
  <c r="G224" i="69"/>
  <c r="J224" i="69"/>
  <c r="F224" i="69"/>
  <c r="M227" i="69" l="1"/>
  <c r="R228" i="69"/>
  <c r="Q228" i="69"/>
  <c r="L227" i="69"/>
  <c r="S228" i="69"/>
  <c r="N227" i="69"/>
  <c r="O227" i="69"/>
  <c r="T228" i="69"/>
  <c r="C228" i="69"/>
  <c r="E227" i="69"/>
  <c r="F226" i="69"/>
  <c r="H226" i="69"/>
  <c r="G226" i="69"/>
  <c r="I226" i="69"/>
  <c r="J226" i="69"/>
  <c r="P228" i="69"/>
  <c r="K227" i="69"/>
  <c r="Z269" i="62"/>
  <c r="Z273" i="62" s="1"/>
  <c r="D227" i="62"/>
  <c r="D228" i="62" s="1"/>
  <c r="D229" i="62" s="1"/>
  <c r="D230" i="62" s="1"/>
  <c r="D231" i="62" s="1"/>
  <c r="D232" i="62" s="1"/>
  <c r="D233" i="62" s="1"/>
  <c r="D234" i="62" s="1"/>
  <c r="D235" i="62" s="1"/>
  <c r="D236" i="62" s="1"/>
  <c r="D237" i="62" s="1"/>
  <c r="D238" i="62" s="1"/>
  <c r="D239" i="62" s="1"/>
  <c r="D240" i="62" s="1"/>
  <c r="D241" i="62" s="1"/>
  <c r="D242" i="62" s="1"/>
  <c r="D243" i="62" s="1"/>
  <c r="D244" i="62" s="1"/>
  <c r="D245" i="62" s="1"/>
  <c r="D246" i="62" s="1"/>
  <c r="D247" i="62" s="1"/>
  <c r="D248" i="62" s="1"/>
  <c r="D160" i="62"/>
  <c r="D161" i="62" s="1"/>
  <c r="D162" i="62" s="1"/>
  <c r="D163" i="62" s="1"/>
  <c r="D164" i="62" s="1"/>
  <c r="D165" i="62" s="1"/>
  <c r="D166" i="62" s="1"/>
  <c r="D167" i="62" s="1"/>
  <c r="D168" i="62" s="1"/>
  <c r="D169" i="62" s="1"/>
  <c r="D170" i="62" s="1"/>
  <c r="D171" i="62" s="1"/>
  <c r="D172" i="62" s="1"/>
  <c r="D173" i="62" s="1"/>
  <c r="D174" i="62" s="1"/>
  <c r="D175" i="62" s="1"/>
  <c r="D176" i="62" s="1"/>
  <c r="D177" i="62" s="1"/>
  <c r="D178" i="62" s="1"/>
  <c r="D179" i="62" s="1"/>
  <c r="D180" i="62" s="1"/>
  <c r="D181" i="62" s="1"/>
  <c r="D182" i="62" s="1"/>
  <c r="D183" i="62" s="1"/>
  <c r="D184" i="62" s="1"/>
  <c r="D185" i="62" s="1"/>
  <c r="D186" i="62" s="1"/>
  <c r="D187" i="62" s="1"/>
  <c r="D188" i="62" s="1"/>
  <c r="D189" i="62" s="1"/>
  <c r="D190" i="62" s="1"/>
  <c r="D191" i="62" s="1"/>
  <c r="D192" i="62" s="1"/>
  <c r="D193" i="62" s="1"/>
  <c r="D194" i="62" s="1"/>
  <c r="D195" i="62" s="1"/>
  <c r="D196" i="62" s="1"/>
  <c r="D197" i="62" s="1"/>
  <c r="D198" i="62" s="1"/>
  <c r="D199" i="62" s="1"/>
  <c r="D200" i="62" s="1"/>
  <c r="D201" i="62" s="1"/>
  <c r="D56" i="62"/>
  <c r="D57" i="62" s="1"/>
  <c r="D58" i="62" s="1"/>
  <c r="D59" i="62" s="1"/>
  <c r="D60" i="62" s="1"/>
  <c r="D61" i="62" s="1"/>
  <c r="D62" i="62" s="1"/>
  <c r="D63" i="62" s="1"/>
  <c r="D64" i="62" s="1"/>
  <c r="D65" i="62" s="1"/>
  <c r="D66" i="62" s="1"/>
  <c r="D67" i="62" s="1"/>
  <c r="D68" i="62" s="1"/>
  <c r="D69" i="62" s="1"/>
  <c r="D70" i="62" s="1"/>
  <c r="D71" i="62" s="1"/>
  <c r="D72" i="62" s="1"/>
  <c r="D73" i="62" s="1"/>
  <c r="D74" i="62" s="1"/>
  <c r="D75" i="62" s="1"/>
  <c r="D76" i="62" s="1"/>
  <c r="D77" i="62" s="1"/>
  <c r="D78" i="62" s="1"/>
  <c r="D79" i="62" s="1"/>
  <c r="D80" i="62" s="1"/>
  <c r="D81" i="62" s="1"/>
  <c r="D82" i="62" s="1"/>
  <c r="D83" i="62" s="1"/>
  <c r="D84" i="62" s="1"/>
  <c r="D85" i="62" s="1"/>
  <c r="D86" i="62" s="1"/>
  <c r="D87" i="62" s="1"/>
  <c r="D88" i="62" s="1"/>
  <c r="D89" i="62" s="1"/>
  <c r="D90" i="62" s="1"/>
  <c r="D91" i="62" s="1"/>
  <c r="D92" i="62" s="1"/>
  <c r="D93" i="62" s="1"/>
  <c r="D94" i="62" s="1"/>
  <c r="D95" i="62" s="1"/>
  <c r="D96" i="62" s="1"/>
  <c r="D97" i="62" s="1"/>
  <c r="D98" i="62" s="1"/>
  <c r="D99" i="62" s="1"/>
  <c r="D100" i="62" s="1"/>
  <c r="D101" i="62" s="1"/>
  <c r="D102" i="62" s="1"/>
  <c r="D103" i="62" s="1"/>
  <c r="D104" i="62" s="1"/>
  <c r="D105" i="62" s="1"/>
  <c r="D106" i="62" s="1"/>
  <c r="D107" i="62" s="1"/>
  <c r="D108" i="62" s="1"/>
  <c r="D109" i="62" s="1"/>
  <c r="D110" i="62" s="1"/>
  <c r="D111" i="62" s="1"/>
  <c r="D112" i="62" s="1"/>
  <c r="D113" i="62" s="1"/>
  <c r="D114" i="62" s="1"/>
  <c r="D115" i="62" s="1"/>
  <c r="D116" i="62" s="1"/>
  <c r="D117" i="62" s="1"/>
  <c r="D118" i="62" s="1"/>
  <c r="D119" i="62" s="1"/>
  <c r="D120" i="62" s="1"/>
  <c r="D121" i="62" s="1"/>
  <c r="D122" i="62" s="1"/>
  <c r="D123" i="62" s="1"/>
  <c r="D124" i="62" s="1"/>
  <c r="D125" i="62" s="1"/>
  <c r="D126" i="62" s="1"/>
  <c r="D127" i="62" s="1"/>
  <c r="D128" i="62" s="1"/>
  <c r="D129" i="62" s="1"/>
  <c r="D130" i="62" s="1"/>
  <c r="D131" i="62" s="1"/>
  <c r="D132" i="62" s="1"/>
  <c r="D133" i="62" s="1"/>
  <c r="D134" i="62" s="1"/>
  <c r="D135" i="62" s="1"/>
  <c r="D136" i="62" s="1"/>
  <c r="D137" i="62" s="1"/>
  <c r="D138" i="62" s="1"/>
  <c r="D139" i="62" s="1"/>
  <c r="D140" i="62" s="1"/>
  <c r="D141" i="62" s="1"/>
  <c r="D142" i="62" s="1"/>
  <c r="D143" i="62" s="1"/>
  <c r="D144" i="62" s="1"/>
  <c r="D145" i="62" s="1"/>
  <c r="D146" i="62" s="1"/>
  <c r="D147" i="62" s="1"/>
  <c r="D148" i="62" s="1"/>
  <c r="D149" i="62" s="1"/>
  <c r="D150" i="62" s="1"/>
  <c r="D151" i="62" s="1"/>
  <c r="D152" i="62" s="1"/>
  <c r="D153" i="62" s="1"/>
  <c r="D154" i="62" s="1"/>
  <c r="D155" i="62" s="1"/>
  <c r="D156" i="62" s="1"/>
  <c r="D157" i="62" s="1"/>
  <c r="D158" i="62" s="1"/>
  <c r="AI12" i="62"/>
  <c r="AI13" i="62" s="1"/>
  <c r="AI14" i="62" s="1"/>
  <c r="AI15" i="62" s="1"/>
  <c r="AI16" i="62" s="1"/>
  <c r="AI17" i="62" s="1"/>
  <c r="AI18" i="62" s="1"/>
  <c r="AI19" i="62" s="1"/>
  <c r="AI20" i="62" s="1"/>
  <c r="AI21" i="62" s="1"/>
  <c r="AI22" i="62" s="1"/>
  <c r="AI23" i="62" s="1"/>
  <c r="AI24" i="62" s="1"/>
  <c r="AI25" i="62" s="1"/>
  <c r="AI26" i="62" s="1"/>
  <c r="AI27" i="62" s="1"/>
  <c r="AI28" i="62" s="1"/>
  <c r="AI29" i="62" s="1"/>
  <c r="AI30" i="62" s="1"/>
  <c r="AI31" i="62" s="1"/>
  <c r="AI32" i="62" s="1"/>
  <c r="AI33" i="62" s="1"/>
  <c r="AI34" i="62" s="1"/>
  <c r="AI35" i="62" s="1"/>
  <c r="AI36" i="62" s="1"/>
  <c r="AI37" i="62" s="1"/>
  <c r="AI38" i="62" s="1"/>
  <c r="AI39" i="62" s="1"/>
  <c r="AI40" i="62" s="1"/>
  <c r="AI41" i="62" s="1"/>
  <c r="AI42" i="62" s="1"/>
  <c r="AI43" i="62" s="1"/>
  <c r="AI44" i="62" s="1"/>
  <c r="AI45" i="62" s="1"/>
  <c r="AI46" i="62" s="1"/>
  <c r="AI47" i="62" s="1"/>
  <c r="AI48" i="62" s="1"/>
  <c r="AI49" i="62" s="1"/>
  <c r="AI50" i="62" s="1"/>
  <c r="AI51" i="62" s="1"/>
  <c r="AI52" i="62" s="1"/>
  <c r="AI53" i="62" s="1"/>
  <c r="AI54" i="62" s="1"/>
  <c r="AI55" i="62" s="1"/>
  <c r="AI56" i="62" s="1"/>
  <c r="AI57" i="62" s="1"/>
  <c r="AI58" i="62" s="1"/>
  <c r="AI59" i="62" s="1"/>
  <c r="AI60" i="62" s="1"/>
  <c r="AI61" i="62" s="1"/>
  <c r="AI62" i="62" s="1"/>
  <c r="AI63" i="62" s="1"/>
  <c r="AI64" i="62" s="1"/>
  <c r="AI65" i="62" s="1"/>
  <c r="AI66" i="62" s="1"/>
  <c r="AI67" i="62" s="1"/>
  <c r="AI68" i="62" s="1"/>
  <c r="AI69" i="62" s="1"/>
  <c r="AI70" i="62" s="1"/>
  <c r="AI71" i="62" s="1"/>
  <c r="AI72" i="62" s="1"/>
  <c r="AI73" i="62" s="1"/>
  <c r="AI74" i="62" s="1"/>
  <c r="AI75" i="62" s="1"/>
  <c r="AI76" i="62" s="1"/>
  <c r="AI77" i="62" s="1"/>
  <c r="AI78" i="62" s="1"/>
  <c r="AI79" i="62" s="1"/>
  <c r="AI80" i="62" s="1"/>
  <c r="AI81" i="62" s="1"/>
  <c r="AI82" i="62" s="1"/>
  <c r="AI83" i="62" s="1"/>
  <c r="AI84" i="62" s="1"/>
  <c r="AI85" i="62" s="1"/>
  <c r="AI86" i="62" s="1"/>
  <c r="AI87" i="62" s="1"/>
  <c r="AI88" i="62" s="1"/>
  <c r="AI89" i="62" s="1"/>
  <c r="AI90" i="62" s="1"/>
  <c r="AI91" i="62" s="1"/>
  <c r="AI92" i="62" s="1"/>
  <c r="AI93" i="62" s="1"/>
  <c r="AI94" i="62" s="1"/>
  <c r="AI95" i="62" s="1"/>
  <c r="AI96" i="62" s="1"/>
  <c r="AI97" i="62" s="1"/>
  <c r="AI98" i="62" s="1"/>
  <c r="AI99" i="62" s="1"/>
  <c r="AI100" i="62" s="1"/>
  <c r="AI101" i="62" s="1"/>
  <c r="AI102" i="62" s="1"/>
  <c r="AI103" i="62" s="1"/>
  <c r="AI104" i="62" s="1"/>
  <c r="AI105" i="62" s="1"/>
  <c r="AI106" i="62" s="1"/>
  <c r="AI107" i="62" s="1"/>
  <c r="AI108" i="62" s="1"/>
  <c r="AI109" i="62" s="1"/>
  <c r="AI110" i="62" s="1"/>
  <c r="AI111" i="62" s="1"/>
  <c r="AI112" i="62" s="1"/>
  <c r="AI113" i="62" s="1"/>
  <c r="AI114" i="62" s="1"/>
  <c r="AI115" i="62" s="1"/>
  <c r="AI116" i="62" s="1"/>
  <c r="AI117" i="62" s="1"/>
  <c r="AI118" i="62" s="1"/>
  <c r="AI119" i="62" s="1"/>
  <c r="AI120" i="62" s="1"/>
  <c r="AI121" i="62" s="1"/>
  <c r="AI122" i="62" s="1"/>
  <c r="AI123" i="62" s="1"/>
  <c r="AI124" i="62" s="1"/>
  <c r="AI125" i="62" s="1"/>
  <c r="AI126" i="62" s="1"/>
  <c r="AI127" i="62" s="1"/>
  <c r="AI128" i="62" s="1"/>
  <c r="AI129" i="62" s="1"/>
  <c r="AI130" i="62" s="1"/>
  <c r="AI131" i="62" s="1"/>
  <c r="AI132" i="62" s="1"/>
  <c r="AI133" i="62" s="1"/>
  <c r="AI134" i="62" s="1"/>
  <c r="AI135" i="62" s="1"/>
  <c r="AI136" i="62" s="1"/>
  <c r="AI137" i="62" s="1"/>
  <c r="AI138" i="62" s="1"/>
  <c r="AI139" i="62" s="1"/>
  <c r="AI140" i="62" s="1"/>
  <c r="AI141" i="62" s="1"/>
  <c r="AI142" i="62" s="1"/>
  <c r="AI143" i="62" s="1"/>
  <c r="AI144" i="62" s="1"/>
  <c r="AI145" i="62" s="1"/>
  <c r="AI146" i="62" s="1"/>
  <c r="AI147" i="62" s="1"/>
  <c r="AI148" i="62" s="1"/>
  <c r="AI149" i="62" s="1"/>
  <c r="AI150" i="62" s="1"/>
  <c r="AI151" i="62" s="1"/>
  <c r="AI152" i="62" s="1"/>
  <c r="AI153" i="62" s="1"/>
  <c r="AI154" i="62" s="1"/>
  <c r="AI155" i="62" s="1"/>
  <c r="AI156" i="62" s="1"/>
  <c r="AI157" i="62" s="1"/>
  <c r="AI158" i="62" s="1"/>
  <c r="AI159" i="62" s="1"/>
  <c r="AI160" i="62" s="1"/>
  <c r="AI161" i="62" s="1"/>
  <c r="AI162" i="62" s="1"/>
  <c r="AI163" i="62" s="1"/>
  <c r="AI164" i="62" s="1"/>
  <c r="AI165" i="62" s="1"/>
  <c r="AI166" i="62" s="1"/>
  <c r="AI167" i="62" s="1"/>
  <c r="AI168" i="62" s="1"/>
  <c r="AI169" i="62" s="1"/>
  <c r="AI170" i="62" s="1"/>
  <c r="AI171" i="62" s="1"/>
  <c r="AI172" i="62" s="1"/>
  <c r="AI173" i="62" s="1"/>
  <c r="AI174" i="62" s="1"/>
  <c r="AI175" i="62" s="1"/>
  <c r="AI176" i="62" s="1"/>
  <c r="AI177" i="62" s="1"/>
  <c r="AI178" i="62" s="1"/>
  <c r="AI179" i="62" s="1"/>
  <c r="AI180" i="62" s="1"/>
  <c r="AI181" i="62" s="1"/>
  <c r="AI182" i="62" s="1"/>
  <c r="AI183" i="62" s="1"/>
  <c r="AI184" i="62" s="1"/>
  <c r="AI185" i="62" s="1"/>
  <c r="AI186" i="62" s="1"/>
  <c r="AI187" i="62" s="1"/>
  <c r="AI188" i="62" s="1"/>
  <c r="AI189" i="62" s="1"/>
  <c r="AI190" i="62" s="1"/>
  <c r="AI191" i="62" s="1"/>
  <c r="AI192" i="62" s="1"/>
  <c r="AI193" i="62" s="1"/>
  <c r="AI194" i="62" s="1"/>
  <c r="AI195" i="62" s="1"/>
  <c r="AI196" i="62" s="1"/>
  <c r="AI197" i="62" s="1"/>
  <c r="AI198" i="62" s="1"/>
  <c r="AI199" i="62" s="1"/>
  <c r="AI200" i="62" s="1"/>
  <c r="AI201" i="62" s="1"/>
  <c r="AH12" i="62"/>
  <c r="AH13" i="62" s="1"/>
  <c r="AH14" i="62" s="1"/>
  <c r="AH15" i="62" s="1"/>
  <c r="AH16" i="62" s="1"/>
  <c r="AH17" i="62" s="1"/>
  <c r="AH18" i="62" s="1"/>
  <c r="AH19" i="62" s="1"/>
  <c r="AH20" i="62" s="1"/>
  <c r="AH21" i="62" s="1"/>
  <c r="AH22" i="62" s="1"/>
  <c r="AH23" i="62" s="1"/>
  <c r="AH24" i="62" s="1"/>
  <c r="AH25" i="62" s="1"/>
  <c r="AH26" i="62" s="1"/>
  <c r="AH27" i="62" s="1"/>
  <c r="AH28" i="62" s="1"/>
  <c r="AH29" i="62" s="1"/>
  <c r="AH30" i="62" s="1"/>
  <c r="AH31" i="62" s="1"/>
  <c r="AH32" i="62" s="1"/>
  <c r="AH33" i="62" s="1"/>
  <c r="AH34" i="62" s="1"/>
  <c r="AH35" i="62" s="1"/>
  <c r="AH36" i="62" s="1"/>
  <c r="AH37" i="62" s="1"/>
  <c r="AH38" i="62" s="1"/>
  <c r="AH39" i="62" s="1"/>
  <c r="AH40" i="62" s="1"/>
  <c r="AH41" i="62" s="1"/>
  <c r="AH42" i="62" s="1"/>
  <c r="AH43" i="62" s="1"/>
  <c r="AH44" i="62" s="1"/>
  <c r="AH45" i="62" s="1"/>
  <c r="AH46" i="62" s="1"/>
  <c r="AH47" i="62" s="1"/>
  <c r="AH48" i="62" s="1"/>
  <c r="AH49" i="62" s="1"/>
  <c r="AH50" i="62" s="1"/>
  <c r="AH51" i="62" s="1"/>
  <c r="AH52" i="62" s="1"/>
  <c r="AH53" i="62" s="1"/>
  <c r="AH54" i="62" s="1"/>
  <c r="AH55" i="62" s="1"/>
  <c r="AH56" i="62" s="1"/>
  <c r="AH57" i="62" s="1"/>
  <c r="AH58" i="62" s="1"/>
  <c r="AH59" i="62" s="1"/>
  <c r="AH60" i="62" s="1"/>
  <c r="AH61" i="62" s="1"/>
  <c r="AH62" i="62" s="1"/>
  <c r="AH63" i="62" s="1"/>
  <c r="AH64" i="62" s="1"/>
  <c r="AH65" i="62" s="1"/>
  <c r="AH66" i="62" s="1"/>
  <c r="AH67" i="62" s="1"/>
  <c r="AH68" i="62" s="1"/>
  <c r="AH69" i="62" s="1"/>
  <c r="AH70" i="62" s="1"/>
  <c r="AH71" i="62" s="1"/>
  <c r="AH72" i="62" s="1"/>
  <c r="AH73" i="62" s="1"/>
  <c r="AH74" i="62" s="1"/>
  <c r="AH75" i="62" s="1"/>
  <c r="AH76" i="62" s="1"/>
  <c r="AH77" i="62" s="1"/>
  <c r="AH78" i="62" s="1"/>
  <c r="AH79" i="62" s="1"/>
  <c r="AH80" i="62" s="1"/>
  <c r="AH81" i="62" s="1"/>
  <c r="AH82" i="62" s="1"/>
  <c r="AH83" i="62" s="1"/>
  <c r="AH84" i="62" s="1"/>
  <c r="AH85" i="62" s="1"/>
  <c r="AH86" i="62" s="1"/>
  <c r="AH87" i="62" s="1"/>
  <c r="AH88" i="62" s="1"/>
  <c r="AH89" i="62" s="1"/>
  <c r="AH90" i="62" s="1"/>
  <c r="AH91" i="62" s="1"/>
  <c r="AH92" i="62" s="1"/>
  <c r="AH93" i="62" s="1"/>
  <c r="AH94" i="62" s="1"/>
  <c r="AH95" i="62" s="1"/>
  <c r="AH96" i="62" s="1"/>
  <c r="AH97" i="62" s="1"/>
  <c r="AH98" i="62" s="1"/>
  <c r="AH99" i="62" s="1"/>
  <c r="AH100" i="62" s="1"/>
  <c r="AH101" i="62" s="1"/>
  <c r="AH102" i="62" s="1"/>
  <c r="AH103" i="62" s="1"/>
  <c r="AH104" i="62" s="1"/>
  <c r="AH105" i="62" s="1"/>
  <c r="AH106" i="62" s="1"/>
  <c r="AH107" i="62" s="1"/>
  <c r="AH108" i="62" s="1"/>
  <c r="AH109" i="62" s="1"/>
  <c r="AH110" i="62" s="1"/>
  <c r="AH111" i="62" s="1"/>
  <c r="AH112" i="62" s="1"/>
  <c r="AH113" i="62" s="1"/>
  <c r="AH114" i="62" s="1"/>
  <c r="AH115" i="62" s="1"/>
  <c r="AH116" i="62" s="1"/>
  <c r="AH117" i="62" s="1"/>
  <c r="AH118" i="62" s="1"/>
  <c r="AH119" i="62" s="1"/>
  <c r="AH120" i="62" s="1"/>
  <c r="AH121" i="62" s="1"/>
  <c r="AH122" i="62" s="1"/>
  <c r="AH123" i="62" s="1"/>
  <c r="AH124" i="62" s="1"/>
  <c r="AH125" i="62" s="1"/>
  <c r="AH126" i="62" s="1"/>
  <c r="AH127" i="62" s="1"/>
  <c r="AH128" i="62" s="1"/>
  <c r="AH129" i="62" s="1"/>
  <c r="AH130" i="62" s="1"/>
  <c r="AH131" i="62" s="1"/>
  <c r="AH132" i="62" s="1"/>
  <c r="AH133" i="62" s="1"/>
  <c r="AH134" i="62" s="1"/>
  <c r="AH135" i="62" s="1"/>
  <c r="AH136" i="62" s="1"/>
  <c r="AH137" i="62" s="1"/>
  <c r="AH138" i="62" s="1"/>
  <c r="AH139" i="62" s="1"/>
  <c r="AH140" i="62" s="1"/>
  <c r="AH141" i="62" s="1"/>
  <c r="AH142" i="62" s="1"/>
  <c r="AH143" i="62" s="1"/>
  <c r="AH144" i="62" s="1"/>
  <c r="AH145" i="62" s="1"/>
  <c r="AH146" i="62" s="1"/>
  <c r="AH147" i="62" s="1"/>
  <c r="AH148" i="62" s="1"/>
  <c r="AH149" i="62" s="1"/>
  <c r="AH150" i="62" s="1"/>
  <c r="AH151" i="62" s="1"/>
  <c r="AH152" i="62" s="1"/>
  <c r="AH153" i="62" s="1"/>
  <c r="AH154" i="62" s="1"/>
  <c r="AH155" i="62" s="1"/>
  <c r="AH156" i="62" s="1"/>
  <c r="AH157" i="62" s="1"/>
  <c r="AH158" i="62" s="1"/>
  <c r="AH159" i="62" s="1"/>
  <c r="AH160" i="62" s="1"/>
  <c r="AH161" i="62" s="1"/>
  <c r="AH162" i="62" s="1"/>
  <c r="AH163" i="62" s="1"/>
  <c r="AH164" i="62" s="1"/>
  <c r="AH165" i="62" s="1"/>
  <c r="AH166" i="62" s="1"/>
  <c r="AH167" i="62" s="1"/>
  <c r="AH168" i="62" s="1"/>
  <c r="AH169" i="62" s="1"/>
  <c r="AH170" i="62" s="1"/>
  <c r="AH171" i="62" s="1"/>
  <c r="AH172" i="62" s="1"/>
  <c r="AH173" i="62" s="1"/>
  <c r="AH174" i="62" s="1"/>
  <c r="AH175" i="62" s="1"/>
  <c r="AH176" i="62" s="1"/>
  <c r="AH177" i="62" s="1"/>
  <c r="AH178" i="62" s="1"/>
  <c r="AH179" i="62" s="1"/>
  <c r="AH180" i="62" s="1"/>
  <c r="AH181" i="62" s="1"/>
  <c r="AH182" i="62" s="1"/>
  <c r="AH183" i="62" s="1"/>
  <c r="AH184" i="62" s="1"/>
  <c r="AH185" i="62" s="1"/>
  <c r="AH186" i="62" s="1"/>
  <c r="AH187" i="62" s="1"/>
  <c r="AH188" i="62" s="1"/>
  <c r="AH189" i="62" s="1"/>
  <c r="AH190" i="62" s="1"/>
  <c r="AH191" i="62" s="1"/>
  <c r="AH192" i="62" s="1"/>
  <c r="AH193" i="62" s="1"/>
  <c r="AH194" i="62" s="1"/>
  <c r="AH195" i="62" s="1"/>
  <c r="AH196" i="62" s="1"/>
  <c r="AH197" i="62" s="1"/>
  <c r="AH198" i="62" s="1"/>
  <c r="AH199" i="62" s="1"/>
  <c r="AH200" i="62" s="1"/>
  <c r="AH201" i="62" s="1"/>
  <c r="AG12" i="62"/>
  <c r="AG13" i="62" s="1"/>
  <c r="AG14" i="62" s="1"/>
  <c r="AG15" i="62" s="1"/>
  <c r="AG16" i="62" s="1"/>
  <c r="AG17" i="62" s="1"/>
  <c r="AG18" i="62" s="1"/>
  <c r="AG19" i="62" s="1"/>
  <c r="AG20" i="62" s="1"/>
  <c r="AG21" i="62" s="1"/>
  <c r="AG22" i="62" s="1"/>
  <c r="AG23" i="62" s="1"/>
  <c r="AG24" i="62" s="1"/>
  <c r="AG25" i="62" s="1"/>
  <c r="AG26" i="62" s="1"/>
  <c r="AG27" i="62" s="1"/>
  <c r="AG28" i="62" s="1"/>
  <c r="AG29" i="62" s="1"/>
  <c r="AG30" i="62" s="1"/>
  <c r="AG31" i="62" s="1"/>
  <c r="AG32" i="62" s="1"/>
  <c r="AG33" i="62" s="1"/>
  <c r="AG34" i="62" s="1"/>
  <c r="AG35" i="62" s="1"/>
  <c r="AG36" i="62" s="1"/>
  <c r="AG37" i="62" s="1"/>
  <c r="AG38" i="62" s="1"/>
  <c r="AG39" i="62" s="1"/>
  <c r="AG40" i="62" s="1"/>
  <c r="AG41" i="62" s="1"/>
  <c r="AG42" i="62" s="1"/>
  <c r="AG43" i="62" s="1"/>
  <c r="AG44" i="62" s="1"/>
  <c r="AG45" i="62" s="1"/>
  <c r="AG46" i="62" s="1"/>
  <c r="AG47" i="62" s="1"/>
  <c r="AG48" i="62" s="1"/>
  <c r="AG49" i="62" s="1"/>
  <c r="AG50" i="62" s="1"/>
  <c r="AG51" i="62" s="1"/>
  <c r="AG52" i="62" s="1"/>
  <c r="AG53" i="62" s="1"/>
  <c r="AG54" i="62" s="1"/>
  <c r="AG55" i="62" s="1"/>
  <c r="AG56" i="62" s="1"/>
  <c r="AG57" i="62" s="1"/>
  <c r="AG58" i="62" s="1"/>
  <c r="AG59" i="62" s="1"/>
  <c r="AG60" i="62" s="1"/>
  <c r="AG61" i="62" s="1"/>
  <c r="AG62" i="62" s="1"/>
  <c r="AG63" i="62" s="1"/>
  <c r="AG64" i="62" s="1"/>
  <c r="AG65" i="62" s="1"/>
  <c r="AG66" i="62" s="1"/>
  <c r="AG67" i="62" s="1"/>
  <c r="AG68" i="62" s="1"/>
  <c r="AG69" i="62" s="1"/>
  <c r="AG70" i="62" s="1"/>
  <c r="AG71" i="62" s="1"/>
  <c r="AG72" i="62" s="1"/>
  <c r="AG73" i="62" s="1"/>
  <c r="AG74" i="62" s="1"/>
  <c r="AG75" i="62" s="1"/>
  <c r="AG76" i="62" s="1"/>
  <c r="AG77" i="62" s="1"/>
  <c r="AG78" i="62" s="1"/>
  <c r="AG79" i="62" s="1"/>
  <c r="AG80" i="62" s="1"/>
  <c r="AG81" i="62" s="1"/>
  <c r="AG82" i="62" s="1"/>
  <c r="AG83" i="62" s="1"/>
  <c r="AG84" i="62" s="1"/>
  <c r="AG85" i="62" s="1"/>
  <c r="AG86" i="62" s="1"/>
  <c r="AG87" i="62" s="1"/>
  <c r="AG88" i="62" s="1"/>
  <c r="AG89" i="62" s="1"/>
  <c r="AG90" i="62" s="1"/>
  <c r="AG91" i="62" s="1"/>
  <c r="AG92" i="62" s="1"/>
  <c r="AG93" i="62" s="1"/>
  <c r="AG94" i="62" s="1"/>
  <c r="AG95" i="62" s="1"/>
  <c r="AG96" i="62" s="1"/>
  <c r="AG97" i="62" s="1"/>
  <c r="AG98" i="62" s="1"/>
  <c r="AG99" i="62" s="1"/>
  <c r="AG100" i="62" s="1"/>
  <c r="AG101" i="62" s="1"/>
  <c r="AG102" i="62" s="1"/>
  <c r="AG103" i="62" s="1"/>
  <c r="AG104" i="62" s="1"/>
  <c r="AG105" i="62" s="1"/>
  <c r="AG106" i="62" s="1"/>
  <c r="AG107" i="62" s="1"/>
  <c r="AG108" i="62" s="1"/>
  <c r="AG109" i="62" s="1"/>
  <c r="AG110" i="62" s="1"/>
  <c r="AG111" i="62" s="1"/>
  <c r="AG112" i="62" s="1"/>
  <c r="AG113" i="62" s="1"/>
  <c r="AG114" i="62" s="1"/>
  <c r="AG115" i="62" s="1"/>
  <c r="AG116" i="62" s="1"/>
  <c r="AG117" i="62" s="1"/>
  <c r="AG118" i="62" s="1"/>
  <c r="AG119" i="62" s="1"/>
  <c r="AG120" i="62" s="1"/>
  <c r="AG121" i="62" s="1"/>
  <c r="AG122" i="62" s="1"/>
  <c r="AG123" i="62" s="1"/>
  <c r="AG124" i="62" s="1"/>
  <c r="AG125" i="62" s="1"/>
  <c r="AG126" i="62" s="1"/>
  <c r="AG127" i="62" s="1"/>
  <c r="AG128" i="62" s="1"/>
  <c r="AG129" i="62" s="1"/>
  <c r="AG130" i="62" s="1"/>
  <c r="AG131" i="62" s="1"/>
  <c r="AG132" i="62" s="1"/>
  <c r="AG133" i="62" s="1"/>
  <c r="AG134" i="62" s="1"/>
  <c r="AG135" i="62" s="1"/>
  <c r="AG136" i="62" s="1"/>
  <c r="AG137" i="62" s="1"/>
  <c r="AG138" i="62" s="1"/>
  <c r="AG139" i="62" s="1"/>
  <c r="AG140" i="62" s="1"/>
  <c r="AG141" i="62" s="1"/>
  <c r="AG142" i="62" s="1"/>
  <c r="AG143" i="62" s="1"/>
  <c r="AG144" i="62" s="1"/>
  <c r="AG145" i="62" s="1"/>
  <c r="AG146" i="62" s="1"/>
  <c r="AG147" i="62" s="1"/>
  <c r="AG148" i="62" s="1"/>
  <c r="AG149" i="62" s="1"/>
  <c r="AG150" i="62" s="1"/>
  <c r="AG151" i="62" s="1"/>
  <c r="AG152" i="62" s="1"/>
  <c r="AG153" i="62" s="1"/>
  <c r="AG154" i="62" s="1"/>
  <c r="AG155" i="62" s="1"/>
  <c r="AG156" i="62" s="1"/>
  <c r="AG157" i="62" s="1"/>
  <c r="AG158" i="62" s="1"/>
  <c r="AG159" i="62" s="1"/>
  <c r="AG160" i="62" s="1"/>
  <c r="AG161" i="62" s="1"/>
  <c r="AG162" i="62" s="1"/>
  <c r="AG163" i="62" s="1"/>
  <c r="AG164" i="62" s="1"/>
  <c r="AG165" i="62" s="1"/>
  <c r="AG166" i="62" s="1"/>
  <c r="AG167" i="62" s="1"/>
  <c r="AG168" i="62" s="1"/>
  <c r="AG169" i="62" s="1"/>
  <c r="AG170" i="62" s="1"/>
  <c r="AG171" i="62" s="1"/>
  <c r="AG172" i="62" s="1"/>
  <c r="AG173" i="62" s="1"/>
  <c r="AG174" i="62" s="1"/>
  <c r="AG175" i="62" s="1"/>
  <c r="AG176" i="62" s="1"/>
  <c r="AG177" i="62" s="1"/>
  <c r="AG178" i="62" s="1"/>
  <c r="AG179" i="62" s="1"/>
  <c r="AG180" i="62" s="1"/>
  <c r="AG181" i="62" s="1"/>
  <c r="AG182" i="62" s="1"/>
  <c r="AG183" i="62" s="1"/>
  <c r="AG184" i="62" s="1"/>
  <c r="AG185" i="62" s="1"/>
  <c r="AG186" i="62" s="1"/>
  <c r="AG187" i="62" s="1"/>
  <c r="AG188" i="62" s="1"/>
  <c r="AG189" i="62" s="1"/>
  <c r="AG190" i="62" s="1"/>
  <c r="AG191" i="62" s="1"/>
  <c r="AG192" i="62" s="1"/>
  <c r="AG193" i="62" s="1"/>
  <c r="AG194" i="62" s="1"/>
  <c r="AG195" i="62" s="1"/>
  <c r="AG196" i="62" s="1"/>
  <c r="AG197" i="62" s="1"/>
  <c r="AG198" i="62" s="1"/>
  <c r="AG199" i="62" s="1"/>
  <c r="AG200" i="62" s="1"/>
  <c r="AG201" i="62" s="1"/>
  <c r="AF12" i="62"/>
  <c r="AF13" i="62" s="1"/>
  <c r="AF14" i="62" s="1"/>
  <c r="AF15" i="62" s="1"/>
  <c r="AF16" i="62" s="1"/>
  <c r="AF17" i="62" s="1"/>
  <c r="AF18" i="62" s="1"/>
  <c r="AF19" i="62" s="1"/>
  <c r="AF20" i="62" s="1"/>
  <c r="AF21" i="62" s="1"/>
  <c r="AF22" i="62" s="1"/>
  <c r="AF23" i="62" s="1"/>
  <c r="AF24" i="62" s="1"/>
  <c r="AF25" i="62" s="1"/>
  <c r="AF26" i="62" s="1"/>
  <c r="AF27" i="62" s="1"/>
  <c r="AF28" i="62" s="1"/>
  <c r="AF29" i="62" s="1"/>
  <c r="AF30" i="62" s="1"/>
  <c r="AF31" i="62" s="1"/>
  <c r="AF32" i="62" s="1"/>
  <c r="AF33" i="62" s="1"/>
  <c r="AF34" i="62" s="1"/>
  <c r="AF35" i="62" s="1"/>
  <c r="AF36" i="62" s="1"/>
  <c r="AF37" i="62" s="1"/>
  <c r="AF38" i="62" s="1"/>
  <c r="AF39" i="62" s="1"/>
  <c r="AF40" i="62" s="1"/>
  <c r="AF41" i="62" s="1"/>
  <c r="AF42" i="62" s="1"/>
  <c r="AF43" i="62" s="1"/>
  <c r="AF44" i="62" s="1"/>
  <c r="AF45" i="62" s="1"/>
  <c r="AF46" i="62" s="1"/>
  <c r="AF47" i="62" s="1"/>
  <c r="AF48" i="62" s="1"/>
  <c r="AF49" i="62" s="1"/>
  <c r="AF50" i="62" s="1"/>
  <c r="AF51" i="62" s="1"/>
  <c r="AF52" i="62" s="1"/>
  <c r="AF53" i="62" s="1"/>
  <c r="AF54" i="62" s="1"/>
  <c r="AF55" i="62" s="1"/>
  <c r="AF56" i="62" s="1"/>
  <c r="AF57" i="62" s="1"/>
  <c r="AF58" i="62" s="1"/>
  <c r="AF59" i="62" s="1"/>
  <c r="AF60" i="62" s="1"/>
  <c r="AF61" i="62" s="1"/>
  <c r="AF62" i="62" s="1"/>
  <c r="AF63" i="62" s="1"/>
  <c r="AF64" i="62" s="1"/>
  <c r="AF65" i="62" s="1"/>
  <c r="AF66" i="62" s="1"/>
  <c r="AF67" i="62" s="1"/>
  <c r="AF68" i="62" s="1"/>
  <c r="AF69" i="62" s="1"/>
  <c r="AF70" i="62" s="1"/>
  <c r="AF71" i="62" s="1"/>
  <c r="AF72" i="62" s="1"/>
  <c r="AF73" i="62" s="1"/>
  <c r="AF74" i="62" s="1"/>
  <c r="AF75" i="62" s="1"/>
  <c r="AF76" i="62" s="1"/>
  <c r="AF77" i="62" s="1"/>
  <c r="AF78" i="62" s="1"/>
  <c r="AF79" i="62" s="1"/>
  <c r="AF80" i="62" s="1"/>
  <c r="AF81" i="62" s="1"/>
  <c r="AF82" i="62" s="1"/>
  <c r="AF83" i="62" s="1"/>
  <c r="AF84" i="62" s="1"/>
  <c r="AF85" i="62" s="1"/>
  <c r="AF86" i="62" s="1"/>
  <c r="AF87" i="62" s="1"/>
  <c r="AF88" i="62" s="1"/>
  <c r="AF89" i="62" s="1"/>
  <c r="AF90" i="62" s="1"/>
  <c r="AF91" i="62" s="1"/>
  <c r="AF92" i="62" s="1"/>
  <c r="AF93" i="62" s="1"/>
  <c r="AF94" i="62" s="1"/>
  <c r="AF95" i="62" s="1"/>
  <c r="AF96" i="62" s="1"/>
  <c r="AF97" i="62" s="1"/>
  <c r="AF98" i="62" s="1"/>
  <c r="AF99" i="62" s="1"/>
  <c r="AF100" i="62" s="1"/>
  <c r="AF101" i="62" s="1"/>
  <c r="AF102" i="62" s="1"/>
  <c r="AF103" i="62" s="1"/>
  <c r="AF104" i="62" s="1"/>
  <c r="AF105" i="62" s="1"/>
  <c r="AF106" i="62" s="1"/>
  <c r="AF107" i="62" s="1"/>
  <c r="AF108" i="62" s="1"/>
  <c r="AF109" i="62" s="1"/>
  <c r="AF110" i="62" s="1"/>
  <c r="AF111" i="62" s="1"/>
  <c r="AF112" i="62" s="1"/>
  <c r="AF113" i="62" s="1"/>
  <c r="AF114" i="62" s="1"/>
  <c r="AF115" i="62" s="1"/>
  <c r="AF116" i="62" s="1"/>
  <c r="AF117" i="62" s="1"/>
  <c r="AF118" i="62" s="1"/>
  <c r="AF119" i="62" s="1"/>
  <c r="AF120" i="62" s="1"/>
  <c r="AF121" i="62" s="1"/>
  <c r="AF122" i="62" s="1"/>
  <c r="AF123" i="62" s="1"/>
  <c r="AF124" i="62" s="1"/>
  <c r="AF125" i="62" s="1"/>
  <c r="AF126" i="62" s="1"/>
  <c r="AF127" i="62" s="1"/>
  <c r="AF128" i="62" s="1"/>
  <c r="AF129" i="62" s="1"/>
  <c r="AF130" i="62" s="1"/>
  <c r="AF131" i="62" s="1"/>
  <c r="AF132" i="62" s="1"/>
  <c r="AF133" i="62" s="1"/>
  <c r="AF134" i="62" s="1"/>
  <c r="AF135" i="62" s="1"/>
  <c r="AF136" i="62" s="1"/>
  <c r="AF137" i="62" s="1"/>
  <c r="AF138" i="62" s="1"/>
  <c r="AF139" i="62" s="1"/>
  <c r="AF140" i="62" s="1"/>
  <c r="AF141" i="62" s="1"/>
  <c r="AF142" i="62" s="1"/>
  <c r="AF143" i="62" s="1"/>
  <c r="AF144" i="62" s="1"/>
  <c r="AF145" i="62" s="1"/>
  <c r="AF146" i="62" s="1"/>
  <c r="AF147" i="62" s="1"/>
  <c r="AF148" i="62" s="1"/>
  <c r="AF149" i="62" s="1"/>
  <c r="AF150" i="62" s="1"/>
  <c r="AF151" i="62" s="1"/>
  <c r="AF152" i="62" s="1"/>
  <c r="AF153" i="62" s="1"/>
  <c r="AF154" i="62" s="1"/>
  <c r="AF155" i="62" s="1"/>
  <c r="AF156" i="62" s="1"/>
  <c r="AF157" i="62" s="1"/>
  <c r="AF158" i="62" s="1"/>
  <c r="AF159" i="62" s="1"/>
  <c r="AF160" i="62" s="1"/>
  <c r="AF161" i="62" s="1"/>
  <c r="AF162" i="62" s="1"/>
  <c r="AF163" i="62" s="1"/>
  <c r="AF164" i="62" s="1"/>
  <c r="AF165" i="62" s="1"/>
  <c r="AF166" i="62" s="1"/>
  <c r="AF167" i="62" s="1"/>
  <c r="AF168" i="62" s="1"/>
  <c r="AF169" i="62" s="1"/>
  <c r="AF170" i="62" s="1"/>
  <c r="AF171" i="62" s="1"/>
  <c r="AF172" i="62" s="1"/>
  <c r="AF173" i="62" s="1"/>
  <c r="AF174" i="62" s="1"/>
  <c r="AF175" i="62" s="1"/>
  <c r="AF176" i="62" s="1"/>
  <c r="AF177" i="62" s="1"/>
  <c r="AF178" i="62" s="1"/>
  <c r="AF179" i="62" s="1"/>
  <c r="AF180" i="62" s="1"/>
  <c r="AF181" i="62" s="1"/>
  <c r="AF182" i="62" s="1"/>
  <c r="AF183" i="62" s="1"/>
  <c r="AF184" i="62" s="1"/>
  <c r="AF185" i="62" s="1"/>
  <c r="AF186" i="62" s="1"/>
  <c r="AF187" i="62" s="1"/>
  <c r="AF188" i="62" s="1"/>
  <c r="AF189" i="62" s="1"/>
  <c r="AF190" i="62" s="1"/>
  <c r="AF191" i="62" s="1"/>
  <c r="AF192" i="62" s="1"/>
  <c r="AF193" i="62" s="1"/>
  <c r="AF194" i="62" s="1"/>
  <c r="AF195" i="62" s="1"/>
  <c r="AF196" i="62" s="1"/>
  <c r="AF197" i="62" s="1"/>
  <c r="AF198" i="62" s="1"/>
  <c r="AF199" i="62" s="1"/>
  <c r="AF200" i="62" s="1"/>
  <c r="AF201" i="62" s="1"/>
  <c r="AE12" i="62"/>
  <c r="AE13" i="62" s="1"/>
  <c r="AE14" i="62" s="1"/>
  <c r="AE15" i="62" s="1"/>
  <c r="AE16" i="62" s="1"/>
  <c r="AE17" i="62" s="1"/>
  <c r="AE18" i="62" s="1"/>
  <c r="AE19" i="62" s="1"/>
  <c r="AE20" i="62" s="1"/>
  <c r="AE21" i="62" s="1"/>
  <c r="AE22" i="62" s="1"/>
  <c r="AE23" i="62" s="1"/>
  <c r="AE24" i="62" s="1"/>
  <c r="AE25" i="62" s="1"/>
  <c r="AE26" i="62" s="1"/>
  <c r="AE27" i="62" s="1"/>
  <c r="AE28" i="62" s="1"/>
  <c r="AE29" i="62" s="1"/>
  <c r="AE30" i="62" s="1"/>
  <c r="AE31" i="62" s="1"/>
  <c r="AE32" i="62" s="1"/>
  <c r="AE33" i="62" s="1"/>
  <c r="AE34" i="62" s="1"/>
  <c r="AE35" i="62" s="1"/>
  <c r="AE36" i="62" s="1"/>
  <c r="AE37" i="62" s="1"/>
  <c r="AE38" i="62" s="1"/>
  <c r="AE39" i="62" s="1"/>
  <c r="AE40" i="62" s="1"/>
  <c r="AE41" i="62" s="1"/>
  <c r="AE42" i="62" s="1"/>
  <c r="AE43" i="62" s="1"/>
  <c r="AE44" i="62" s="1"/>
  <c r="AE45" i="62" s="1"/>
  <c r="AE46" i="62" s="1"/>
  <c r="AE47" i="62" s="1"/>
  <c r="AE48" i="62" s="1"/>
  <c r="AE49" i="62" s="1"/>
  <c r="AE50" i="62" s="1"/>
  <c r="AE51" i="62" s="1"/>
  <c r="AE52" i="62" s="1"/>
  <c r="AE53" i="62" s="1"/>
  <c r="AE54" i="62" s="1"/>
  <c r="AE55" i="62" s="1"/>
  <c r="AE56" i="62" s="1"/>
  <c r="AE57" i="62" s="1"/>
  <c r="AE58" i="62" s="1"/>
  <c r="AE59" i="62" s="1"/>
  <c r="AE60" i="62" s="1"/>
  <c r="AE61" i="62" s="1"/>
  <c r="AE62" i="62" s="1"/>
  <c r="AE63" i="62" s="1"/>
  <c r="AE64" i="62" s="1"/>
  <c r="AE65" i="62" s="1"/>
  <c r="AE66" i="62" s="1"/>
  <c r="AE67" i="62" s="1"/>
  <c r="AE68" i="62" s="1"/>
  <c r="AE69" i="62" s="1"/>
  <c r="AE70" i="62" s="1"/>
  <c r="AE71" i="62" s="1"/>
  <c r="AE72" i="62" s="1"/>
  <c r="AE73" i="62" s="1"/>
  <c r="AE74" i="62" s="1"/>
  <c r="AE75" i="62" s="1"/>
  <c r="AE76" i="62" s="1"/>
  <c r="AE77" i="62" s="1"/>
  <c r="AE78" i="62" s="1"/>
  <c r="AE79" i="62" s="1"/>
  <c r="AE80" i="62" s="1"/>
  <c r="AE81" i="62" s="1"/>
  <c r="AE82" i="62" s="1"/>
  <c r="AE83" i="62" s="1"/>
  <c r="AE84" i="62" s="1"/>
  <c r="AE85" i="62" s="1"/>
  <c r="AE86" i="62" s="1"/>
  <c r="AE87" i="62" s="1"/>
  <c r="AE88" i="62" s="1"/>
  <c r="AE89" i="62" s="1"/>
  <c r="AE90" i="62" s="1"/>
  <c r="AE91" i="62" s="1"/>
  <c r="AE92" i="62" s="1"/>
  <c r="AE93" i="62" s="1"/>
  <c r="AE94" i="62" s="1"/>
  <c r="AE95" i="62" s="1"/>
  <c r="AE96" i="62" s="1"/>
  <c r="AE97" i="62" s="1"/>
  <c r="AE98" i="62" s="1"/>
  <c r="AE99" i="62" s="1"/>
  <c r="AE100" i="62" s="1"/>
  <c r="AE101" i="62" s="1"/>
  <c r="AE102" i="62" s="1"/>
  <c r="AE103" i="62" s="1"/>
  <c r="AE104" i="62" s="1"/>
  <c r="AE105" i="62" s="1"/>
  <c r="AE106" i="62" s="1"/>
  <c r="AE107" i="62" s="1"/>
  <c r="AE108" i="62" s="1"/>
  <c r="AE109" i="62" s="1"/>
  <c r="AE110" i="62" s="1"/>
  <c r="AE111" i="62" s="1"/>
  <c r="AE112" i="62" s="1"/>
  <c r="AE113" i="62" s="1"/>
  <c r="AE114" i="62" s="1"/>
  <c r="AE115" i="62" s="1"/>
  <c r="AE116" i="62" s="1"/>
  <c r="AE117" i="62" s="1"/>
  <c r="AE118" i="62" s="1"/>
  <c r="AE119" i="62" s="1"/>
  <c r="AE120" i="62" s="1"/>
  <c r="AE121" i="62" s="1"/>
  <c r="AE122" i="62" s="1"/>
  <c r="AE123" i="62" s="1"/>
  <c r="AE124" i="62" s="1"/>
  <c r="AE125" i="62" s="1"/>
  <c r="AE126" i="62" s="1"/>
  <c r="AE127" i="62" s="1"/>
  <c r="AE128" i="62" s="1"/>
  <c r="AE129" i="62" s="1"/>
  <c r="AE130" i="62" s="1"/>
  <c r="AE131" i="62" s="1"/>
  <c r="AE132" i="62" s="1"/>
  <c r="AE133" i="62" s="1"/>
  <c r="AE134" i="62" s="1"/>
  <c r="AE135" i="62" s="1"/>
  <c r="AE136" i="62" s="1"/>
  <c r="AE137" i="62" s="1"/>
  <c r="AE138" i="62" s="1"/>
  <c r="AE139" i="62" s="1"/>
  <c r="AE140" i="62" s="1"/>
  <c r="AE141" i="62" s="1"/>
  <c r="AE142" i="62" s="1"/>
  <c r="AE143" i="62" s="1"/>
  <c r="AE144" i="62" s="1"/>
  <c r="AE145" i="62" s="1"/>
  <c r="AE146" i="62" s="1"/>
  <c r="AE147" i="62" s="1"/>
  <c r="AE148" i="62" s="1"/>
  <c r="AE149" i="62" s="1"/>
  <c r="AE150" i="62" s="1"/>
  <c r="AE151" i="62" s="1"/>
  <c r="AE152" i="62" s="1"/>
  <c r="AE153" i="62" s="1"/>
  <c r="AE154" i="62" s="1"/>
  <c r="AE155" i="62" s="1"/>
  <c r="AE156" i="62" s="1"/>
  <c r="AE157" i="62" s="1"/>
  <c r="AE158" i="62" s="1"/>
  <c r="AE159" i="62" s="1"/>
  <c r="AE160" i="62" s="1"/>
  <c r="AE161" i="62" s="1"/>
  <c r="AE162" i="62" s="1"/>
  <c r="AE163" i="62" s="1"/>
  <c r="AE164" i="62" s="1"/>
  <c r="AE165" i="62" s="1"/>
  <c r="AE166" i="62" s="1"/>
  <c r="AE167" i="62" s="1"/>
  <c r="AE168" i="62" s="1"/>
  <c r="AE169" i="62" s="1"/>
  <c r="AE170" i="62" s="1"/>
  <c r="AE171" i="62" s="1"/>
  <c r="AE172" i="62" s="1"/>
  <c r="AE173" i="62" s="1"/>
  <c r="AE174" i="62" s="1"/>
  <c r="AE175" i="62" s="1"/>
  <c r="AE176" i="62" s="1"/>
  <c r="AE177" i="62" s="1"/>
  <c r="AE178" i="62" s="1"/>
  <c r="AE179" i="62" s="1"/>
  <c r="AE180" i="62" s="1"/>
  <c r="AE181" i="62" s="1"/>
  <c r="AE182" i="62" s="1"/>
  <c r="AE183" i="62" s="1"/>
  <c r="AE184" i="62" s="1"/>
  <c r="AE185" i="62" s="1"/>
  <c r="AE186" i="62" s="1"/>
  <c r="AE187" i="62" s="1"/>
  <c r="AE188" i="62" s="1"/>
  <c r="AE189" i="62" s="1"/>
  <c r="AE190" i="62" s="1"/>
  <c r="AE191" i="62" s="1"/>
  <c r="AE192" i="62" s="1"/>
  <c r="AE193" i="62" s="1"/>
  <c r="AE194" i="62" s="1"/>
  <c r="AE195" i="62" s="1"/>
  <c r="AE196" i="62" s="1"/>
  <c r="AE197" i="62" s="1"/>
  <c r="AE198" i="62" s="1"/>
  <c r="AE199" i="62" s="1"/>
  <c r="AE200" i="62" s="1"/>
  <c r="AE201" i="62" s="1"/>
  <c r="Y12" i="62"/>
  <c r="Y13" i="62" s="1"/>
  <c r="Y14" i="62" s="1"/>
  <c r="Y15" i="62" s="1"/>
  <c r="Y16" i="62" s="1"/>
  <c r="Y17" i="62" s="1"/>
  <c r="Y18" i="62" s="1"/>
  <c r="Y19" i="62" s="1"/>
  <c r="Y20" i="62" s="1"/>
  <c r="Y21" i="62" s="1"/>
  <c r="Y22" i="62" s="1"/>
  <c r="Y23" i="62" s="1"/>
  <c r="Y24" i="62" s="1"/>
  <c r="Y25" i="62" s="1"/>
  <c r="Y26" i="62" s="1"/>
  <c r="Y27" i="62" s="1"/>
  <c r="Y28" i="62" s="1"/>
  <c r="Y29" i="62" s="1"/>
  <c r="Y30" i="62" s="1"/>
  <c r="Y31" i="62" s="1"/>
  <c r="Y32" i="62" s="1"/>
  <c r="Y33" i="62" s="1"/>
  <c r="Y34" i="62" s="1"/>
  <c r="Y35" i="62" s="1"/>
  <c r="Y36" i="62" s="1"/>
  <c r="Y37" i="62" s="1"/>
  <c r="Y38" i="62" s="1"/>
  <c r="Y39" i="62" s="1"/>
  <c r="Y40" i="62" s="1"/>
  <c r="Y41" i="62" s="1"/>
  <c r="Y42" i="62" s="1"/>
  <c r="Y43" i="62" s="1"/>
  <c r="Y44" i="62" s="1"/>
  <c r="Y45" i="62" s="1"/>
  <c r="Y46" i="62" s="1"/>
  <c r="Y47" i="62" s="1"/>
  <c r="Y48" i="62" s="1"/>
  <c r="Y49" i="62" s="1"/>
  <c r="Y50" i="62" s="1"/>
  <c r="Y51" i="62" s="1"/>
  <c r="Y52" i="62" s="1"/>
  <c r="Y53" i="62" s="1"/>
  <c r="Y54" i="62" s="1"/>
  <c r="Y55" i="62" s="1"/>
  <c r="Y56" i="62" s="1"/>
  <c r="Y57" i="62" s="1"/>
  <c r="Y58" i="62" s="1"/>
  <c r="Y59" i="62" s="1"/>
  <c r="Y60" i="62" s="1"/>
  <c r="Y61" i="62" s="1"/>
  <c r="Y62" i="62" s="1"/>
  <c r="Y63" i="62" s="1"/>
  <c r="Y64" i="62" s="1"/>
  <c r="Y65" i="62" s="1"/>
  <c r="Y66" i="62" s="1"/>
  <c r="Y67" i="62" s="1"/>
  <c r="Y68" i="62" s="1"/>
  <c r="Y69" i="62" s="1"/>
  <c r="Y70" i="62" s="1"/>
  <c r="Y71" i="62" s="1"/>
  <c r="Y72" i="62" s="1"/>
  <c r="Y73" i="62" s="1"/>
  <c r="Y74" i="62" s="1"/>
  <c r="Y75" i="62" s="1"/>
  <c r="Y76" i="62" s="1"/>
  <c r="Y77" i="62" s="1"/>
  <c r="Y78" i="62" s="1"/>
  <c r="Y79" i="62" s="1"/>
  <c r="Y80" i="62" s="1"/>
  <c r="Y81" i="62" s="1"/>
  <c r="Y82" i="62" s="1"/>
  <c r="Y83" i="62" s="1"/>
  <c r="Y84" i="62" s="1"/>
  <c r="Y85" i="62" s="1"/>
  <c r="Y86" i="62" s="1"/>
  <c r="Y87" i="62" s="1"/>
  <c r="Y88" i="62" s="1"/>
  <c r="Y89" i="62" s="1"/>
  <c r="Y90" i="62" s="1"/>
  <c r="Y91" i="62" s="1"/>
  <c r="Y92" i="62" s="1"/>
  <c r="Y93" i="62" s="1"/>
  <c r="Y94" i="62" s="1"/>
  <c r="Y95" i="62" s="1"/>
  <c r="Y96" i="62" s="1"/>
  <c r="Y97" i="62" s="1"/>
  <c r="Y98" i="62" s="1"/>
  <c r="Y99" i="62" s="1"/>
  <c r="Y100" i="62" s="1"/>
  <c r="Y101" i="62" s="1"/>
  <c r="Y102" i="62" s="1"/>
  <c r="Y103" i="62" s="1"/>
  <c r="Y104" i="62" s="1"/>
  <c r="Y105" i="62" s="1"/>
  <c r="Y106" i="62" s="1"/>
  <c r="Y107" i="62" s="1"/>
  <c r="Y108" i="62" s="1"/>
  <c r="Y109" i="62" s="1"/>
  <c r="Y110" i="62" s="1"/>
  <c r="Y111" i="62" s="1"/>
  <c r="Y112" i="62" s="1"/>
  <c r="Y113" i="62" s="1"/>
  <c r="Y114" i="62" s="1"/>
  <c r="Y115" i="62" s="1"/>
  <c r="Y116" i="62" s="1"/>
  <c r="Y117" i="62" s="1"/>
  <c r="Y118" i="62" s="1"/>
  <c r="Y119" i="62" s="1"/>
  <c r="Y120" i="62" s="1"/>
  <c r="Y121" i="62" s="1"/>
  <c r="Y122" i="62" s="1"/>
  <c r="Y123" i="62" s="1"/>
  <c r="Y124" i="62" s="1"/>
  <c r="Y125" i="62" s="1"/>
  <c r="Y126" i="62" s="1"/>
  <c r="Y127" i="62" s="1"/>
  <c r="Y128" i="62" s="1"/>
  <c r="Y129" i="62" s="1"/>
  <c r="Y130" i="62" s="1"/>
  <c r="Y131" i="62" s="1"/>
  <c r="Y132" i="62" s="1"/>
  <c r="Y133" i="62" s="1"/>
  <c r="Y134" i="62" s="1"/>
  <c r="Y135" i="62" s="1"/>
  <c r="Y136" i="62" s="1"/>
  <c r="Y137" i="62" s="1"/>
  <c r="Y138" i="62" s="1"/>
  <c r="Y139" i="62" s="1"/>
  <c r="Y140" i="62" s="1"/>
  <c r="Y141" i="62" s="1"/>
  <c r="Y142" i="62" s="1"/>
  <c r="Y143" i="62" s="1"/>
  <c r="Y144" i="62" s="1"/>
  <c r="Y145" i="62" s="1"/>
  <c r="Y146" i="62" s="1"/>
  <c r="Y147" i="62" s="1"/>
  <c r="Y148" i="62" s="1"/>
  <c r="Y149" i="62" s="1"/>
  <c r="Y150" i="62" s="1"/>
  <c r="Y151" i="62" s="1"/>
  <c r="Y152" i="62" s="1"/>
  <c r="Y153" i="62" s="1"/>
  <c r="Y154" i="62" s="1"/>
  <c r="Y155" i="62" s="1"/>
  <c r="Y156" i="62" s="1"/>
  <c r="Y157" i="62" s="1"/>
  <c r="Y158" i="62" s="1"/>
  <c r="Y159" i="62" s="1"/>
  <c r="Y160" i="62" s="1"/>
  <c r="Y161" i="62" s="1"/>
  <c r="Y162" i="62" s="1"/>
  <c r="Y163" i="62" s="1"/>
  <c r="Y164" i="62" s="1"/>
  <c r="Y165" i="62" s="1"/>
  <c r="Y166" i="62" s="1"/>
  <c r="Y167" i="62" s="1"/>
  <c r="Y168" i="62" s="1"/>
  <c r="Y169" i="62" s="1"/>
  <c r="Y170" i="62" s="1"/>
  <c r="Y171" i="62" s="1"/>
  <c r="Y172" i="62" s="1"/>
  <c r="Y173" i="62" s="1"/>
  <c r="Y174" i="62" s="1"/>
  <c r="Y175" i="62" s="1"/>
  <c r="Y176" i="62" s="1"/>
  <c r="Y177" i="62" s="1"/>
  <c r="Y178" i="62" s="1"/>
  <c r="Y179" i="62" s="1"/>
  <c r="Y180" i="62" s="1"/>
  <c r="Y181" i="62" s="1"/>
  <c r="Y182" i="62" s="1"/>
  <c r="Y183" i="62" s="1"/>
  <c r="Y184" i="62" s="1"/>
  <c r="Y185" i="62" s="1"/>
  <c r="Y186" i="62" s="1"/>
  <c r="Y187" i="62" s="1"/>
  <c r="Y188" i="62" s="1"/>
  <c r="Y189" i="62" s="1"/>
  <c r="Y190" i="62" s="1"/>
  <c r="Y191" i="62" s="1"/>
  <c r="Y192" i="62" s="1"/>
  <c r="Y193" i="62" s="1"/>
  <c r="Y194" i="62" s="1"/>
  <c r="Y195" i="62" s="1"/>
  <c r="Y196" i="62" s="1"/>
  <c r="Y197" i="62" s="1"/>
  <c r="Y198" i="62" s="1"/>
  <c r="Y199" i="62" s="1"/>
  <c r="Y200" i="62" s="1"/>
  <c r="Y201" i="62" s="1"/>
  <c r="X12" i="62"/>
  <c r="X13" i="62" s="1"/>
  <c r="X14" i="62" s="1"/>
  <c r="X15" i="62" s="1"/>
  <c r="X16" i="62" s="1"/>
  <c r="X17" i="62" s="1"/>
  <c r="X18" i="62" s="1"/>
  <c r="X19" i="62" s="1"/>
  <c r="X20" i="62" s="1"/>
  <c r="X21" i="62" s="1"/>
  <c r="X22" i="62" s="1"/>
  <c r="X23" i="62" s="1"/>
  <c r="X24" i="62" s="1"/>
  <c r="X25" i="62" s="1"/>
  <c r="X26" i="62" s="1"/>
  <c r="X27" i="62" s="1"/>
  <c r="X28" i="62" s="1"/>
  <c r="X29" i="62" s="1"/>
  <c r="X30" i="62" s="1"/>
  <c r="X31" i="62" s="1"/>
  <c r="X32" i="62" s="1"/>
  <c r="X33" i="62" s="1"/>
  <c r="X34" i="62" s="1"/>
  <c r="X35" i="62" s="1"/>
  <c r="X36" i="62" s="1"/>
  <c r="X37" i="62" s="1"/>
  <c r="X38" i="62" s="1"/>
  <c r="X39" i="62" s="1"/>
  <c r="X40" i="62" s="1"/>
  <c r="X41" i="62" s="1"/>
  <c r="X42" i="62" s="1"/>
  <c r="X43" i="62" s="1"/>
  <c r="X44" i="62" s="1"/>
  <c r="X45" i="62" s="1"/>
  <c r="X46" i="62" s="1"/>
  <c r="X47" i="62" s="1"/>
  <c r="X48" i="62" s="1"/>
  <c r="X49" i="62" s="1"/>
  <c r="X50" i="62" s="1"/>
  <c r="X51" i="62" s="1"/>
  <c r="X52" i="62" s="1"/>
  <c r="X53" i="62" s="1"/>
  <c r="X54" i="62" s="1"/>
  <c r="X55" i="62" s="1"/>
  <c r="X56" i="62" s="1"/>
  <c r="X57" i="62" s="1"/>
  <c r="X58" i="62" s="1"/>
  <c r="X59" i="62" s="1"/>
  <c r="X60" i="62" s="1"/>
  <c r="X61" i="62" s="1"/>
  <c r="X62" i="62" s="1"/>
  <c r="X63" i="62" s="1"/>
  <c r="X64" i="62" s="1"/>
  <c r="X65" i="62" s="1"/>
  <c r="X66" i="62" s="1"/>
  <c r="X67" i="62" s="1"/>
  <c r="X68" i="62" s="1"/>
  <c r="X69" i="62" s="1"/>
  <c r="X70" i="62" s="1"/>
  <c r="X71" i="62" s="1"/>
  <c r="X72" i="62" s="1"/>
  <c r="X73" i="62" s="1"/>
  <c r="X74" i="62" s="1"/>
  <c r="X75" i="62" s="1"/>
  <c r="X76" i="62" s="1"/>
  <c r="X77" i="62" s="1"/>
  <c r="X78" i="62" s="1"/>
  <c r="X79" i="62" s="1"/>
  <c r="X80" i="62" s="1"/>
  <c r="X81" i="62" s="1"/>
  <c r="X82" i="62" s="1"/>
  <c r="X83" i="62" s="1"/>
  <c r="X84" i="62" s="1"/>
  <c r="X85" i="62" s="1"/>
  <c r="X86" i="62" s="1"/>
  <c r="X87" i="62" s="1"/>
  <c r="X88" i="62" s="1"/>
  <c r="X89" i="62" s="1"/>
  <c r="X90" i="62" s="1"/>
  <c r="X91" i="62" s="1"/>
  <c r="X92" i="62" s="1"/>
  <c r="X93" i="62" s="1"/>
  <c r="X94" i="62" s="1"/>
  <c r="X95" i="62" s="1"/>
  <c r="X96" i="62" s="1"/>
  <c r="X97" i="62" s="1"/>
  <c r="X98" i="62" s="1"/>
  <c r="X99" i="62" s="1"/>
  <c r="X100" i="62" s="1"/>
  <c r="X101" i="62" s="1"/>
  <c r="X102" i="62" s="1"/>
  <c r="X103" i="62" s="1"/>
  <c r="X104" i="62" s="1"/>
  <c r="X105" i="62" s="1"/>
  <c r="X106" i="62" s="1"/>
  <c r="X107" i="62" s="1"/>
  <c r="X108" i="62" s="1"/>
  <c r="X109" i="62" s="1"/>
  <c r="X110" i="62" s="1"/>
  <c r="X111" i="62" s="1"/>
  <c r="X112" i="62" s="1"/>
  <c r="X113" i="62" s="1"/>
  <c r="X114" i="62" s="1"/>
  <c r="X115" i="62" s="1"/>
  <c r="X116" i="62" s="1"/>
  <c r="X117" i="62" s="1"/>
  <c r="X118" i="62" s="1"/>
  <c r="X119" i="62" s="1"/>
  <c r="X120" i="62" s="1"/>
  <c r="X121" i="62" s="1"/>
  <c r="X122" i="62" s="1"/>
  <c r="X123" i="62" s="1"/>
  <c r="X124" i="62" s="1"/>
  <c r="X125" i="62" s="1"/>
  <c r="X126" i="62" s="1"/>
  <c r="X127" i="62" s="1"/>
  <c r="X128" i="62" s="1"/>
  <c r="X129" i="62" s="1"/>
  <c r="X130" i="62" s="1"/>
  <c r="X131" i="62" s="1"/>
  <c r="X132" i="62" s="1"/>
  <c r="X133" i="62" s="1"/>
  <c r="X134" i="62" s="1"/>
  <c r="X135" i="62" s="1"/>
  <c r="X136" i="62" s="1"/>
  <c r="X137" i="62" s="1"/>
  <c r="X138" i="62" s="1"/>
  <c r="X139" i="62" s="1"/>
  <c r="X140" i="62" s="1"/>
  <c r="X141" i="62" s="1"/>
  <c r="X142" i="62" s="1"/>
  <c r="X143" i="62" s="1"/>
  <c r="X144" i="62" s="1"/>
  <c r="X145" i="62" s="1"/>
  <c r="X146" i="62" s="1"/>
  <c r="X147" i="62" s="1"/>
  <c r="X148" i="62" s="1"/>
  <c r="X149" i="62" s="1"/>
  <c r="X150" i="62" s="1"/>
  <c r="X151" i="62" s="1"/>
  <c r="X152" i="62" s="1"/>
  <c r="X153" i="62" s="1"/>
  <c r="X154" i="62" s="1"/>
  <c r="X155" i="62" s="1"/>
  <c r="X156" i="62" s="1"/>
  <c r="X157" i="62" s="1"/>
  <c r="X158" i="62" s="1"/>
  <c r="X159" i="62" s="1"/>
  <c r="X160" i="62" s="1"/>
  <c r="X161" i="62" s="1"/>
  <c r="X162" i="62" s="1"/>
  <c r="X163" i="62" s="1"/>
  <c r="X164" i="62" s="1"/>
  <c r="X165" i="62" s="1"/>
  <c r="X166" i="62" s="1"/>
  <c r="X167" i="62" s="1"/>
  <c r="X168" i="62" s="1"/>
  <c r="X169" i="62" s="1"/>
  <c r="X170" i="62" s="1"/>
  <c r="X171" i="62" s="1"/>
  <c r="X172" i="62" s="1"/>
  <c r="X173" i="62" s="1"/>
  <c r="X174" i="62" s="1"/>
  <c r="X175" i="62" s="1"/>
  <c r="X176" i="62" s="1"/>
  <c r="X177" i="62" s="1"/>
  <c r="X178" i="62" s="1"/>
  <c r="X179" i="62" s="1"/>
  <c r="X180" i="62" s="1"/>
  <c r="X181" i="62" s="1"/>
  <c r="X182" i="62" s="1"/>
  <c r="X183" i="62" s="1"/>
  <c r="X184" i="62" s="1"/>
  <c r="X185" i="62" s="1"/>
  <c r="X186" i="62" s="1"/>
  <c r="X187" i="62" s="1"/>
  <c r="X188" i="62" s="1"/>
  <c r="X189" i="62" s="1"/>
  <c r="X190" i="62" s="1"/>
  <c r="X191" i="62" s="1"/>
  <c r="X192" i="62" s="1"/>
  <c r="X193" i="62" s="1"/>
  <c r="X194" i="62" s="1"/>
  <c r="X195" i="62" s="1"/>
  <c r="X196" i="62" s="1"/>
  <c r="X197" i="62" s="1"/>
  <c r="X198" i="62" s="1"/>
  <c r="X199" i="62" s="1"/>
  <c r="X200" i="62" s="1"/>
  <c r="X201" i="62" s="1"/>
  <c r="W12" i="62"/>
  <c r="W13" i="62" s="1"/>
  <c r="W14" i="62" s="1"/>
  <c r="W15" i="62" s="1"/>
  <c r="W16" i="62" s="1"/>
  <c r="W17" i="62" s="1"/>
  <c r="W18" i="62" s="1"/>
  <c r="W19" i="62" s="1"/>
  <c r="W20" i="62" s="1"/>
  <c r="W21" i="62" s="1"/>
  <c r="W22" i="62" s="1"/>
  <c r="W23" i="62" s="1"/>
  <c r="W24" i="62" s="1"/>
  <c r="W25" i="62" s="1"/>
  <c r="W26" i="62" s="1"/>
  <c r="W27" i="62" s="1"/>
  <c r="W28" i="62" s="1"/>
  <c r="W29" i="62" s="1"/>
  <c r="W30" i="62" s="1"/>
  <c r="W31" i="62" s="1"/>
  <c r="W32" i="62" s="1"/>
  <c r="W33" i="62" s="1"/>
  <c r="W34" i="62" s="1"/>
  <c r="W35" i="62" s="1"/>
  <c r="W36" i="62" s="1"/>
  <c r="W37" i="62" s="1"/>
  <c r="W38" i="62" s="1"/>
  <c r="W39" i="62" s="1"/>
  <c r="W40" i="62" s="1"/>
  <c r="W41" i="62" s="1"/>
  <c r="W42" i="62" s="1"/>
  <c r="W43" i="62" s="1"/>
  <c r="W44" i="62" s="1"/>
  <c r="W45" i="62" s="1"/>
  <c r="W46" i="62" s="1"/>
  <c r="W47" i="62" s="1"/>
  <c r="W48" i="62" s="1"/>
  <c r="W49" i="62" s="1"/>
  <c r="W50" i="62" s="1"/>
  <c r="W51" i="62" s="1"/>
  <c r="W52" i="62" s="1"/>
  <c r="W53" i="62" s="1"/>
  <c r="W54" i="62" s="1"/>
  <c r="W55" i="62" s="1"/>
  <c r="W56" i="62" s="1"/>
  <c r="W57" i="62" s="1"/>
  <c r="W58" i="62" s="1"/>
  <c r="W59" i="62" s="1"/>
  <c r="W60" i="62" s="1"/>
  <c r="W61" i="62" s="1"/>
  <c r="W62" i="62" s="1"/>
  <c r="W63" i="62" s="1"/>
  <c r="W64" i="62" s="1"/>
  <c r="W65" i="62" s="1"/>
  <c r="W66" i="62" s="1"/>
  <c r="W67" i="62" s="1"/>
  <c r="W68" i="62" s="1"/>
  <c r="W69" i="62" s="1"/>
  <c r="W70" i="62" s="1"/>
  <c r="W71" i="62" s="1"/>
  <c r="W72" i="62" s="1"/>
  <c r="W73" i="62" s="1"/>
  <c r="W74" i="62" s="1"/>
  <c r="W75" i="62" s="1"/>
  <c r="W76" i="62" s="1"/>
  <c r="W77" i="62" s="1"/>
  <c r="W78" i="62" s="1"/>
  <c r="W79" i="62" s="1"/>
  <c r="W80" i="62" s="1"/>
  <c r="W81" i="62" s="1"/>
  <c r="W82" i="62" s="1"/>
  <c r="W83" i="62" s="1"/>
  <c r="W84" i="62" s="1"/>
  <c r="W85" i="62" s="1"/>
  <c r="W86" i="62" s="1"/>
  <c r="W87" i="62" s="1"/>
  <c r="W88" i="62" s="1"/>
  <c r="W89" i="62" s="1"/>
  <c r="W90" i="62" s="1"/>
  <c r="W91" i="62" s="1"/>
  <c r="W92" i="62" s="1"/>
  <c r="W93" i="62" s="1"/>
  <c r="W94" i="62" s="1"/>
  <c r="W95" i="62" s="1"/>
  <c r="W96" i="62" s="1"/>
  <c r="W97" i="62" s="1"/>
  <c r="W98" i="62" s="1"/>
  <c r="W99" i="62" s="1"/>
  <c r="W100" i="62" s="1"/>
  <c r="W101" i="62" s="1"/>
  <c r="W102" i="62" s="1"/>
  <c r="W103" i="62" s="1"/>
  <c r="W104" i="62" s="1"/>
  <c r="W105" i="62" s="1"/>
  <c r="W106" i="62" s="1"/>
  <c r="W107" i="62" s="1"/>
  <c r="W108" i="62" s="1"/>
  <c r="W109" i="62" s="1"/>
  <c r="W110" i="62" s="1"/>
  <c r="W111" i="62" s="1"/>
  <c r="W112" i="62" s="1"/>
  <c r="W113" i="62" s="1"/>
  <c r="W114" i="62" s="1"/>
  <c r="W115" i="62" s="1"/>
  <c r="W116" i="62" s="1"/>
  <c r="W117" i="62" s="1"/>
  <c r="W118" i="62" s="1"/>
  <c r="W119" i="62" s="1"/>
  <c r="W120" i="62" s="1"/>
  <c r="W121" i="62" s="1"/>
  <c r="W122" i="62" s="1"/>
  <c r="W123" i="62" s="1"/>
  <c r="W124" i="62" s="1"/>
  <c r="W125" i="62" s="1"/>
  <c r="W126" i="62" s="1"/>
  <c r="W127" i="62" s="1"/>
  <c r="W128" i="62" s="1"/>
  <c r="W129" i="62" s="1"/>
  <c r="W130" i="62" s="1"/>
  <c r="W131" i="62" s="1"/>
  <c r="W132" i="62" s="1"/>
  <c r="W133" i="62" s="1"/>
  <c r="W134" i="62" s="1"/>
  <c r="W135" i="62" s="1"/>
  <c r="W136" i="62" s="1"/>
  <c r="W137" i="62" s="1"/>
  <c r="W138" i="62" s="1"/>
  <c r="W139" i="62" s="1"/>
  <c r="W140" i="62" s="1"/>
  <c r="W141" i="62" s="1"/>
  <c r="W142" i="62" s="1"/>
  <c r="W143" i="62" s="1"/>
  <c r="W144" i="62" s="1"/>
  <c r="W145" i="62" s="1"/>
  <c r="W146" i="62" s="1"/>
  <c r="W147" i="62" s="1"/>
  <c r="W148" i="62" s="1"/>
  <c r="W149" i="62" s="1"/>
  <c r="W150" i="62" s="1"/>
  <c r="W151" i="62" s="1"/>
  <c r="W152" i="62" s="1"/>
  <c r="W153" i="62" s="1"/>
  <c r="W154" i="62" s="1"/>
  <c r="W155" i="62" s="1"/>
  <c r="W156" i="62" s="1"/>
  <c r="W157" i="62" s="1"/>
  <c r="W158" i="62" s="1"/>
  <c r="W159" i="62" s="1"/>
  <c r="W160" i="62" s="1"/>
  <c r="W161" i="62" s="1"/>
  <c r="W162" i="62" s="1"/>
  <c r="W163" i="62" s="1"/>
  <c r="W164" i="62" s="1"/>
  <c r="W165" i="62" s="1"/>
  <c r="W166" i="62" s="1"/>
  <c r="W167" i="62" s="1"/>
  <c r="W168" i="62" s="1"/>
  <c r="W169" i="62" s="1"/>
  <c r="W170" i="62" s="1"/>
  <c r="W171" i="62" s="1"/>
  <c r="W172" i="62" s="1"/>
  <c r="W173" i="62" s="1"/>
  <c r="W174" i="62" s="1"/>
  <c r="W175" i="62" s="1"/>
  <c r="W176" i="62" s="1"/>
  <c r="W177" i="62" s="1"/>
  <c r="W178" i="62" s="1"/>
  <c r="W179" i="62" s="1"/>
  <c r="W180" i="62" s="1"/>
  <c r="W181" i="62" s="1"/>
  <c r="W182" i="62" s="1"/>
  <c r="W183" i="62" s="1"/>
  <c r="W184" i="62" s="1"/>
  <c r="W185" i="62" s="1"/>
  <c r="W186" i="62" s="1"/>
  <c r="W187" i="62" s="1"/>
  <c r="W188" i="62" s="1"/>
  <c r="W189" i="62" s="1"/>
  <c r="W190" i="62" s="1"/>
  <c r="W191" i="62" s="1"/>
  <c r="W192" i="62" s="1"/>
  <c r="W193" i="62" s="1"/>
  <c r="W194" i="62" s="1"/>
  <c r="W195" i="62" s="1"/>
  <c r="W196" i="62" s="1"/>
  <c r="W197" i="62" s="1"/>
  <c r="W198" i="62" s="1"/>
  <c r="W199" i="62" s="1"/>
  <c r="W200" i="62" s="1"/>
  <c r="W201" i="62" s="1"/>
  <c r="V12" i="62"/>
  <c r="V13" i="62" s="1"/>
  <c r="V14" i="62" s="1"/>
  <c r="V15" i="62" s="1"/>
  <c r="V16" i="62" s="1"/>
  <c r="V17" i="62" s="1"/>
  <c r="V18" i="62" s="1"/>
  <c r="V19" i="62" s="1"/>
  <c r="V20" i="62" s="1"/>
  <c r="V21" i="62" s="1"/>
  <c r="V22" i="62" s="1"/>
  <c r="V23" i="62" s="1"/>
  <c r="V24" i="62" s="1"/>
  <c r="V25" i="62" s="1"/>
  <c r="V26" i="62" s="1"/>
  <c r="V27" i="62" s="1"/>
  <c r="V28" i="62" s="1"/>
  <c r="V29" i="62" s="1"/>
  <c r="V30" i="62" s="1"/>
  <c r="V31" i="62" s="1"/>
  <c r="V32" i="62" s="1"/>
  <c r="V33" i="62" s="1"/>
  <c r="V34" i="62" s="1"/>
  <c r="V35" i="62" s="1"/>
  <c r="V36" i="62" s="1"/>
  <c r="V37" i="62" s="1"/>
  <c r="V38" i="62" s="1"/>
  <c r="V39" i="62" s="1"/>
  <c r="V40" i="62" s="1"/>
  <c r="V41" i="62" s="1"/>
  <c r="V42" i="62" s="1"/>
  <c r="V43" i="62" s="1"/>
  <c r="V44" i="62" s="1"/>
  <c r="V45" i="62" s="1"/>
  <c r="V46" i="62" s="1"/>
  <c r="V47" i="62" s="1"/>
  <c r="V48" i="62" s="1"/>
  <c r="V49" i="62" s="1"/>
  <c r="V50" i="62" s="1"/>
  <c r="V51" i="62" s="1"/>
  <c r="V52" i="62" s="1"/>
  <c r="V53" i="62" s="1"/>
  <c r="V54" i="62" s="1"/>
  <c r="V55" i="62" s="1"/>
  <c r="V56" i="62" s="1"/>
  <c r="V57" i="62" s="1"/>
  <c r="V58" i="62" s="1"/>
  <c r="V59" i="62" s="1"/>
  <c r="V60" i="62" s="1"/>
  <c r="V61" i="62" s="1"/>
  <c r="V62" i="62" s="1"/>
  <c r="V63" i="62" s="1"/>
  <c r="V64" i="62" s="1"/>
  <c r="V65" i="62" s="1"/>
  <c r="V66" i="62" s="1"/>
  <c r="V67" i="62" s="1"/>
  <c r="V68" i="62" s="1"/>
  <c r="V69" i="62" s="1"/>
  <c r="V70" i="62" s="1"/>
  <c r="V71" i="62" s="1"/>
  <c r="V72" i="62" s="1"/>
  <c r="V73" i="62" s="1"/>
  <c r="V74" i="62" s="1"/>
  <c r="V75" i="62" s="1"/>
  <c r="V76" i="62" s="1"/>
  <c r="V77" i="62" s="1"/>
  <c r="V78" i="62" s="1"/>
  <c r="V79" i="62" s="1"/>
  <c r="V80" i="62" s="1"/>
  <c r="V81" i="62" s="1"/>
  <c r="V82" i="62" s="1"/>
  <c r="V83" i="62" s="1"/>
  <c r="V84" i="62" s="1"/>
  <c r="V85" i="62" s="1"/>
  <c r="V86" i="62" s="1"/>
  <c r="V87" i="62" s="1"/>
  <c r="V88" i="62" s="1"/>
  <c r="V89" i="62" s="1"/>
  <c r="V90" i="62" s="1"/>
  <c r="V91" i="62" s="1"/>
  <c r="V92" i="62" s="1"/>
  <c r="V93" i="62" s="1"/>
  <c r="V94" i="62" s="1"/>
  <c r="V95" i="62" s="1"/>
  <c r="V96" i="62" s="1"/>
  <c r="V97" i="62" s="1"/>
  <c r="V98" i="62" s="1"/>
  <c r="V99" i="62" s="1"/>
  <c r="V100" i="62" s="1"/>
  <c r="V101" i="62" s="1"/>
  <c r="V102" i="62" s="1"/>
  <c r="V103" i="62" s="1"/>
  <c r="V104" i="62" s="1"/>
  <c r="V105" i="62" s="1"/>
  <c r="V106" i="62" s="1"/>
  <c r="V107" i="62" s="1"/>
  <c r="V108" i="62" s="1"/>
  <c r="V109" i="62" s="1"/>
  <c r="V110" i="62" s="1"/>
  <c r="V111" i="62" s="1"/>
  <c r="V112" i="62" s="1"/>
  <c r="V113" i="62" s="1"/>
  <c r="V114" i="62" s="1"/>
  <c r="V115" i="62" s="1"/>
  <c r="V116" i="62" s="1"/>
  <c r="V117" i="62" s="1"/>
  <c r="V118" i="62" s="1"/>
  <c r="V119" i="62" s="1"/>
  <c r="V120" i="62" s="1"/>
  <c r="V121" i="62" s="1"/>
  <c r="V122" i="62" s="1"/>
  <c r="V123" i="62" s="1"/>
  <c r="V124" i="62" s="1"/>
  <c r="V125" i="62" s="1"/>
  <c r="V126" i="62" s="1"/>
  <c r="V127" i="62" s="1"/>
  <c r="V128" i="62" s="1"/>
  <c r="V129" i="62" s="1"/>
  <c r="V130" i="62" s="1"/>
  <c r="V131" i="62" s="1"/>
  <c r="V132" i="62" s="1"/>
  <c r="V133" i="62" s="1"/>
  <c r="V134" i="62" s="1"/>
  <c r="V135" i="62" s="1"/>
  <c r="V136" i="62" s="1"/>
  <c r="V137" i="62" s="1"/>
  <c r="V138" i="62" s="1"/>
  <c r="V139" i="62" s="1"/>
  <c r="V140" i="62" s="1"/>
  <c r="V141" i="62" s="1"/>
  <c r="V142" i="62" s="1"/>
  <c r="V143" i="62" s="1"/>
  <c r="V144" i="62" s="1"/>
  <c r="V145" i="62" s="1"/>
  <c r="V146" i="62" s="1"/>
  <c r="V147" i="62" s="1"/>
  <c r="V148" i="62" s="1"/>
  <c r="V149" i="62" s="1"/>
  <c r="V150" i="62" s="1"/>
  <c r="V151" i="62" s="1"/>
  <c r="V152" i="62" s="1"/>
  <c r="V153" i="62" s="1"/>
  <c r="V154" i="62" s="1"/>
  <c r="V155" i="62" s="1"/>
  <c r="V156" i="62" s="1"/>
  <c r="V157" i="62" s="1"/>
  <c r="V158" i="62" s="1"/>
  <c r="V159" i="62" s="1"/>
  <c r="V160" i="62" s="1"/>
  <c r="V161" i="62" s="1"/>
  <c r="V162" i="62" s="1"/>
  <c r="V163" i="62" s="1"/>
  <c r="V164" i="62" s="1"/>
  <c r="V165" i="62" s="1"/>
  <c r="V166" i="62" s="1"/>
  <c r="V167" i="62" s="1"/>
  <c r="V168" i="62" s="1"/>
  <c r="V169" i="62" s="1"/>
  <c r="V170" i="62" s="1"/>
  <c r="V171" i="62" s="1"/>
  <c r="V172" i="62" s="1"/>
  <c r="V173" i="62" s="1"/>
  <c r="V174" i="62" s="1"/>
  <c r="V175" i="62" s="1"/>
  <c r="V176" i="62" s="1"/>
  <c r="V177" i="62" s="1"/>
  <c r="V178" i="62" s="1"/>
  <c r="V179" i="62" s="1"/>
  <c r="V180" i="62" s="1"/>
  <c r="V181" i="62" s="1"/>
  <c r="V182" i="62" s="1"/>
  <c r="V183" i="62" s="1"/>
  <c r="V184" i="62" s="1"/>
  <c r="V185" i="62" s="1"/>
  <c r="V186" i="62" s="1"/>
  <c r="V187" i="62" s="1"/>
  <c r="V188" i="62" s="1"/>
  <c r="V189" i="62" s="1"/>
  <c r="V190" i="62" s="1"/>
  <c r="V191" i="62" s="1"/>
  <c r="V192" i="62" s="1"/>
  <c r="V193" i="62" s="1"/>
  <c r="V194" i="62" s="1"/>
  <c r="V195" i="62" s="1"/>
  <c r="V196" i="62" s="1"/>
  <c r="V197" i="62" s="1"/>
  <c r="V198" i="62" s="1"/>
  <c r="V199" i="62" s="1"/>
  <c r="V200" i="62" s="1"/>
  <c r="V201" i="62" s="1"/>
  <c r="U12" i="62"/>
  <c r="U13" i="62" s="1"/>
  <c r="U14" i="62" s="1"/>
  <c r="U15" i="62" s="1"/>
  <c r="U16" i="62" s="1"/>
  <c r="U17" i="62" s="1"/>
  <c r="U18" i="62" s="1"/>
  <c r="U19" i="62" s="1"/>
  <c r="U20" i="62" s="1"/>
  <c r="U21" i="62" s="1"/>
  <c r="U22" i="62" s="1"/>
  <c r="U23" i="62" s="1"/>
  <c r="U24" i="62" s="1"/>
  <c r="U25" i="62" s="1"/>
  <c r="U26" i="62" s="1"/>
  <c r="U27" i="62" s="1"/>
  <c r="U28" i="62" s="1"/>
  <c r="U29" i="62" s="1"/>
  <c r="U30" i="62" s="1"/>
  <c r="U31" i="62" s="1"/>
  <c r="U32" i="62" s="1"/>
  <c r="U33" i="62" s="1"/>
  <c r="U34" i="62" s="1"/>
  <c r="U35" i="62" s="1"/>
  <c r="U36" i="62" s="1"/>
  <c r="U37" i="62" s="1"/>
  <c r="U38" i="62" s="1"/>
  <c r="U39" i="62" s="1"/>
  <c r="U40" i="62" s="1"/>
  <c r="U41" i="62" s="1"/>
  <c r="U42" i="62" s="1"/>
  <c r="U43" i="62" s="1"/>
  <c r="U44" i="62" s="1"/>
  <c r="U45" i="62" s="1"/>
  <c r="U46" i="62" s="1"/>
  <c r="U47" i="62" s="1"/>
  <c r="U48" i="62" s="1"/>
  <c r="U49" i="62" s="1"/>
  <c r="U50" i="62" s="1"/>
  <c r="U51" i="62" s="1"/>
  <c r="U52" i="62" s="1"/>
  <c r="U53" i="62" s="1"/>
  <c r="U54" i="62" s="1"/>
  <c r="U55" i="62" s="1"/>
  <c r="U56" i="62" s="1"/>
  <c r="U57" i="62" s="1"/>
  <c r="U58" i="62" s="1"/>
  <c r="U59" i="62" s="1"/>
  <c r="U60" i="62" s="1"/>
  <c r="U61" i="62" s="1"/>
  <c r="U62" i="62" s="1"/>
  <c r="U63" i="62" s="1"/>
  <c r="U64" i="62" s="1"/>
  <c r="U65" i="62" s="1"/>
  <c r="U66" i="62" s="1"/>
  <c r="U67" i="62" s="1"/>
  <c r="U68" i="62" s="1"/>
  <c r="U69" i="62" s="1"/>
  <c r="U70" i="62" s="1"/>
  <c r="U71" i="62" s="1"/>
  <c r="U72" i="62" s="1"/>
  <c r="U73" i="62" s="1"/>
  <c r="U74" i="62" s="1"/>
  <c r="U75" i="62" s="1"/>
  <c r="U76" i="62" s="1"/>
  <c r="U77" i="62" s="1"/>
  <c r="U78" i="62" s="1"/>
  <c r="U79" i="62" s="1"/>
  <c r="U80" i="62" s="1"/>
  <c r="U81" i="62" s="1"/>
  <c r="U82" i="62" s="1"/>
  <c r="U83" i="62" s="1"/>
  <c r="U84" i="62" s="1"/>
  <c r="U85" i="62" s="1"/>
  <c r="U86" i="62" s="1"/>
  <c r="U87" i="62" s="1"/>
  <c r="U88" i="62" s="1"/>
  <c r="U89" i="62" s="1"/>
  <c r="U90" i="62" s="1"/>
  <c r="U91" i="62" s="1"/>
  <c r="U92" i="62" s="1"/>
  <c r="U93" i="62" s="1"/>
  <c r="U94" i="62" s="1"/>
  <c r="U95" i="62" s="1"/>
  <c r="U96" i="62" s="1"/>
  <c r="U97" i="62" s="1"/>
  <c r="U98" i="62" s="1"/>
  <c r="U99" i="62" s="1"/>
  <c r="U100" i="62" s="1"/>
  <c r="U101" i="62" s="1"/>
  <c r="U102" i="62" s="1"/>
  <c r="U103" i="62" s="1"/>
  <c r="U104" i="62" s="1"/>
  <c r="U105" i="62" s="1"/>
  <c r="U106" i="62" s="1"/>
  <c r="U107" i="62" s="1"/>
  <c r="U108" i="62" s="1"/>
  <c r="U109" i="62" s="1"/>
  <c r="U110" i="62" s="1"/>
  <c r="U111" i="62" s="1"/>
  <c r="U112" i="62" s="1"/>
  <c r="U113" i="62" s="1"/>
  <c r="U114" i="62" s="1"/>
  <c r="U115" i="62" s="1"/>
  <c r="U116" i="62" s="1"/>
  <c r="U117" i="62" s="1"/>
  <c r="U118" i="62" s="1"/>
  <c r="U119" i="62" s="1"/>
  <c r="U120" i="62" s="1"/>
  <c r="U121" i="62" s="1"/>
  <c r="U122" i="62" s="1"/>
  <c r="U123" i="62" s="1"/>
  <c r="U124" i="62" s="1"/>
  <c r="U125" i="62" s="1"/>
  <c r="U126" i="62" s="1"/>
  <c r="U127" i="62" s="1"/>
  <c r="U128" i="62" s="1"/>
  <c r="U129" i="62" s="1"/>
  <c r="U130" i="62" s="1"/>
  <c r="U131" i="62" s="1"/>
  <c r="U132" i="62" s="1"/>
  <c r="U133" i="62" s="1"/>
  <c r="U134" i="62" s="1"/>
  <c r="U135" i="62" s="1"/>
  <c r="U136" i="62" s="1"/>
  <c r="U137" i="62" s="1"/>
  <c r="U138" i="62" s="1"/>
  <c r="U139" i="62" s="1"/>
  <c r="U140" i="62" s="1"/>
  <c r="U141" i="62" s="1"/>
  <c r="U142" i="62" s="1"/>
  <c r="U143" i="62" s="1"/>
  <c r="U144" i="62" s="1"/>
  <c r="U145" i="62" s="1"/>
  <c r="U146" i="62" s="1"/>
  <c r="U147" i="62" s="1"/>
  <c r="U148" i="62" s="1"/>
  <c r="U149" i="62" s="1"/>
  <c r="U150" i="62" s="1"/>
  <c r="U151" i="62" s="1"/>
  <c r="U152" i="62" s="1"/>
  <c r="U153" i="62" s="1"/>
  <c r="U154" i="62" s="1"/>
  <c r="U155" i="62" s="1"/>
  <c r="U156" i="62" s="1"/>
  <c r="U157" i="62" s="1"/>
  <c r="U158" i="62" s="1"/>
  <c r="U159" i="62" s="1"/>
  <c r="U160" i="62" s="1"/>
  <c r="U161" i="62" s="1"/>
  <c r="U162" i="62" s="1"/>
  <c r="U163" i="62" s="1"/>
  <c r="U164" i="62" s="1"/>
  <c r="U165" i="62" s="1"/>
  <c r="U166" i="62" s="1"/>
  <c r="U167" i="62" s="1"/>
  <c r="U168" i="62" s="1"/>
  <c r="U169" i="62" s="1"/>
  <c r="U170" i="62" s="1"/>
  <c r="U171" i="62" s="1"/>
  <c r="U172" i="62" s="1"/>
  <c r="U173" i="62" s="1"/>
  <c r="U174" i="62" s="1"/>
  <c r="U175" i="62" s="1"/>
  <c r="U176" i="62" s="1"/>
  <c r="U177" i="62" s="1"/>
  <c r="U178" i="62" s="1"/>
  <c r="U179" i="62" s="1"/>
  <c r="U180" i="62" s="1"/>
  <c r="U181" i="62" s="1"/>
  <c r="U182" i="62" s="1"/>
  <c r="U183" i="62" s="1"/>
  <c r="U184" i="62" s="1"/>
  <c r="U185" i="62" s="1"/>
  <c r="U186" i="62" s="1"/>
  <c r="U187" i="62" s="1"/>
  <c r="U188" i="62" s="1"/>
  <c r="U189" i="62" s="1"/>
  <c r="U190" i="62" s="1"/>
  <c r="U191" i="62" s="1"/>
  <c r="U192" i="62" s="1"/>
  <c r="U193" i="62" s="1"/>
  <c r="U194" i="62" s="1"/>
  <c r="U195" i="62" s="1"/>
  <c r="U196" i="62" s="1"/>
  <c r="U197" i="62" s="1"/>
  <c r="U198" i="62" s="1"/>
  <c r="U199" i="62" s="1"/>
  <c r="U200" i="62" s="1"/>
  <c r="U201" i="62" s="1"/>
  <c r="T12" i="62"/>
  <c r="T13" i="62" s="1"/>
  <c r="R12" i="62"/>
  <c r="R13" i="62" s="1"/>
  <c r="R14" i="62" s="1"/>
  <c r="D12" i="62"/>
  <c r="D13" i="62" s="1"/>
  <c r="D14" i="62" s="1"/>
  <c r="D15" i="62" s="1"/>
  <c r="D16" i="62" s="1"/>
  <c r="D17" i="62" s="1"/>
  <c r="D18" i="62" s="1"/>
  <c r="D19" i="62" s="1"/>
  <c r="D20" i="62" s="1"/>
  <c r="D21" i="62" s="1"/>
  <c r="D22" i="62" s="1"/>
  <c r="D23" i="62" s="1"/>
  <c r="D24" i="62" s="1"/>
  <c r="D25" i="62" s="1"/>
  <c r="D26" i="62" s="1"/>
  <c r="D27" i="62" s="1"/>
  <c r="D28" i="62" s="1"/>
  <c r="D29" i="62" s="1"/>
  <c r="D30" i="62" s="1"/>
  <c r="D31" i="62" s="1"/>
  <c r="D32" i="62" s="1"/>
  <c r="D33" i="62" s="1"/>
  <c r="D34" i="62" s="1"/>
  <c r="D35" i="62" s="1"/>
  <c r="D36" i="62" s="1"/>
  <c r="D37" i="62" s="1"/>
  <c r="D38" i="62" s="1"/>
  <c r="D39" i="62" s="1"/>
  <c r="D40" i="62" s="1"/>
  <c r="D41" i="62" s="1"/>
  <c r="D42" i="62" s="1"/>
  <c r="D43" i="62" s="1"/>
  <c r="D44" i="62" s="1"/>
  <c r="D45" i="62" s="1"/>
  <c r="D46" i="62" s="1"/>
  <c r="D47" i="62" s="1"/>
  <c r="D48" i="62" s="1"/>
  <c r="D49" i="62" s="1"/>
  <c r="D50" i="62" s="1"/>
  <c r="D51" i="62" s="1"/>
  <c r="D52" i="62" s="1"/>
  <c r="D53" i="62" s="1"/>
  <c r="D54" i="62" s="1"/>
  <c r="C12" i="62"/>
  <c r="C13" i="62" s="1"/>
  <c r="B12" i="62"/>
  <c r="B13" i="62" s="1"/>
  <c r="B14" i="62" s="1"/>
  <c r="B15" i="62" s="1"/>
  <c r="B16" i="62" s="1"/>
  <c r="B17" i="62" s="1"/>
  <c r="B18" i="62" s="1"/>
  <c r="B19" i="62" s="1"/>
  <c r="B20" i="62" s="1"/>
  <c r="B21" i="62" s="1"/>
  <c r="B22" i="62" s="1"/>
  <c r="B23" i="62" s="1"/>
  <c r="B24" i="62" s="1"/>
  <c r="B25" i="62" s="1"/>
  <c r="B26" i="62" s="1"/>
  <c r="B27" i="62" s="1"/>
  <c r="B28" i="62" s="1"/>
  <c r="B29" i="62" s="1"/>
  <c r="B30" i="62" s="1"/>
  <c r="B31" i="62" s="1"/>
  <c r="B32" i="62" s="1"/>
  <c r="B33" i="62" s="1"/>
  <c r="B34" i="62" s="1"/>
  <c r="B35" i="62" s="1"/>
  <c r="B36" i="62" s="1"/>
  <c r="B37" i="62" s="1"/>
  <c r="B38" i="62" s="1"/>
  <c r="B39" i="62" s="1"/>
  <c r="B40" i="62" s="1"/>
  <c r="B41" i="62" s="1"/>
  <c r="B42" i="62" s="1"/>
  <c r="B43" i="62" s="1"/>
  <c r="B44" i="62" s="1"/>
  <c r="B45" i="62" s="1"/>
  <c r="B46" i="62" s="1"/>
  <c r="B47" i="62" s="1"/>
  <c r="B48" i="62" s="1"/>
  <c r="B49" i="62" s="1"/>
  <c r="B50" i="62" s="1"/>
  <c r="B51" i="62" s="1"/>
  <c r="B52" i="62" s="1"/>
  <c r="B53" i="62" s="1"/>
  <c r="B54" i="62" s="1"/>
  <c r="B55" i="62" s="1"/>
  <c r="B56" i="62" s="1"/>
  <c r="B57" i="62" s="1"/>
  <c r="B58" i="62" s="1"/>
  <c r="B59" i="62" s="1"/>
  <c r="B60" i="62" s="1"/>
  <c r="B61" i="62" s="1"/>
  <c r="B62" i="62" s="1"/>
  <c r="B63" i="62" s="1"/>
  <c r="B64" i="62" s="1"/>
  <c r="B65" i="62" s="1"/>
  <c r="B66" i="62" s="1"/>
  <c r="B67" i="62" s="1"/>
  <c r="B68" i="62" s="1"/>
  <c r="B69" i="62" s="1"/>
  <c r="B70" i="62" s="1"/>
  <c r="B71" i="62" s="1"/>
  <c r="B72" i="62" s="1"/>
  <c r="B73" i="62" s="1"/>
  <c r="B74" i="62" s="1"/>
  <c r="B75" i="62" s="1"/>
  <c r="B76" i="62" s="1"/>
  <c r="B77" i="62" s="1"/>
  <c r="B78" i="62" s="1"/>
  <c r="B79" i="62" s="1"/>
  <c r="B80" i="62" s="1"/>
  <c r="B81" i="62" s="1"/>
  <c r="B82" i="62" s="1"/>
  <c r="B83" i="62" s="1"/>
  <c r="B84" i="62" s="1"/>
  <c r="B85" i="62" s="1"/>
  <c r="B86" i="62" s="1"/>
  <c r="B87" i="62" s="1"/>
  <c r="B88" i="62" s="1"/>
  <c r="B89" i="62" s="1"/>
  <c r="B90" i="62" s="1"/>
  <c r="B91" i="62" s="1"/>
  <c r="B92" i="62" s="1"/>
  <c r="B93" i="62" s="1"/>
  <c r="B94" i="62" s="1"/>
  <c r="B95" i="62" s="1"/>
  <c r="B96" i="62" s="1"/>
  <c r="B97" i="62" s="1"/>
  <c r="B98" i="62" s="1"/>
  <c r="B99" i="62" s="1"/>
  <c r="B100" i="62" s="1"/>
  <c r="B101" i="62" s="1"/>
  <c r="B102" i="62" s="1"/>
  <c r="B103" i="62" s="1"/>
  <c r="B104" i="62" s="1"/>
  <c r="B105" i="62" s="1"/>
  <c r="B106" i="62" s="1"/>
  <c r="B107" i="62" s="1"/>
  <c r="B108" i="62" s="1"/>
  <c r="B109" i="62" s="1"/>
  <c r="B110" i="62" s="1"/>
  <c r="B111" i="62" s="1"/>
  <c r="B112" i="62" s="1"/>
  <c r="B113" i="62" s="1"/>
  <c r="B114" i="62" s="1"/>
  <c r="B115" i="62" s="1"/>
  <c r="B116" i="62" s="1"/>
  <c r="B117" i="62" s="1"/>
  <c r="B118" i="62" s="1"/>
  <c r="B119" i="62" s="1"/>
  <c r="B120" i="62" s="1"/>
  <c r="B121" i="62" s="1"/>
  <c r="B122" i="62" s="1"/>
  <c r="B123" i="62" s="1"/>
  <c r="B124" i="62" s="1"/>
  <c r="B125" i="62" s="1"/>
  <c r="B126" i="62" s="1"/>
  <c r="B127" i="62" s="1"/>
  <c r="B128" i="62" s="1"/>
  <c r="B129" i="62" s="1"/>
  <c r="B130" i="62" s="1"/>
  <c r="B131" i="62" s="1"/>
  <c r="B132" i="62" s="1"/>
  <c r="B133" i="62" s="1"/>
  <c r="B134" i="62" s="1"/>
  <c r="B135" i="62" s="1"/>
  <c r="B136" i="62" s="1"/>
  <c r="B137" i="62" s="1"/>
  <c r="B138" i="62" s="1"/>
  <c r="B139" i="62" s="1"/>
  <c r="B140" i="62" s="1"/>
  <c r="B141" i="62" s="1"/>
  <c r="B142" i="62" s="1"/>
  <c r="B143" i="62" s="1"/>
  <c r="B144" i="62" s="1"/>
  <c r="B145" i="62" s="1"/>
  <c r="B146" i="62" s="1"/>
  <c r="B147" i="62" s="1"/>
  <c r="B148" i="62" s="1"/>
  <c r="B149" i="62" s="1"/>
  <c r="B150" i="62" s="1"/>
  <c r="B151" i="62" s="1"/>
  <c r="B152" i="62" s="1"/>
  <c r="B153" i="62" s="1"/>
  <c r="B154" i="62" s="1"/>
  <c r="B155" i="62" s="1"/>
  <c r="B156" i="62" s="1"/>
  <c r="B157" i="62" s="1"/>
  <c r="B158" i="62" s="1"/>
  <c r="B159" i="62" s="1"/>
  <c r="B160" i="62" s="1"/>
  <c r="B161" i="62" s="1"/>
  <c r="B162" i="62" s="1"/>
  <c r="B163" i="62" s="1"/>
  <c r="B164" i="62" s="1"/>
  <c r="B165" i="62" s="1"/>
  <c r="B166" i="62" s="1"/>
  <c r="B167" i="62" s="1"/>
  <c r="B168" i="62" s="1"/>
  <c r="B169" i="62" s="1"/>
  <c r="B170" i="62" s="1"/>
  <c r="B171" i="62" s="1"/>
  <c r="B172" i="62" s="1"/>
  <c r="B173" i="62" s="1"/>
  <c r="B174" i="62" s="1"/>
  <c r="B175" i="62" s="1"/>
  <c r="B176" i="62" s="1"/>
  <c r="B177" i="62" s="1"/>
  <c r="B178" i="62" s="1"/>
  <c r="B179" i="62" s="1"/>
  <c r="B180" i="62" s="1"/>
  <c r="B181" i="62" s="1"/>
  <c r="B182" i="62" s="1"/>
  <c r="B183" i="62" s="1"/>
  <c r="B184" i="62" s="1"/>
  <c r="B185" i="62" s="1"/>
  <c r="B186" i="62" s="1"/>
  <c r="B187" i="62" s="1"/>
  <c r="B188" i="62" s="1"/>
  <c r="B189" i="62" s="1"/>
  <c r="B190" i="62" s="1"/>
  <c r="B191" i="62" s="1"/>
  <c r="B192" i="62" s="1"/>
  <c r="B193" i="62" s="1"/>
  <c r="B194" i="62" s="1"/>
  <c r="B195" i="62" s="1"/>
  <c r="B196" i="62" s="1"/>
  <c r="B197" i="62" s="1"/>
  <c r="B198" i="62" s="1"/>
  <c r="B199" i="62" s="1"/>
  <c r="B200" i="62" s="1"/>
  <c r="B201" i="62" s="1"/>
  <c r="AL12" i="62"/>
  <c r="AL13" i="62" s="1"/>
  <c r="AL14" i="62" s="1"/>
  <c r="AL15" i="62" s="1"/>
  <c r="AL16" i="62" s="1"/>
  <c r="AL17" i="62" s="1"/>
  <c r="AL18" i="62" s="1"/>
  <c r="AL19" i="62" s="1"/>
  <c r="AL20" i="62" s="1"/>
  <c r="AL21" i="62" s="1"/>
  <c r="AL22" i="62" s="1"/>
  <c r="AL23" i="62" s="1"/>
  <c r="AL24" i="62" s="1"/>
  <c r="AL25" i="62" s="1"/>
  <c r="AL26" i="62" s="1"/>
  <c r="AL27" i="62" s="1"/>
  <c r="AL28" i="62" s="1"/>
  <c r="AL29" i="62" s="1"/>
  <c r="AL30" i="62" s="1"/>
  <c r="AL31" i="62" s="1"/>
  <c r="AL32" i="62" s="1"/>
  <c r="AL33" i="62" s="1"/>
  <c r="AL34" i="62" s="1"/>
  <c r="AL35" i="62" s="1"/>
  <c r="AL36" i="62" s="1"/>
  <c r="AL37" i="62" s="1"/>
  <c r="AL38" i="62" s="1"/>
  <c r="AL39" i="62" s="1"/>
  <c r="AL40" i="62" s="1"/>
  <c r="AL41" i="62" s="1"/>
  <c r="AL42" i="62" s="1"/>
  <c r="AL43" i="62" s="1"/>
  <c r="AL44" i="62" s="1"/>
  <c r="AL45" i="62" s="1"/>
  <c r="AL46" i="62" s="1"/>
  <c r="AL47" i="62" s="1"/>
  <c r="AL48" i="62" s="1"/>
  <c r="AL49" i="62" s="1"/>
  <c r="AL50" i="62" s="1"/>
  <c r="AL51" i="62" s="1"/>
  <c r="AL52" i="62" s="1"/>
  <c r="AL53" i="62" s="1"/>
  <c r="AL54" i="62" s="1"/>
  <c r="AL55" i="62" s="1"/>
  <c r="AL56" i="62" s="1"/>
  <c r="AL57" i="62" s="1"/>
  <c r="AL58" i="62" s="1"/>
  <c r="AL59" i="62" s="1"/>
  <c r="AL60" i="62" s="1"/>
  <c r="AL61" i="62" s="1"/>
  <c r="AL62" i="62" s="1"/>
  <c r="AL63" i="62" s="1"/>
  <c r="AL64" i="62" s="1"/>
  <c r="AL65" i="62" s="1"/>
  <c r="AL66" i="62" s="1"/>
  <c r="AL67" i="62" s="1"/>
  <c r="AL68" i="62" s="1"/>
  <c r="AL69" i="62" s="1"/>
  <c r="AL70" i="62" s="1"/>
  <c r="AL71" i="62" s="1"/>
  <c r="AL72" i="62" s="1"/>
  <c r="AL73" i="62" s="1"/>
  <c r="AL74" i="62" s="1"/>
  <c r="AL75" i="62" s="1"/>
  <c r="AL76" i="62" s="1"/>
  <c r="AL77" i="62" s="1"/>
  <c r="AL78" i="62" s="1"/>
  <c r="AL79" i="62" s="1"/>
  <c r="AL80" i="62" s="1"/>
  <c r="AL81" i="62" s="1"/>
  <c r="AL82" i="62" s="1"/>
  <c r="AL83" i="62" s="1"/>
  <c r="AL84" i="62" s="1"/>
  <c r="AL85" i="62" s="1"/>
  <c r="AL86" i="62" s="1"/>
  <c r="AL87" i="62" s="1"/>
  <c r="AL88" i="62" s="1"/>
  <c r="AL89" i="62" s="1"/>
  <c r="AL90" i="62" s="1"/>
  <c r="AL91" i="62" s="1"/>
  <c r="AL92" i="62" s="1"/>
  <c r="AL93" i="62" s="1"/>
  <c r="AL94" i="62" s="1"/>
  <c r="AL95" i="62" s="1"/>
  <c r="AL96" i="62" s="1"/>
  <c r="AL97" i="62" s="1"/>
  <c r="AL98" i="62" s="1"/>
  <c r="AL99" i="62" s="1"/>
  <c r="AL100" i="62" s="1"/>
  <c r="AL101" i="62" s="1"/>
  <c r="AL102" i="62" s="1"/>
  <c r="AL103" i="62" s="1"/>
  <c r="AL104" i="62" s="1"/>
  <c r="AL105" i="62" s="1"/>
  <c r="AL106" i="62" s="1"/>
  <c r="AL107" i="62" s="1"/>
  <c r="AL108" i="62" s="1"/>
  <c r="AL109" i="62" s="1"/>
  <c r="AL110" i="62" s="1"/>
  <c r="AL111" i="62" s="1"/>
  <c r="AL112" i="62" s="1"/>
  <c r="AL113" i="62" s="1"/>
  <c r="AL114" i="62" s="1"/>
  <c r="AL115" i="62" s="1"/>
  <c r="AL116" i="62" s="1"/>
  <c r="AL117" i="62" s="1"/>
  <c r="AL118" i="62" s="1"/>
  <c r="AL119" i="62" s="1"/>
  <c r="AL120" i="62" s="1"/>
  <c r="AL121" i="62" s="1"/>
  <c r="AL122" i="62" s="1"/>
  <c r="AL123" i="62" s="1"/>
  <c r="AL124" i="62" s="1"/>
  <c r="AL125" i="62" s="1"/>
  <c r="AL126" i="62" s="1"/>
  <c r="AL127" i="62" s="1"/>
  <c r="AL128" i="62" s="1"/>
  <c r="AL129" i="62" s="1"/>
  <c r="AL130" i="62" s="1"/>
  <c r="AL131" i="62" s="1"/>
  <c r="AL132" i="62" s="1"/>
  <c r="AL133" i="62" s="1"/>
  <c r="AL134" i="62" s="1"/>
  <c r="AL135" i="62" s="1"/>
  <c r="AL136" i="62" s="1"/>
  <c r="AL137" i="62" s="1"/>
  <c r="AL138" i="62" s="1"/>
  <c r="AL139" i="62" s="1"/>
  <c r="AL140" i="62" s="1"/>
  <c r="AL141" i="62" s="1"/>
  <c r="AL142" i="62" s="1"/>
  <c r="AL143" i="62" s="1"/>
  <c r="AL144" i="62" s="1"/>
  <c r="AL145" i="62" s="1"/>
  <c r="AL146" i="62" s="1"/>
  <c r="AL147" i="62" s="1"/>
  <c r="AL148" i="62" s="1"/>
  <c r="AL149" i="62" s="1"/>
  <c r="AL150" i="62" s="1"/>
  <c r="AL151" i="62" s="1"/>
  <c r="AL152" i="62" s="1"/>
  <c r="AL153" i="62" s="1"/>
  <c r="AL154" i="62" s="1"/>
  <c r="AL155" i="62" s="1"/>
  <c r="AL156" i="62" s="1"/>
  <c r="AL157" i="62" s="1"/>
  <c r="AL158" i="62" s="1"/>
  <c r="AL159" i="62" s="1"/>
  <c r="AL160" i="62" s="1"/>
  <c r="AL161" i="62" s="1"/>
  <c r="AL162" i="62" s="1"/>
  <c r="AL163" i="62" s="1"/>
  <c r="AL164" i="62" s="1"/>
  <c r="AL165" i="62" s="1"/>
  <c r="AL166" i="62" s="1"/>
  <c r="AL167" i="62" s="1"/>
  <c r="AL168" i="62" s="1"/>
  <c r="AL169" i="62" s="1"/>
  <c r="AL170" i="62" s="1"/>
  <c r="AL171" i="62" s="1"/>
  <c r="AL172" i="62" s="1"/>
  <c r="AL173" i="62" s="1"/>
  <c r="AL174" i="62" s="1"/>
  <c r="AL175" i="62" s="1"/>
  <c r="AL176" i="62" s="1"/>
  <c r="AL177" i="62" s="1"/>
  <c r="AL178" i="62" s="1"/>
  <c r="AL179" i="62" s="1"/>
  <c r="AL180" i="62" s="1"/>
  <c r="AL181" i="62" s="1"/>
  <c r="AL182" i="62" s="1"/>
  <c r="AL183" i="62" s="1"/>
  <c r="AL184" i="62" s="1"/>
  <c r="AL185" i="62" s="1"/>
  <c r="AL186" i="62" s="1"/>
  <c r="AL187" i="62" s="1"/>
  <c r="AL188" i="62" s="1"/>
  <c r="AL189" i="62" s="1"/>
  <c r="AL190" i="62" s="1"/>
  <c r="AL191" i="62" s="1"/>
  <c r="AL192" i="62" s="1"/>
  <c r="AL193" i="62" s="1"/>
  <c r="AL194" i="62" s="1"/>
  <c r="AL195" i="62" s="1"/>
  <c r="AL196" i="62" s="1"/>
  <c r="AL197" i="62" s="1"/>
  <c r="AL198" i="62" s="1"/>
  <c r="AL199" i="62" s="1"/>
  <c r="AL200" i="62" s="1"/>
  <c r="AL201" i="62" s="1"/>
  <c r="AJ12" i="62"/>
  <c r="AJ13" i="62" s="1"/>
  <c r="AJ14" i="62" s="1"/>
  <c r="AJ15" i="62" s="1"/>
  <c r="AJ16" i="62" s="1"/>
  <c r="AJ17" i="62" s="1"/>
  <c r="AJ18" i="62" s="1"/>
  <c r="AJ19" i="62" s="1"/>
  <c r="AJ20" i="62" s="1"/>
  <c r="AJ21" i="62" s="1"/>
  <c r="AJ22" i="62" s="1"/>
  <c r="AJ23" i="62" s="1"/>
  <c r="AJ24" i="62" s="1"/>
  <c r="AJ25" i="62" s="1"/>
  <c r="AJ26" i="62" s="1"/>
  <c r="AJ27" i="62" s="1"/>
  <c r="AJ28" i="62" s="1"/>
  <c r="AJ29" i="62" s="1"/>
  <c r="AJ30" i="62" s="1"/>
  <c r="AJ31" i="62" s="1"/>
  <c r="AJ32" i="62" s="1"/>
  <c r="AJ33" i="62" s="1"/>
  <c r="AJ34" i="62" s="1"/>
  <c r="AJ35" i="62" s="1"/>
  <c r="AJ36" i="62" s="1"/>
  <c r="AJ37" i="62" s="1"/>
  <c r="AJ38" i="62" s="1"/>
  <c r="AJ39" i="62" s="1"/>
  <c r="AJ40" i="62" s="1"/>
  <c r="AJ41" i="62" s="1"/>
  <c r="AJ42" i="62" s="1"/>
  <c r="AJ43" i="62" s="1"/>
  <c r="AJ44" i="62" s="1"/>
  <c r="AJ45" i="62" s="1"/>
  <c r="AJ46" i="62" s="1"/>
  <c r="AJ47" i="62" s="1"/>
  <c r="AJ48" i="62" s="1"/>
  <c r="AJ49" i="62" s="1"/>
  <c r="AJ50" i="62" s="1"/>
  <c r="AJ51" i="62" s="1"/>
  <c r="AJ52" i="62" s="1"/>
  <c r="AJ53" i="62" s="1"/>
  <c r="AJ54" i="62" s="1"/>
  <c r="AJ55" i="62" s="1"/>
  <c r="AJ56" i="62" s="1"/>
  <c r="AJ57" i="62" s="1"/>
  <c r="AJ58" i="62" s="1"/>
  <c r="AJ59" i="62" s="1"/>
  <c r="AJ60" i="62" s="1"/>
  <c r="AJ61" i="62" s="1"/>
  <c r="AJ62" i="62" s="1"/>
  <c r="AJ63" i="62" s="1"/>
  <c r="AJ64" i="62" s="1"/>
  <c r="AJ65" i="62" s="1"/>
  <c r="AJ66" i="62" s="1"/>
  <c r="AJ67" i="62" s="1"/>
  <c r="AJ68" i="62" s="1"/>
  <c r="AJ69" i="62" s="1"/>
  <c r="AJ70" i="62" s="1"/>
  <c r="AJ71" i="62" s="1"/>
  <c r="AJ72" i="62" s="1"/>
  <c r="AJ73" i="62" s="1"/>
  <c r="AJ74" i="62" s="1"/>
  <c r="AJ75" i="62" s="1"/>
  <c r="AJ76" i="62" s="1"/>
  <c r="AJ77" i="62" s="1"/>
  <c r="AJ78" i="62" s="1"/>
  <c r="AJ79" i="62" s="1"/>
  <c r="AJ80" i="62" s="1"/>
  <c r="AJ81" i="62" s="1"/>
  <c r="AJ82" i="62" s="1"/>
  <c r="AJ83" i="62" s="1"/>
  <c r="AJ84" i="62" s="1"/>
  <c r="AJ85" i="62" s="1"/>
  <c r="AJ86" i="62" s="1"/>
  <c r="AJ87" i="62" s="1"/>
  <c r="AJ88" i="62" s="1"/>
  <c r="AJ89" i="62" s="1"/>
  <c r="AJ90" i="62" s="1"/>
  <c r="AJ91" i="62" s="1"/>
  <c r="AJ92" i="62" s="1"/>
  <c r="AJ93" i="62" s="1"/>
  <c r="AJ94" i="62" s="1"/>
  <c r="AJ95" i="62" s="1"/>
  <c r="AJ96" i="62" s="1"/>
  <c r="AJ97" i="62" s="1"/>
  <c r="AJ98" i="62" s="1"/>
  <c r="AJ99" i="62" s="1"/>
  <c r="AJ100" i="62" s="1"/>
  <c r="AJ101" i="62" s="1"/>
  <c r="AJ102" i="62" s="1"/>
  <c r="AJ103" i="62" s="1"/>
  <c r="AJ104" i="62" s="1"/>
  <c r="AJ105" i="62" s="1"/>
  <c r="AJ106" i="62" s="1"/>
  <c r="AJ107" i="62" s="1"/>
  <c r="AJ108" i="62" s="1"/>
  <c r="AJ109" i="62" s="1"/>
  <c r="AJ110" i="62" s="1"/>
  <c r="AJ111" i="62" s="1"/>
  <c r="AJ112" i="62" s="1"/>
  <c r="AJ113" i="62" s="1"/>
  <c r="AJ114" i="62" s="1"/>
  <c r="AJ115" i="62" s="1"/>
  <c r="AJ116" i="62" s="1"/>
  <c r="AJ117" i="62" s="1"/>
  <c r="AJ118" i="62" s="1"/>
  <c r="AJ119" i="62" s="1"/>
  <c r="AJ120" i="62" s="1"/>
  <c r="AJ121" i="62" s="1"/>
  <c r="AJ122" i="62" s="1"/>
  <c r="AJ123" i="62" s="1"/>
  <c r="AJ124" i="62" s="1"/>
  <c r="AJ125" i="62" s="1"/>
  <c r="AJ126" i="62" s="1"/>
  <c r="AJ127" i="62" s="1"/>
  <c r="AJ128" i="62" s="1"/>
  <c r="AJ129" i="62" s="1"/>
  <c r="AJ130" i="62" s="1"/>
  <c r="AJ131" i="62" s="1"/>
  <c r="AJ132" i="62" s="1"/>
  <c r="AJ133" i="62" s="1"/>
  <c r="AJ134" i="62" s="1"/>
  <c r="AJ135" i="62" s="1"/>
  <c r="AJ136" i="62" s="1"/>
  <c r="AJ137" i="62" s="1"/>
  <c r="AJ138" i="62" s="1"/>
  <c r="AJ139" i="62" s="1"/>
  <c r="AJ140" i="62" s="1"/>
  <c r="AJ141" i="62" s="1"/>
  <c r="AJ142" i="62" s="1"/>
  <c r="AJ143" i="62" s="1"/>
  <c r="AJ144" i="62" s="1"/>
  <c r="AJ145" i="62" s="1"/>
  <c r="AJ146" i="62" s="1"/>
  <c r="AJ147" i="62" s="1"/>
  <c r="AJ148" i="62" s="1"/>
  <c r="AJ149" i="62" s="1"/>
  <c r="AJ150" i="62" s="1"/>
  <c r="AJ151" i="62" s="1"/>
  <c r="AJ152" i="62" s="1"/>
  <c r="AJ153" i="62" s="1"/>
  <c r="AJ154" i="62" s="1"/>
  <c r="AJ155" i="62" s="1"/>
  <c r="AJ156" i="62" s="1"/>
  <c r="AJ157" i="62" s="1"/>
  <c r="AJ158" i="62" s="1"/>
  <c r="AJ159" i="62" s="1"/>
  <c r="AJ160" i="62" s="1"/>
  <c r="AJ161" i="62" s="1"/>
  <c r="AJ162" i="62" s="1"/>
  <c r="AJ163" i="62" s="1"/>
  <c r="AJ164" i="62" s="1"/>
  <c r="AJ165" i="62" s="1"/>
  <c r="AJ166" i="62" s="1"/>
  <c r="AJ167" i="62" s="1"/>
  <c r="AJ168" i="62" s="1"/>
  <c r="AJ169" i="62" s="1"/>
  <c r="AJ170" i="62" s="1"/>
  <c r="AJ171" i="62" s="1"/>
  <c r="AJ172" i="62" s="1"/>
  <c r="AJ173" i="62" s="1"/>
  <c r="AJ174" i="62" s="1"/>
  <c r="AJ175" i="62" s="1"/>
  <c r="AJ176" i="62" s="1"/>
  <c r="AJ177" i="62" s="1"/>
  <c r="AJ178" i="62" s="1"/>
  <c r="AJ179" i="62" s="1"/>
  <c r="AJ180" i="62" s="1"/>
  <c r="AJ181" i="62" s="1"/>
  <c r="AJ182" i="62" s="1"/>
  <c r="AJ183" i="62" s="1"/>
  <c r="AJ184" i="62" s="1"/>
  <c r="AJ185" i="62" s="1"/>
  <c r="AJ186" i="62" s="1"/>
  <c r="AJ187" i="62" s="1"/>
  <c r="AJ188" i="62" s="1"/>
  <c r="AJ189" i="62" s="1"/>
  <c r="AJ190" i="62" s="1"/>
  <c r="AJ191" i="62" s="1"/>
  <c r="AJ192" i="62" s="1"/>
  <c r="AJ193" i="62" s="1"/>
  <c r="AJ194" i="62" s="1"/>
  <c r="AJ195" i="62" s="1"/>
  <c r="AJ196" i="62" s="1"/>
  <c r="AJ197" i="62" s="1"/>
  <c r="AJ198" i="62" s="1"/>
  <c r="AJ199" i="62" s="1"/>
  <c r="AJ200" i="62" s="1"/>
  <c r="AJ201" i="62" s="1"/>
  <c r="D12" i="35"/>
  <c r="D13" i="35" s="1"/>
  <c r="D14" i="35" s="1"/>
  <c r="D15" i="35" s="1"/>
  <c r="D16" i="35" s="1"/>
  <c r="D18" i="35" s="1"/>
  <c r="D19" i="35" s="1"/>
  <c r="D20" i="35" s="1"/>
  <c r="D21" i="35" s="1"/>
  <c r="D22" i="35" s="1"/>
  <c r="D23" i="35" s="1"/>
  <c r="D24" i="35" s="1"/>
  <c r="D25" i="35" s="1"/>
  <c r="D26" i="35" s="1"/>
  <c r="D27" i="35" s="1"/>
  <c r="D28" i="35" s="1"/>
  <c r="D29" i="35" s="1"/>
  <c r="D30" i="35" s="1"/>
  <c r="D31" i="35" s="1"/>
  <c r="D32" i="35" s="1"/>
  <c r="D33" i="35" s="1"/>
  <c r="D34" i="35" s="1"/>
  <c r="D35" i="35" s="1"/>
  <c r="D36" i="35" s="1"/>
  <c r="D37" i="35" s="1"/>
  <c r="D38" i="35" s="1"/>
  <c r="D39" i="35" s="1"/>
  <c r="D40" i="35" s="1"/>
  <c r="D41" i="35" s="1"/>
  <c r="D42" i="35" s="1"/>
  <c r="D43" i="35" s="1"/>
  <c r="D44" i="35" s="1"/>
  <c r="D45" i="35" s="1"/>
  <c r="D46" i="35" s="1"/>
  <c r="D47" i="35" s="1"/>
  <c r="D48" i="35" s="1"/>
  <c r="D49" i="35" s="1"/>
  <c r="D50" i="35" s="1"/>
  <c r="D51" i="35" s="1"/>
  <c r="D52" i="35" s="1"/>
  <c r="D53" i="35" s="1"/>
  <c r="D54" i="35" s="1"/>
  <c r="D55" i="35" s="1"/>
  <c r="D56" i="35" s="1"/>
  <c r="D57" i="35" s="1"/>
  <c r="D58" i="35" s="1"/>
  <c r="D59" i="35" s="1"/>
  <c r="D60" i="35" s="1"/>
  <c r="D61" i="35" s="1"/>
  <c r="D62" i="35" s="1"/>
  <c r="D63" i="35" s="1"/>
  <c r="D64" i="35" s="1"/>
  <c r="D65" i="35" s="1"/>
  <c r="D66" i="35" s="1"/>
  <c r="D67" i="35" s="1"/>
  <c r="D68" i="35" s="1"/>
  <c r="D69" i="35" s="1"/>
  <c r="D70" i="35" s="1"/>
  <c r="D71" i="35" s="1"/>
  <c r="D72" i="35" s="1"/>
  <c r="D73" i="35" s="1"/>
  <c r="D74" i="35" s="1"/>
  <c r="D75" i="35" s="1"/>
  <c r="D76" i="35" s="1"/>
  <c r="D77" i="35" s="1"/>
  <c r="D78" i="35" s="1"/>
  <c r="D79" i="35" s="1"/>
  <c r="D80" i="35" s="1"/>
  <c r="D81" i="35" s="1"/>
  <c r="D82" i="35" s="1"/>
  <c r="D83" i="35" s="1"/>
  <c r="D84" i="35" s="1"/>
  <c r="D85" i="35" s="1"/>
  <c r="D86" i="35" s="1"/>
  <c r="D87" i="35" s="1"/>
  <c r="D88" i="35" s="1"/>
  <c r="D89" i="35" s="1"/>
  <c r="D90" i="35" s="1"/>
  <c r="D91" i="35" s="1"/>
  <c r="D92" i="35" s="1"/>
  <c r="D93" i="35" s="1"/>
  <c r="D94" i="35" s="1"/>
  <c r="D95" i="35" s="1"/>
  <c r="D96" i="35" s="1"/>
  <c r="D97" i="35" s="1"/>
  <c r="D98" i="35" s="1"/>
  <c r="D99" i="35" s="1"/>
  <c r="D100" i="35" s="1"/>
  <c r="D101" i="35" s="1"/>
  <c r="D102" i="35" s="1"/>
  <c r="D103" i="35" s="1"/>
  <c r="D104" i="35" s="1"/>
  <c r="D105" i="35" s="1"/>
  <c r="D106" i="35" s="1"/>
  <c r="D107" i="35" s="1"/>
  <c r="D108" i="35" s="1"/>
  <c r="D109" i="35" s="1"/>
  <c r="D110" i="35" s="1"/>
  <c r="D111" i="35" s="1"/>
  <c r="D112" i="35" s="1"/>
  <c r="D113" i="35" s="1"/>
  <c r="D114" i="35" s="1"/>
  <c r="D115" i="35" s="1"/>
  <c r="D116" i="35" s="1"/>
  <c r="D117" i="35" s="1"/>
  <c r="D118" i="35" s="1"/>
  <c r="D119" i="35" s="1"/>
  <c r="D120" i="35" s="1"/>
  <c r="D122" i="35" s="1"/>
  <c r="D123" i="35" s="1"/>
  <c r="D124" i="35" s="1"/>
  <c r="D125" i="35" s="1"/>
  <c r="D126" i="35" s="1"/>
  <c r="D127" i="35" s="1"/>
  <c r="D128" i="35" s="1"/>
  <c r="D129" i="35" s="1"/>
  <c r="D130" i="35" s="1"/>
  <c r="D131" i="35" s="1"/>
  <c r="D132" i="35" s="1"/>
  <c r="D133" i="35" s="1"/>
  <c r="D134" i="35" s="1"/>
  <c r="D135" i="35" s="1"/>
  <c r="D136" i="35" s="1"/>
  <c r="D137" i="35" s="1"/>
  <c r="D138" i="35" s="1"/>
  <c r="D139" i="35" s="1"/>
  <c r="D140" i="35" s="1"/>
  <c r="D141" i="35" s="1"/>
  <c r="D142" i="35" s="1"/>
  <c r="D143" i="35" s="1"/>
  <c r="D144" i="35" s="1"/>
  <c r="D145" i="35" s="1"/>
  <c r="D146" i="35" s="1"/>
  <c r="D147" i="35" s="1"/>
  <c r="D148" i="35" s="1"/>
  <c r="D149" i="35" s="1"/>
  <c r="D150" i="35" s="1"/>
  <c r="D151" i="35" s="1"/>
  <c r="D152" i="35" s="1"/>
  <c r="D153" i="35" s="1"/>
  <c r="D154" i="35" s="1"/>
  <c r="D155" i="35" s="1"/>
  <c r="D156" i="35" s="1"/>
  <c r="D157" i="35" s="1"/>
  <c r="D158" i="35" s="1"/>
  <c r="D159" i="35" s="1"/>
  <c r="D160" i="35" s="1"/>
  <c r="D161" i="35" s="1"/>
  <c r="D162" i="35" s="1"/>
  <c r="D163" i="35" s="1"/>
  <c r="D164" i="35" s="1"/>
  <c r="D165" i="35" s="1"/>
  <c r="D166" i="35" s="1"/>
  <c r="D167" i="35" s="1"/>
  <c r="D168" i="35" s="1"/>
  <c r="D169" i="35" s="1"/>
  <c r="D170" i="35" s="1"/>
  <c r="D171" i="35" s="1"/>
  <c r="D172" i="35" s="1"/>
  <c r="D173" i="35" s="1"/>
  <c r="D174" i="35" s="1"/>
  <c r="D175" i="35" s="1"/>
  <c r="D176" i="35" s="1"/>
  <c r="D177" i="35" s="1"/>
  <c r="D178" i="35" s="1"/>
  <c r="D179" i="35" s="1"/>
  <c r="D180" i="35" s="1"/>
  <c r="D181" i="35" s="1"/>
  <c r="D182" i="35" s="1"/>
  <c r="D183" i="35" s="1"/>
  <c r="D184" i="35" s="1"/>
  <c r="D185" i="35" s="1"/>
  <c r="D186" i="35" s="1"/>
  <c r="D188" i="35" s="1"/>
  <c r="D189" i="35" s="1"/>
  <c r="D190" i="35" s="1"/>
  <c r="D191" i="35" s="1"/>
  <c r="D192" i="35" s="1"/>
  <c r="D193" i="35" s="1"/>
  <c r="D194" i="35" s="1"/>
  <c r="D195" i="35" s="1"/>
  <c r="D196" i="35" s="1"/>
  <c r="D197" i="35" s="1"/>
  <c r="D198" i="35" s="1"/>
  <c r="D199" i="35" s="1"/>
  <c r="D200" i="35" s="1"/>
  <c r="D201" i="35" s="1"/>
  <c r="D202" i="35" s="1"/>
  <c r="D203" i="35" s="1"/>
  <c r="D204" i="35" s="1"/>
  <c r="D205" i="35" s="1"/>
  <c r="D206" i="35" s="1"/>
  <c r="D207" i="35" s="1"/>
  <c r="D208" i="35" s="1"/>
  <c r="D209" i="35" s="1"/>
  <c r="D210" i="35" s="1"/>
  <c r="D211" i="35" s="1"/>
  <c r="D212" i="35" s="1"/>
  <c r="D213" i="35" s="1"/>
  <c r="D214" i="35" s="1"/>
  <c r="D215" i="35" s="1"/>
  <c r="D216" i="35" s="1"/>
  <c r="D217" i="35" s="1"/>
  <c r="D218" i="35" s="1"/>
  <c r="D219" i="35" s="1"/>
  <c r="D220" i="35" s="1"/>
  <c r="D221" i="35" s="1"/>
  <c r="D222" i="35" s="1"/>
  <c r="D223" i="35" s="1"/>
  <c r="D224" i="35" s="1"/>
  <c r="D225" i="35" s="1"/>
  <c r="D226" i="35" s="1"/>
  <c r="D227" i="35" s="1"/>
  <c r="D228" i="35" s="1"/>
  <c r="D229" i="35" s="1"/>
  <c r="D230" i="35" s="1"/>
  <c r="D231" i="35" s="1"/>
  <c r="D232" i="35" s="1"/>
  <c r="D233" i="35" s="1"/>
  <c r="D234" i="35" s="1"/>
  <c r="D235" i="35" s="1"/>
  <c r="D236" i="35" s="1"/>
  <c r="D237" i="35" s="1"/>
  <c r="D238" i="35" s="1"/>
  <c r="D239" i="35" s="1"/>
  <c r="D240" i="35" s="1"/>
  <c r="D241" i="35" s="1"/>
  <c r="D242" i="35" s="1"/>
  <c r="D243" i="35" s="1"/>
  <c r="D244" i="35" s="1"/>
  <c r="D245" i="35" s="1"/>
  <c r="D246" i="35" s="1"/>
  <c r="D247" i="35" s="1"/>
  <c r="D248" i="35" s="1"/>
  <c r="D249" i="35" s="1"/>
  <c r="D250" i="35" s="1"/>
  <c r="D251" i="35" s="1"/>
  <c r="D252" i="35" s="1"/>
  <c r="D253" i="35" s="1"/>
  <c r="D254" i="35" s="1"/>
  <c r="D255" i="35" s="1"/>
  <c r="D256" i="35" s="1"/>
  <c r="D257" i="35" s="1"/>
  <c r="D258" i="35" s="1"/>
  <c r="D259" i="35" s="1"/>
  <c r="D260" i="35" s="1"/>
  <c r="D261" i="35" s="1"/>
  <c r="D262" i="35" s="1"/>
  <c r="D263" i="35" s="1"/>
  <c r="K228" i="69" l="1"/>
  <c r="P229" i="69"/>
  <c r="O228" i="69"/>
  <c r="T229" i="69"/>
  <c r="N228" i="69"/>
  <c r="S229" i="69"/>
  <c r="L228" i="69"/>
  <c r="Q229" i="69"/>
  <c r="G227" i="69"/>
  <c r="H227" i="69"/>
  <c r="F227" i="69"/>
  <c r="I227" i="69"/>
  <c r="J227" i="69"/>
  <c r="R229" i="69"/>
  <c r="M228" i="69"/>
  <c r="E228" i="69"/>
  <c r="C229" i="69"/>
  <c r="AJ202" i="62"/>
  <c r="AJ203" i="62" s="1"/>
  <c r="AJ204" i="62" s="1"/>
  <c r="AJ205" i="62" s="1"/>
  <c r="AJ206" i="62" s="1"/>
  <c r="AJ207" i="62" s="1"/>
  <c r="AJ208" i="62" s="1"/>
  <c r="AJ209" i="62" s="1"/>
  <c r="AJ210" i="62" s="1"/>
  <c r="AJ211" i="62" s="1"/>
  <c r="AJ212" i="62" s="1"/>
  <c r="AJ213" i="62" s="1"/>
  <c r="AJ214" i="62" s="1"/>
  <c r="AJ215" i="62" s="1"/>
  <c r="AJ216" i="62" s="1"/>
  <c r="AJ217" i="62" s="1"/>
  <c r="AJ218" i="62" s="1"/>
  <c r="AJ219" i="62" s="1"/>
  <c r="AJ220" i="62" s="1"/>
  <c r="AJ221" i="62" s="1"/>
  <c r="AJ222" i="62" s="1"/>
  <c r="AJ223" i="62" s="1"/>
  <c r="AJ224" i="62" s="1"/>
  <c r="AJ225" i="62" s="1"/>
  <c r="AJ226" i="62" s="1"/>
  <c r="AJ227" i="62" s="1"/>
  <c r="AJ228" i="62" s="1"/>
  <c r="AJ229" i="62" s="1"/>
  <c r="AJ230" i="62" s="1"/>
  <c r="AJ231" i="62" s="1"/>
  <c r="AJ232" i="62" s="1"/>
  <c r="AJ233" i="62" s="1"/>
  <c r="AJ234" i="62" s="1"/>
  <c r="AJ235" i="62" s="1"/>
  <c r="AJ236" i="62" s="1"/>
  <c r="AJ237" i="62" s="1"/>
  <c r="AJ238" i="62" s="1"/>
  <c r="AJ239" i="62" s="1"/>
  <c r="AJ240" i="62" s="1"/>
  <c r="AJ241" i="62" s="1"/>
  <c r="AJ242" i="62" s="1"/>
  <c r="AJ243" i="62" s="1"/>
  <c r="AJ244" i="62" s="1"/>
  <c r="AJ245" i="62" s="1"/>
  <c r="AJ246" i="62" s="1"/>
  <c r="AJ247" i="62" s="1"/>
  <c r="AJ248" i="62" s="1"/>
  <c r="AJ249" i="62" s="1"/>
  <c r="AJ250" i="62" s="1"/>
  <c r="AJ251" i="62" s="1"/>
  <c r="AJ252" i="62" s="1"/>
  <c r="AJ253" i="62" s="1"/>
  <c r="AJ254" i="62" s="1"/>
  <c r="AJ255" i="62" s="1"/>
  <c r="AJ256" i="62" s="1"/>
  <c r="AJ257" i="62" s="1"/>
  <c r="AJ258" i="62" s="1"/>
  <c r="AJ259" i="62" s="1"/>
  <c r="AJ260" i="62" s="1"/>
  <c r="AJ261" i="62" s="1"/>
  <c r="AJ262" i="62" s="1"/>
  <c r="AJ263" i="62" s="1"/>
  <c r="AJ264" i="62" s="1"/>
  <c r="AJ265" i="62" s="1"/>
  <c r="AJ266" i="62" s="1"/>
  <c r="D202" i="62"/>
  <c r="D203" i="62" s="1"/>
  <c r="D204" i="62" s="1"/>
  <c r="D205" i="62" s="1"/>
  <c r="D206" i="62" s="1"/>
  <c r="D207" i="62" s="1"/>
  <c r="D208" i="62" s="1"/>
  <c r="D209" i="62" s="1"/>
  <c r="D210" i="62" s="1"/>
  <c r="D211" i="62" s="1"/>
  <c r="D212" i="62" s="1"/>
  <c r="D213" i="62" s="1"/>
  <c r="D214" i="62" s="1"/>
  <c r="D215" i="62" s="1"/>
  <c r="D216" i="62" s="1"/>
  <c r="D217" i="62" s="1"/>
  <c r="D218" i="62" s="1"/>
  <c r="D219" i="62" s="1"/>
  <c r="D220" i="62" s="1"/>
  <c r="D221" i="62" s="1"/>
  <c r="D222" i="62" s="1"/>
  <c r="D223" i="62" s="1"/>
  <c r="D224" i="62" s="1"/>
  <c r="D225" i="62" s="1"/>
  <c r="AG202" i="62"/>
  <c r="AG203" i="62" s="1"/>
  <c r="AG204" i="62" s="1"/>
  <c r="AG205" i="62" s="1"/>
  <c r="AG206" i="62" s="1"/>
  <c r="AG207" i="62" s="1"/>
  <c r="AG208" i="62" s="1"/>
  <c r="AG209" i="62" s="1"/>
  <c r="AG210" i="62" s="1"/>
  <c r="AG211" i="62" s="1"/>
  <c r="AG212" i="62" s="1"/>
  <c r="AG213" i="62" s="1"/>
  <c r="AG214" i="62" s="1"/>
  <c r="AG215" i="62" s="1"/>
  <c r="AG216" i="62" s="1"/>
  <c r="AG217" i="62" s="1"/>
  <c r="AG218" i="62" s="1"/>
  <c r="AG219" i="62" s="1"/>
  <c r="AG220" i="62" s="1"/>
  <c r="AG221" i="62" s="1"/>
  <c r="AG222" i="62" s="1"/>
  <c r="AG223" i="62" s="1"/>
  <c r="AG224" i="62" s="1"/>
  <c r="AG225" i="62" s="1"/>
  <c r="AG226" i="62" s="1"/>
  <c r="AG227" i="62" s="1"/>
  <c r="AG228" i="62" s="1"/>
  <c r="AG229" i="62" s="1"/>
  <c r="AG230" i="62" s="1"/>
  <c r="AG231" i="62" s="1"/>
  <c r="AG232" i="62" s="1"/>
  <c r="AG233" i="62" s="1"/>
  <c r="AG234" i="62" s="1"/>
  <c r="AG235" i="62" s="1"/>
  <c r="AG236" i="62" s="1"/>
  <c r="AG237" i="62" s="1"/>
  <c r="AG238" i="62" s="1"/>
  <c r="AG239" i="62" s="1"/>
  <c r="AG240" i="62" s="1"/>
  <c r="AG241" i="62" s="1"/>
  <c r="AG242" i="62" s="1"/>
  <c r="AG243" i="62" s="1"/>
  <c r="AG244" i="62" s="1"/>
  <c r="AG245" i="62" s="1"/>
  <c r="AG246" i="62" s="1"/>
  <c r="AG247" i="62" s="1"/>
  <c r="AG248" i="62" s="1"/>
  <c r="AG249" i="62" s="1"/>
  <c r="AG250" i="62" s="1"/>
  <c r="AG251" i="62" s="1"/>
  <c r="AG252" i="62" s="1"/>
  <c r="AG253" i="62" s="1"/>
  <c r="AG254" i="62" s="1"/>
  <c r="AG255" i="62" s="1"/>
  <c r="AG256" i="62" s="1"/>
  <c r="AG257" i="62" s="1"/>
  <c r="AG258" i="62" s="1"/>
  <c r="AG259" i="62" s="1"/>
  <c r="AG260" i="62" s="1"/>
  <c r="AG261" i="62" s="1"/>
  <c r="AG262" i="62" s="1"/>
  <c r="AG263" i="62" s="1"/>
  <c r="AG264" i="62" s="1"/>
  <c r="AG265" i="62" s="1"/>
  <c r="AG266" i="62" s="1"/>
  <c r="U202" i="62"/>
  <c r="AH202" i="62"/>
  <c r="AH203" i="62" s="1"/>
  <c r="AH204" i="62" s="1"/>
  <c r="AH205" i="62" s="1"/>
  <c r="AH206" i="62" s="1"/>
  <c r="AH207" i="62" s="1"/>
  <c r="AH208" i="62" s="1"/>
  <c r="AH209" i="62" s="1"/>
  <c r="AH210" i="62" s="1"/>
  <c r="AH211" i="62" s="1"/>
  <c r="AH212" i="62" s="1"/>
  <c r="AH213" i="62" s="1"/>
  <c r="AH214" i="62" s="1"/>
  <c r="AH215" i="62" s="1"/>
  <c r="AH216" i="62" s="1"/>
  <c r="AH217" i="62" s="1"/>
  <c r="AH218" i="62" s="1"/>
  <c r="AH219" i="62" s="1"/>
  <c r="AH220" i="62" s="1"/>
  <c r="AH221" i="62" s="1"/>
  <c r="AH222" i="62" s="1"/>
  <c r="AH223" i="62" s="1"/>
  <c r="AH224" i="62" s="1"/>
  <c r="AH225" i="62" s="1"/>
  <c r="AH226" i="62" s="1"/>
  <c r="AH227" i="62" s="1"/>
  <c r="AH228" i="62" s="1"/>
  <c r="AH229" i="62" s="1"/>
  <c r="AH230" i="62" s="1"/>
  <c r="AH231" i="62" s="1"/>
  <c r="AH232" i="62" s="1"/>
  <c r="AH233" i="62" s="1"/>
  <c r="AH234" i="62" s="1"/>
  <c r="AH235" i="62" s="1"/>
  <c r="AH236" i="62" s="1"/>
  <c r="AH237" i="62" s="1"/>
  <c r="AH238" i="62" s="1"/>
  <c r="AH239" i="62" s="1"/>
  <c r="AH240" i="62" s="1"/>
  <c r="AH241" i="62" s="1"/>
  <c r="AH242" i="62" s="1"/>
  <c r="AH243" i="62" s="1"/>
  <c r="AH244" i="62" s="1"/>
  <c r="AH245" i="62" s="1"/>
  <c r="AH246" i="62" s="1"/>
  <c r="AH247" i="62" s="1"/>
  <c r="AH248" i="62" s="1"/>
  <c r="AH249" i="62" s="1"/>
  <c r="AH250" i="62" s="1"/>
  <c r="AH251" i="62" s="1"/>
  <c r="AH252" i="62" s="1"/>
  <c r="AH253" i="62" s="1"/>
  <c r="AH254" i="62" s="1"/>
  <c r="AH255" i="62" s="1"/>
  <c r="AH256" i="62" s="1"/>
  <c r="AH257" i="62" s="1"/>
  <c r="AH258" i="62" s="1"/>
  <c r="AH259" i="62" s="1"/>
  <c r="AH260" i="62" s="1"/>
  <c r="AH261" i="62" s="1"/>
  <c r="AH262" i="62" s="1"/>
  <c r="AH263" i="62" s="1"/>
  <c r="AH264" i="62" s="1"/>
  <c r="AH265" i="62" s="1"/>
  <c r="AH266" i="62" s="1"/>
  <c r="AI202" i="62"/>
  <c r="AI203" i="62" s="1"/>
  <c r="AI204" i="62" s="1"/>
  <c r="AI205" i="62" s="1"/>
  <c r="AI206" i="62" s="1"/>
  <c r="AI207" i="62" s="1"/>
  <c r="AI208" i="62" s="1"/>
  <c r="AI209" i="62" s="1"/>
  <c r="AI210" i="62" s="1"/>
  <c r="AI211" i="62" s="1"/>
  <c r="AI212" i="62" s="1"/>
  <c r="AI213" i="62" s="1"/>
  <c r="AI214" i="62" s="1"/>
  <c r="AI215" i="62" s="1"/>
  <c r="AI216" i="62" s="1"/>
  <c r="AI217" i="62" s="1"/>
  <c r="AI218" i="62" s="1"/>
  <c r="AI219" i="62" s="1"/>
  <c r="AI220" i="62" s="1"/>
  <c r="AI221" i="62" s="1"/>
  <c r="AI222" i="62" s="1"/>
  <c r="AI223" i="62" s="1"/>
  <c r="AI224" i="62" s="1"/>
  <c r="AI225" i="62" s="1"/>
  <c r="AI226" i="62" s="1"/>
  <c r="AI227" i="62" s="1"/>
  <c r="AI228" i="62" s="1"/>
  <c r="AI229" i="62" s="1"/>
  <c r="AI230" i="62" s="1"/>
  <c r="AI231" i="62" s="1"/>
  <c r="AI232" i="62" s="1"/>
  <c r="AI233" i="62" s="1"/>
  <c r="AI234" i="62" s="1"/>
  <c r="AI235" i="62" s="1"/>
  <c r="AI236" i="62" s="1"/>
  <c r="AI237" i="62" s="1"/>
  <c r="AI238" i="62" s="1"/>
  <c r="AI239" i="62" s="1"/>
  <c r="AI240" i="62" s="1"/>
  <c r="AI241" i="62" s="1"/>
  <c r="AI242" i="62" s="1"/>
  <c r="AI243" i="62" s="1"/>
  <c r="AI244" i="62" s="1"/>
  <c r="AI245" i="62" s="1"/>
  <c r="AI246" i="62" s="1"/>
  <c r="AI247" i="62" s="1"/>
  <c r="AI248" i="62" s="1"/>
  <c r="V202" i="62"/>
  <c r="V203" i="62" s="1"/>
  <c r="V204" i="62" s="1"/>
  <c r="V205" i="62" s="1"/>
  <c r="V206" i="62" s="1"/>
  <c r="V207" i="62" s="1"/>
  <c r="V208" i="62" s="1"/>
  <c r="V209" i="62" s="1"/>
  <c r="V210" i="62" s="1"/>
  <c r="V211" i="62" s="1"/>
  <c r="V212" i="62" s="1"/>
  <c r="V213" i="62" s="1"/>
  <c r="V214" i="62" s="1"/>
  <c r="V215" i="62" s="1"/>
  <c r="V216" i="62" s="1"/>
  <c r="V217" i="62" s="1"/>
  <c r="V218" i="62" s="1"/>
  <c r="V219" i="62" s="1"/>
  <c r="V220" i="62" s="1"/>
  <c r="V221" i="62" s="1"/>
  <c r="V222" i="62" s="1"/>
  <c r="V223" i="62" s="1"/>
  <c r="V224" i="62" s="1"/>
  <c r="V225" i="62" s="1"/>
  <c r="V226" i="62" s="1"/>
  <c r="V227" i="62" s="1"/>
  <c r="V228" i="62" s="1"/>
  <c r="V229" i="62" s="1"/>
  <c r="V230" i="62" s="1"/>
  <c r="V231" i="62" s="1"/>
  <c r="V232" i="62" s="1"/>
  <c r="V233" i="62" s="1"/>
  <c r="V234" i="62" s="1"/>
  <c r="V235" i="62" s="1"/>
  <c r="V236" i="62" s="1"/>
  <c r="V237" i="62" s="1"/>
  <c r="V238" i="62" s="1"/>
  <c r="V239" i="62" s="1"/>
  <c r="V240" i="62" s="1"/>
  <c r="V241" i="62" s="1"/>
  <c r="V242" i="62" s="1"/>
  <c r="V243" i="62" s="1"/>
  <c r="V244" i="62" s="1"/>
  <c r="V245" i="62" s="1"/>
  <c r="V246" i="62" s="1"/>
  <c r="V247" i="62" s="1"/>
  <c r="V248" i="62" s="1"/>
  <c r="V249" i="62" s="1"/>
  <c r="W202" i="62"/>
  <c r="W203" i="62" s="1"/>
  <c r="W204" i="62" s="1"/>
  <c r="W205" i="62" s="1"/>
  <c r="W206" i="62" s="1"/>
  <c r="W207" i="62" s="1"/>
  <c r="W208" i="62" s="1"/>
  <c r="W209" i="62" s="1"/>
  <c r="W210" i="62" s="1"/>
  <c r="W211" i="62" s="1"/>
  <c r="W212" i="62" s="1"/>
  <c r="W213" i="62" s="1"/>
  <c r="W214" i="62" s="1"/>
  <c r="W215" i="62" s="1"/>
  <c r="W216" i="62" s="1"/>
  <c r="W217" i="62" s="1"/>
  <c r="W218" i="62" s="1"/>
  <c r="W219" i="62" s="1"/>
  <c r="W220" i="62" s="1"/>
  <c r="W221" i="62" s="1"/>
  <c r="W222" i="62" s="1"/>
  <c r="W223" i="62" s="1"/>
  <c r="W224" i="62" s="1"/>
  <c r="W225" i="62" s="1"/>
  <c r="W226" i="62" s="1"/>
  <c r="W227" i="62" s="1"/>
  <c r="W228" i="62" s="1"/>
  <c r="W229" i="62" s="1"/>
  <c r="W230" i="62" s="1"/>
  <c r="W231" i="62" s="1"/>
  <c r="W232" i="62" s="1"/>
  <c r="W233" i="62" s="1"/>
  <c r="W234" i="62" s="1"/>
  <c r="W235" i="62" s="1"/>
  <c r="W236" i="62" s="1"/>
  <c r="W237" i="62" s="1"/>
  <c r="W238" i="62" s="1"/>
  <c r="W239" i="62" s="1"/>
  <c r="W240" i="62" s="1"/>
  <c r="W241" i="62" s="1"/>
  <c r="W242" i="62" s="1"/>
  <c r="W243" i="62" s="1"/>
  <c r="W244" i="62" s="1"/>
  <c r="W245" i="62" s="1"/>
  <c r="W246" i="62" s="1"/>
  <c r="W247" i="62" s="1"/>
  <c r="W248" i="62" s="1"/>
  <c r="W249" i="62" s="1"/>
  <c r="X202" i="62"/>
  <c r="X203" i="62" s="1"/>
  <c r="X204" i="62" s="1"/>
  <c r="X205" i="62" s="1"/>
  <c r="X206" i="62" s="1"/>
  <c r="X207" i="62" s="1"/>
  <c r="X208" i="62" s="1"/>
  <c r="X209" i="62" s="1"/>
  <c r="X210" i="62" s="1"/>
  <c r="X211" i="62" s="1"/>
  <c r="X212" i="62" s="1"/>
  <c r="X213" i="62" s="1"/>
  <c r="X214" i="62" s="1"/>
  <c r="X215" i="62" s="1"/>
  <c r="X216" i="62" s="1"/>
  <c r="X217" i="62" s="1"/>
  <c r="X218" i="62" s="1"/>
  <c r="X219" i="62" s="1"/>
  <c r="X220" i="62" s="1"/>
  <c r="X221" i="62" s="1"/>
  <c r="X222" i="62" s="1"/>
  <c r="X223" i="62" s="1"/>
  <c r="X224" i="62" s="1"/>
  <c r="X225" i="62" s="1"/>
  <c r="X226" i="62" s="1"/>
  <c r="X227" i="62" s="1"/>
  <c r="X228" i="62" s="1"/>
  <c r="X229" i="62" s="1"/>
  <c r="X230" i="62" s="1"/>
  <c r="X231" i="62" s="1"/>
  <c r="X232" i="62" s="1"/>
  <c r="X233" i="62" s="1"/>
  <c r="X234" i="62" s="1"/>
  <c r="X235" i="62" s="1"/>
  <c r="X236" i="62" s="1"/>
  <c r="X237" i="62" s="1"/>
  <c r="X238" i="62" s="1"/>
  <c r="X239" i="62" s="1"/>
  <c r="X240" i="62" s="1"/>
  <c r="X241" i="62" s="1"/>
  <c r="X242" i="62" s="1"/>
  <c r="X243" i="62" s="1"/>
  <c r="X244" i="62" s="1"/>
  <c r="X245" i="62" s="1"/>
  <c r="X246" i="62" s="1"/>
  <c r="X247" i="62" s="1"/>
  <c r="X248" i="62" s="1"/>
  <c r="X249" i="62" s="1"/>
  <c r="Y202" i="62"/>
  <c r="AL202" i="62"/>
  <c r="AL203" i="62" s="1"/>
  <c r="AL204" i="62" s="1"/>
  <c r="AL205" i="62" s="1"/>
  <c r="AL206" i="62" s="1"/>
  <c r="AL207" i="62" s="1"/>
  <c r="AL208" i="62" s="1"/>
  <c r="AL209" i="62" s="1"/>
  <c r="AL210" i="62" s="1"/>
  <c r="AL211" i="62" s="1"/>
  <c r="AL212" i="62" s="1"/>
  <c r="AL213" i="62" s="1"/>
  <c r="AL214" i="62" s="1"/>
  <c r="AL215" i="62" s="1"/>
  <c r="AL216" i="62" s="1"/>
  <c r="AL217" i="62" s="1"/>
  <c r="AL218" i="62" s="1"/>
  <c r="AL219" i="62" s="1"/>
  <c r="AL220" i="62" s="1"/>
  <c r="AL221" i="62" s="1"/>
  <c r="AL222" i="62" s="1"/>
  <c r="AL223" i="62" s="1"/>
  <c r="AL224" i="62" s="1"/>
  <c r="AL225" i="62" s="1"/>
  <c r="AL226" i="62" s="1"/>
  <c r="AL227" i="62" s="1"/>
  <c r="AL228" i="62" s="1"/>
  <c r="AL229" i="62" s="1"/>
  <c r="AL230" i="62" s="1"/>
  <c r="AL231" i="62" s="1"/>
  <c r="AL232" i="62" s="1"/>
  <c r="AL233" i="62" s="1"/>
  <c r="AL234" i="62" s="1"/>
  <c r="AL235" i="62" s="1"/>
  <c r="AL236" i="62" s="1"/>
  <c r="AL237" i="62" s="1"/>
  <c r="AL238" i="62" s="1"/>
  <c r="AL239" i="62" s="1"/>
  <c r="AL240" i="62" s="1"/>
  <c r="AL241" i="62" s="1"/>
  <c r="AL242" i="62" s="1"/>
  <c r="AL243" i="62" s="1"/>
  <c r="AL244" i="62" s="1"/>
  <c r="AL245" i="62" s="1"/>
  <c r="AL246" i="62" s="1"/>
  <c r="AL247" i="62" s="1"/>
  <c r="AL248" i="62" s="1"/>
  <c r="AE202" i="62"/>
  <c r="AE203" i="62" s="1"/>
  <c r="AE204" i="62" s="1"/>
  <c r="AE205" i="62" s="1"/>
  <c r="AE206" i="62" s="1"/>
  <c r="AE207" i="62" s="1"/>
  <c r="AE208" i="62" s="1"/>
  <c r="AE209" i="62" s="1"/>
  <c r="AE210" i="62" s="1"/>
  <c r="AE211" i="62" s="1"/>
  <c r="AE212" i="62" s="1"/>
  <c r="AE213" i="62" s="1"/>
  <c r="AE214" i="62" s="1"/>
  <c r="AE215" i="62" s="1"/>
  <c r="AE216" i="62" s="1"/>
  <c r="AE217" i="62" s="1"/>
  <c r="AE218" i="62" s="1"/>
  <c r="AE219" i="62" s="1"/>
  <c r="AE220" i="62" s="1"/>
  <c r="AE221" i="62" s="1"/>
  <c r="AE222" i="62" s="1"/>
  <c r="AE223" i="62" s="1"/>
  <c r="AE224" i="62" s="1"/>
  <c r="AE225" i="62" s="1"/>
  <c r="AE226" i="62" s="1"/>
  <c r="AE227" i="62" s="1"/>
  <c r="AE228" i="62" s="1"/>
  <c r="AE229" i="62" s="1"/>
  <c r="AE230" i="62" s="1"/>
  <c r="AE231" i="62" s="1"/>
  <c r="AE232" i="62" s="1"/>
  <c r="AE233" i="62" s="1"/>
  <c r="AE234" i="62" s="1"/>
  <c r="AE235" i="62" s="1"/>
  <c r="AE236" i="62" s="1"/>
  <c r="AE237" i="62" s="1"/>
  <c r="AE238" i="62" s="1"/>
  <c r="AE239" i="62" s="1"/>
  <c r="AE240" i="62" s="1"/>
  <c r="AE241" i="62" s="1"/>
  <c r="AE242" i="62" s="1"/>
  <c r="AE243" i="62" s="1"/>
  <c r="AE244" i="62" s="1"/>
  <c r="AE245" i="62" s="1"/>
  <c r="AE246" i="62" s="1"/>
  <c r="AE247" i="62" s="1"/>
  <c r="AE248" i="62" s="1"/>
  <c r="AE249" i="62" s="1"/>
  <c r="AE250" i="62" s="1"/>
  <c r="AE251" i="62" s="1"/>
  <c r="AE252" i="62" s="1"/>
  <c r="AE253" i="62" s="1"/>
  <c r="AE254" i="62" s="1"/>
  <c r="AE255" i="62" s="1"/>
  <c r="AE256" i="62" s="1"/>
  <c r="AE257" i="62" s="1"/>
  <c r="AE258" i="62" s="1"/>
  <c r="AE259" i="62" s="1"/>
  <c r="AE260" i="62" s="1"/>
  <c r="AE261" i="62" s="1"/>
  <c r="AE262" i="62" s="1"/>
  <c r="AE263" i="62" s="1"/>
  <c r="AE264" i="62" s="1"/>
  <c r="AE265" i="62" s="1"/>
  <c r="AE266" i="62" s="1"/>
  <c r="B202" i="62"/>
  <c r="B203" i="62" s="1"/>
  <c r="B204" i="62" s="1"/>
  <c r="B205" i="62" s="1"/>
  <c r="B206" i="62" s="1"/>
  <c r="B207" i="62" s="1"/>
  <c r="B208" i="62" s="1"/>
  <c r="B209" i="62" s="1"/>
  <c r="B210" i="62" s="1"/>
  <c r="B211" i="62" s="1"/>
  <c r="B212" i="62" s="1"/>
  <c r="B213" i="62" s="1"/>
  <c r="B214" i="62" s="1"/>
  <c r="B215" i="62" s="1"/>
  <c r="B216" i="62" s="1"/>
  <c r="B217" i="62" s="1"/>
  <c r="B218" i="62" s="1"/>
  <c r="B219" i="62" s="1"/>
  <c r="B220" i="62" s="1"/>
  <c r="B221" i="62" s="1"/>
  <c r="B222" i="62" s="1"/>
  <c r="B223" i="62" s="1"/>
  <c r="B224" i="62" s="1"/>
  <c r="B225" i="62" s="1"/>
  <c r="B226" i="62" s="1"/>
  <c r="B227" i="62" s="1"/>
  <c r="B228" i="62" s="1"/>
  <c r="B229" i="62" s="1"/>
  <c r="B230" i="62" s="1"/>
  <c r="B231" i="62" s="1"/>
  <c r="B232" i="62" s="1"/>
  <c r="B233" i="62" s="1"/>
  <c r="B234" i="62" s="1"/>
  <c r="B235" i="62" s="1"/>
  <c r="B236" i="62" s="1"/>
  <c r="B237" i="62" s="1"/>
  <c r="B238" i="62" s="1"/>
  <c r="B239" i="62" s="1"/>
  <c r="B240" i="62" s="1"/>
  <c r="B241" i="62" s="1"/>
  <c r="B242" i="62" s="1"/>
  <c r="B243" i="62" s="1"/>
  <c r="B244" i="62" s="1"/>
  <c r="B245" i="62" s="1"/>
  <c r="B246" i="62" s="1"/>
  <c r="B247" i="62" s="1"/>
  <c r="B248" i="62" s="1"/>
  <c r="AF202" i="62"/>
  <c r="AF203" i="62" s="1"/>
  <c r="AF204" i="62" s="1"/>
  <c r="AF205" i="62" s="1"/>
  <c r="AF206" i="62" s="1"/>
  <c r="AF207" i="62" s="1"/>
  <c r="AF208" i="62" s="1"/>
  <c r="AF209" i="62" s="1"/>
  <c r="AF210" i="62" s="1"/>
  <c r="AF211" i="62" s="1"/>
  <c r="AF212" i="62" s="1"/>
  <c r="AF213" i="62" s="1"/>
  <c r="AF214" i="62" s="1"/>
  <c r="AF215" i="62" s="1"/>
  <c r="AF216" i="62" s="1"/>
  <c r="AF217" i="62" s="1"/>
  <c r="AF218" i="62" s="1"/>
  <c r="AF219" i="62" s="1"/>
  <c r="AF220" i="62" s="1"/>
  <c r="AF221" i="62" s="1"/>
  <c r="AF222" i="62" s="1"/>
  <c r="AF223" i="62" s="1"/>
  <c r="AF224" i="62" s="1"/>
  <c r="AF225" i="62" s="1"/>
  <c r="AF226" i="62" s="1"/>
  <c r="AF227" i="62" s="1"/>
  <c r="AF228" i="62" s="1"/>
  <c r="AF229" i="62" s="1"/>
  <c r="AF230" i="62" s="1"/>
  <c r="AF231" i="62" s="1"/>
  <c r="AF232" i="62" s="1"/>
  <c r="AF233" i="62" s="1"/>
  <c r="AF234" i="62" s="1"/>
  <c r="AF235" i="62" s="1"/>
  <c r="AF236" i="62" s="1"/>
  <c r="AF237" i="62" s="1"/>
  <c r="AF238" i="62" s="1"/>
  <c r="AF239" i="62" s="1"/>
  <c r="AF240" i="62" s="1"/>
  <c r="AF241" i="62" s="1"/>
  <c r="AF242" i="62" s="1"/>
  <c r="AF243" i="62" s="1"/>
  <c r="AF244" i="62" s="1"/>
  <c r="AF245" i="62" s="1"/>
  <c r="AF246" i="62" s="1"/>
  <c r="AF247" i="62" s="1"/>
  <c r="AF248" i="62" s="1"/>
  <c r="AF249" i="62" s="1"/>
  <c r="AF250" i="62" s="1"/>
  <c r="AF251" i="62" s="1"/>
  <c r="AF252" i="62" s="1"/>
  <c r="AF253" i="62" s="1"/>
  <c r="AF254" i="62" s="1"/>
  <c r="AF255" i="62" s="1"/>
  <c r="AF256" i="62" s="1"/>
  <c r="AF257" i="62" s="1"/>
  <c r="AF258" i="62" s="1"/>
  <c r="AF259" i="62" s="1"/>
  <c r="AF260" i="62" s="1"/>
  <c r="AF261" i="62" s="1"/>
  <c r="AF262" i="62" s="1"/>
  <c r="AF263" i="62" s="1"/>
  <c r="AF264" i="62" s="1"/>
  <c r="AF265" i="62" s="1"/>
  <c r="AF266" i="62" s="1"/>
  <c r="O13" i="62"/>
  <c r="R15" i="62"/>
  <c r="M14" i="62"/>
  <c r="T14" i="62"/>
  <c r="P12" i="62"/>
  <c r="Q12" i="62"/>
  <c r="M12" i="62"/>
  <c r="M13" i="62"/>
  <c r="E12" i="62"/>
  <c r="C14" i="62"/>
  <c r="E13" i="62"/>
  <c r="O12" i="62"/>
  <c r="S12" i="62"/>
  <c r="F228" i="69" l="1"/>
  <c r="G228" i="69"/>
  <c r="H228" i="69"/>
  <c r="I228" i="69"/>
  <c r="J228" i="69"/>
  <c r="Q230" i="69"/>
  <c r="L229" i="69"/>
  <c r="R230" i="69"/>
  <c r="M229" i="69"/>
  <c r="S230" i="69"/>
  <c r="N229" i="69"/>
  <c r="O229" i="69"/>
  <c r="T230" i="69"/>
  <c r="P230" i="69"/>
  <c r="K229" i="69"/>
  <c r="C230" i="69"/>
  <c r="E229" i="69"/>
  <c r="X250" i="62"/>
  <c r="N249" i="62"/>
  <c r="I249" i="62" s="1"/>
  <c r="W250" i="62"/>
  <c r="M249" i="62"/>
  <c r="H249" i="62" s="1"/>
  <c r="V250" i="62"/>
  <c r="L249" i="62"/>
  <c r="G249" i="62" s="1"/>
  <c r="U203" i="62"/>
  <c r="U204" i="62" s="1"/>
  <c r="U205" i="62" s="1"/>
  <c r="U206" i="62" s="1"/>
  <c r="U207" i="62" s="1"/>
  <c r="U208" i="62" s="1"/>
  <c r="U209" i="62" s="1"/>
  <c r="U210" i="62" s="1"/>
  <c r="U211" i="62" s="1"/>
  <c r="U212" i="62" s="1"/>
  <c r="U213" i="62" s="1"/>
  <c r="U214" i="62" s="1"/>
  <c r="U215" i="62" s="1"/>
  <c r="U216" i="62" s="1"/>
  <c r="U217" i="62" s="1"/>
  <c r="U218" i="62" s="1"/>
  <c r="U219" i="62" s="1"/>
  <c r="U220" i="62" s="1"/>
  <c r="U221" i="62" s="1"/>
  <c r="U222" i="62" s="1"/>
  <c r="U223" i="62" s="1"/>
  <c r="U224" i="62" s="1"/>
  <c r="U225" i="62" s="1"/>
  <c r="U226" i="62" s="1"/>
  <c r="U227" i="62" s="1"/>
  <c r="U228" i="62" s="1"/>
  <c r="U229" i="62" s="1"/>
  <c r="U230" i="62" s="1"/>
  <c r="U231" i="62" s="1"/>
  <c r="U232" i="62" s="1"/>
  <c r="U233" i="62" s="1"/>
  <c r="U234" i="62" s="1"/>
  <c r="U235" i="62" s="1"/>
  <c r="U236" i="62" s="1"/>
  <c r="U237" i="62" s="1"/>
  <c r="U238" i="62" s="1"/>
  <c r="U239" i="62" s="1"/>
  <c r="U240" i="62" s="1"/>
  <c r="U241" i="62" s="1"/>
  <c r="U242" i="62" s="1"/>
  <c r="U243" i="62" s="1"/>
  <c r="U244" i="62" s="1"/>
  <c r="U245" i="62" s="1"/>
  <c r="U246" i="62" s="1"/>
  <c r="U247" i="62" s="1"/>
  <c r="U248" i="62" s="1"/>
  <c r="U249" i="62" s="1"/>
  <c r="Y203" i="62"/>
  <c r="Y204" i="62" s="1"/>
  <c r="Y205" i="62" s="1"/>
  <c r="Y206" i="62" s="1"/>
  <c r="Y207" i="62" s="1"/>
  <c r="Y208" i="62" s="1"/>
  <c r="Y209" i="62" s="1"/>
  <c r="Y210" i="62" s="1"/>
  <c r="Y211" i="62" s="1"/>
  <c r="Y212" i="62" s="1"/>
  <c r="Y213" i="62" s="1"/>
  <c r="Y214" i="62" s="1"/>
  <c r="Y215" i="62" s="1"/>
  <c r="Y216" i="62" s="1"/>
  <c r="Y217" i="62" s="1"/>
  <c r="Y218" i="62" s="1"/>
  <c r="Y219" i="62" s="1"/>
  <c r="Y220" i="62" s="1"/>
  <c r="Y221" i="62" s="1"/>
  <c r="Y222" i="62" s="1"/>
  <c r="Y223" i="62" s="1"/>
  <c r="Y224" i="62" s="1"/>
  <c r="Y225" i="62" s="1"/>
  <c r="Y226" i="62" s="1"/>
  <c r="Y227" i="62" s="1"/>
  <c r="Y228" i="62" s="1"/>
  <c r="Y229" i="62" s="1"/>
  <c r="Y230" i="62" s="1"/>
  <c r="Y231" i="62" s="1"/>
  <c r="Y232" i="62" s="1"/>
  <c r="Y233" i="62" s="1"/>
  <c r="Y234" i="62" s="1"/>
  <c r="Y235" i="62" s="1"/>
  <c r="Y236" i="62" s="1"/>
  <c r="Y237" i="62" s="1"/>
  <c r="Y238" i="62" s="1"/>
  <c r="Y239" i="62" s="1"/>
  <c r="Y240" i="62" s="1"/>
  <c r="Y241" i="62" s="1"/>
  <c r="Y242" i="62" s="1"/>
  <c r="Y243" i="62" s="1"/>
  <c r="Y244" i="62" s="1"/>
  <c r="Y245" i="62" s="1"/>
  <c r="Y246" i="62" s="1"/>
  <c r="Y247" i="62" s="1"/>
  <c r="Y248" i="62" s="1"/>
  <c r="J13" i="62"/>
  <c r="H13" i="62"/>
  <c r="E14" i="62"/>
  <c r="C15" i="62"/>
  <c r="Q13" i="62"/>
  <c r="L12" i="62"/>
  <c r="G12" i="62" s="1"/>
  <c r="S13" i="62"/>
  <c r="N12" i="62"/>
  <c r="I12" i="62" s="1"/>
  <c r="P13" i="62"/>
  <c r="K12" i="62"/>
  <c r="F12" i="62" s="1"/>
  <c r="H12" i="62"/>
  <c r="J12" i="62"/>
  <c r="T15" i="62"/>
  <c r="O14" i="62"/>
  <c r="R16" i="62"/>
  <c r="M15" i="62"/>
  <c r="C231" i="69" l="1"/>
  <c r="E230" i="69"/>
  <c r="Q231" i="69"/>
  <c r="L230" i="69"/>
  <c r="R231" i="69"/>
  <c r="M230" i="69"/>
  <c r="P231" i="69"/>
  <c r="K230" i="69"/>
  <c r="O230" i="69"/>
  <c r="T231" i="69"/>
  <c r="S231" i="69"/>
  <c r="N230" i="69"/>
  <c r="F229" i="69"/>
  <c r="G229" i="69"/>
  <c r="H229" i="69"/>
  <c r="I229" i="69"/>
  <c r="J229" i="69"/>
  <c r="X251" i="62"/>
  <c r="N250" i="62"/>
  <c r="I250" i="62" s="1"/>
  <c r="W251" i="62"/>
  <c r="M250" i="62"/>
  <c r="H250" i="62" s="1"/>
  <c r="V251" i="62"/>
  <c r="L250" i="62"/>
  <c r="G250" i="62" s="1"/>
  <c r="U250" i="62"/>
  <c r="K249" i="62"/>
  <c r="F249" i="62" s="1"/>
  <c r="P14" i="62"/>
  <c r="K13" i="62"/>
  <c r="F13" i="62" s="1"/>
  <c r="N13" i="62"/>
  <c r="I13" i="62" s="1"/>
  <c r="S14" i="62"/>
  <c r="M16" i="62"/>
  <c r="R17" i="62"/>
  <c r="O15" i="62"/>
  <c r="T16" i="62"/>
  <c r="Q14" i="62"/>
  <c r="L13" i="62"/>
  <c r="G13" i="62" s="1"/>
  <c r="C16" i="62"/>
  <c r="E15" i="62"/>
  <c r="J14" i="62"/>
  <c r="H14" i="62"/>
  <c r="K231" i="69" l="1"/>
  <c r="P232" i="69"/>
  <c r="M231" i="69"/>
  <c r="R232" i="69"/>
  <c r="S232" i="69"/>
  <c r="N231" i="69"/>
  <c r="Q232" i="69"/>
  <c r="L231" i="69"/>
  <c r="T232" i="69"/>
  <c r="O231" i="69"/>
  <c r="G230" i="69"/>
  <c r="H230" i="69"/>
  <c r="I230" i="69"/>
  <c r="J230" i="69"/>
  <c r="F230" i="69"/>
  <c r="E231" i="69"/>
  <c r="C232" i="69"/>
  <c r="X252" i="62"/>
  <c r="N251" i="62"/>
  <c r="I251" i="62" s="1"/>
  <c r="W252" i="62"/>
  <c r="M251" i="62"/>
  <c r="H251" i="62" s="1"/>
  <c r="V252" i="62"/>
  <c r="L251" i="62"/>
  <c r="G251" i="62" s="1"/>
  <c r="U251" i="62"/>
  <c r="K250" i="62"/>
  <c r="F250" i="62" s="1"/>
  <c r="T17" i="62"/>
  <c r="O16" i="62"/>
  <c r="J15" i="62"/>
  <c r="H15" i="62"/>
  <c r="C17" i="62"/>
  <c r="E16" i="62"/>
  <c r="Q15" i="62"/>
  <c r="L14" i="62"/>
  <c r="G14" i="62" s="1"/>
  <c r="R18" i="62"/>
  <c r="M17" i="62"/>
  <c r="S15" i="62"/>
  <c r="N14" i="62"/>
  <c r="I14" i="62" s="1"/>
  <c r="K14" i="62"/>
  <c r="F14" i="62" s="1"/>
  <c r="P15" i="62"/>
  <c r="Q233" i="69" l="1"/>
  <c r="L232" i="69"/>
  <c r="S233" i="69"/>
  <c r="N232" i="69"/>
  <c r="I231" i="69"/>
  <c r="J231" i="69"/>
  <c r="F231" i="69"/>
  <c r="G231" i="69"/>
  <c r="H231" i="69"/>
  <c r="M232" i="69"/>
  <c r="R233" i="69"/>
  <c r="K232" i="69"/>
  <c r="P233" i="69"/>
  <c r="C233" i="69"/>
  <c r="E232" i="69"/>
  <c r="O232" i="69"/>
  <c r="T233" i="69"/>
  <c r="X253" i="62"/>
  <c r="N252" i="62"/>
  <c r="I252" i="62" s="1"/>
  <c r="W253" i="62"/>
  <c r="M252" i="62"/>
  <c r="H252" i="62" s="1"/>
  <c r="V253" i="62"/>
  <c r="L252" i="62"/>
  <c r="G252" i="62" s="1"/>
  <c r="U252" i="62"/>
  <c r="K251" i="62"/>
  <c r="F251" i="62" s="1"/>
  <c r="O17" i="62"/>
  <c r="T18" i="62"/>
  <c r="R19" i="62"/>
  <c r="M18" i="62"/>
  <c r="Q16" i="62"/>
  <c r="L15" i="62"/>
  <c r="G15" i="62" s="1"/>
  <c r="J16" i="62"/>
  <c r="H16" i="62"/>
  <c r="E17" i="62"/>
  <c r="C18" i="62"/>
  <c r="P16" i="62"/>
  <c r="K15" i="62"/>
  <c r="F15" i="62" s="1"/>
  <c r="S16" i="62"/>
  <c r="N15" i="62"/>
  <c r="I15" i="62" s="1"/>
  <c r="R234" i="69" l="1"/>
  <c r="M233" i="69"/>
  <c r="C234" i="69"/>
  <c r="E233" i="69"/>
  <c r="J232" i="69"/>
  <c r="F232" i="69"/>
  <c r="H232" i="69"/>
  <c r="G232" i="69"/>
  <c r="I232" i="69"/>
  <c r="P234" i="69"/>
  <c r="K233" i="69"/>
  <c r="S234" i="69"/>
  <c r="N233" i="69"/>
  <c r="T234" i="69"/>
  <c r="O233" i="69"/>
  <c r="L233" i="69"/>
  <c r="Q234" i="69"/>
  <c r="X254" i="62"/>
  <c r="N253" i="62"/>
  <c r="I253" i="62" s="1"/>
  <c r="W254" i="62"/>
  <c r="M253" i="62"/>
  <c r="H253" i="62" s="1"/>
  <c r="V254" i="62"/>
  <c r="L253" i="62"/>
  <c r="G253" i="62" s="1"/>
  <c r="U253" i="62"/>
  <c r="K252" i="62"/>
  <c r="F252" i="62" s="1"/>
  <c r="P17" i="62"/>
  <c r="K16" i="62"/>
  <c r="F16" i="62" s="1"/>
  <c r="O18" i="62"/>
  <c r="T19" i="62"/>
  <c r="C19" i="62"/>
  <c r="E18" i="62"/>
  <c r="H17" i="62"/>
  <c r="J17" i="62"/>
  <c r="Q17" i="62"/>
  <c r="L16" i="62"/>
  <c r="G16" i="62" s="1"/>
  <c r="N16" i="62"/>
  <c r="I16" i="62" s="1"/>
  <c r="S17" i="62"/>
  <c r="R20" i="62"/>
  <c r="M19" i="62"/>
  <c r="N234" i="69" l="1"/>
  <c r="S235" i="69"/>
  <c r="E234" i="69"/>
  <c r="C235" i="69"/>
  <c r="O234" i="69"/>
  <c r="T235" i="69"/>
  <c r="J233" i="69"/>
  <c r="H233" i="69"/>
  <c r="F233" i="69"/>
  <c r="I233" i="69"/>
  <c r="G233" i="69"/>
  <c r="K234" i="69"/>
  <c r="P235" i="69"/>
  <c r="L234" i="69"/>
  <c r="Q235" i="69"/>
  <c r="M234" i="69"/>
  <c r="R235" i="69"/>
  <c r="X255" i="62"/>
  <c r="N254" i="62"/>
  <c r="I254" i="62" s="1"/>
  <c r="W255" i="62"/>
  <c r="M254" i="62"/>
  <c r="H254" i="62" s="1"/>
  <c r="V255" i="62"/>
  <c r="L254" i="62"/>
  <c r="G254" i="62" s="1"/>
  <c r="U254" i="62"/>
  <c r="K253" i="62"/>
  <c r="F253" i="62" s="1"/>
  <c r="M20" i="62"/>
  <c r="R21" i="62"/>
  <c r="T20" i="62"/>
  <c r="O19" i="62"/>
  <c r="N17" i="62"/>
  <c r="I17" i="62" s="1"/>
  <c r="S18" i="62"/>
  <c r="K17" i="62"/>
  <c r="F17" i="62" s="1"/>
  <c r="P18" i="62"/>
  <c r="Q18" i="62"/>
  <c r="L17" i="62"/>
  <c r="G17" i="62" s="1"/>
  <c r="H18" i="62"/>
  <c r="J18" i="62"/>
  <c r="C20" i="62"/>
  <c r="E19" i="62"/>
  <c r="G234" i="69" l="1"/>
  <c r="J234" i="69"/>
  <c r="F234" i="69"/>
  <c r="H234" i="69"/>
  <c r="I234" i="69"/>
  <c r="O235" i="69"/>
  <c r="T236" i="69"/>
  <c r="E235" i="69"/>
  <c r="C236" i="69"/>
  <c r="N235" i="69"/>
  <c r="S236" i="69"/>
  <c r="L235" i="69"/>
  <c r="Q236" i="69"/>
  <c r="K235" i="69"/>
  <c r="P236" i="69"/>
  <c r="M235" i="69"/>
  <c r="R236" i="69"/>
  <c r="X256" i="62"/>
  <c r="N255" i="62"/>
  <c r="I255" i="62" s="1"/>
  <c r="W256" i="62"/>
  <c r="M255" i="62"/>
  <c r="H255" i="62" s="1"/>
  <c r="V256" i="62"/>
  <c r="L255" i="62"/>
  <c r="G255" i="62" s="1"/>
  <c r="U255" i="62"/>
  <c r="K254" i="62"/>
  <c r="F254" i="62" s="1"/>
  <c r="R22" i="62"/>
  <c r="M21" i="62"/>
  <c r="L18" i="62"/>
  <c r="G18" i="62" s="1"/>
  <c r="Q19" i="62"/>
  <c r="P19" i="62"/>
  <c r="K18" i="62"/>
  <c r="F18" i="62" s="1"/>
  <c r="N18" i="62"/>
  <c r="I18" i="62" s="1"/>
  <c r="S19" i="62"/>
  <c r="J19" i="62"/>
  <c r="H19" i="62"/>
  <c r="C21" i="62"/>
  <c r="E20" i="62"/>
  <c r="T21" i="62"/>
  <c r="O20" i="62"/>
  <c r="K236" i="69" l="1"/>
  <c r="P237" i="69"/>
  <c r="N236" i="69"/>
  <c r="S237" i="69"/>
  <c r="O236" i="69"/>
  <c r="T237" i="69"/>
  <c r="L236" i="69"/>
  <c r="Q237" i="69"/>
  <c r="H235" i="69"/>
  <c r="I235" i="69"/>
  <c r="J235" i="69"/>
  <c r="F235" i="69"/>
  <c r="G235" i="69"/>
  <c r="M236" i="69"/>
  <c r="R237" i="69"/>
  <c r="E236" i="69"/>
  <c r="C237" i="69"/>
  <c r="X257" i="62"/>
  <c r="N256" i="62"/>
  <c r="I256" i="62" s="1"/>
  <c r="W257" i="62"/>
  <c r="M256" i="62"/>
  <c r="H256" i="62" s="1"/>
  <c r="V257" i="62"/>
  <c r="L256" i="62"/>
  <c r="G256" i="62" s="1"/>
  <c r="U256" i="62"/>
  <c r="K255" i="62"/>
  <c r="F255" i="62" s="1"/>
  <c r="R23" i="62"/>
  <c r="M22" i="62"/>
  <c r="C22" i="62"/>
  <c r="E21" i="62"/>
  <c r="S20" i="62"/>
  <c r="N19" i="62"/>
  <c r="I19" i="62" s="1"/>
  <c r="K19" i="62"/>
  <c r="F19" i="62" s="1"/>
  <c r="P20" i="62"/>
  <c r="T22" i="62"/>
  <c r="O21" i="62"/>
  <c r="Q20" i="62"/>
  <c r="L19" i="62"/>
  <c r="G19" i="62" s="1"/>
  <c r="H20" i="62"/>
  <c r="J20" i="62"/>
  <c r="G236" i="69" l="1"/>
  <c r="L237" i="69"/>
  <c r="Q238" i="69"/>
  <c r="T238" i="69"/>
  <c r="O237" i="69"/>
  <c r="N237" i="69"/>
  <c r="S238" i="69"/>
  <c r="M237" i="69"/>
  <c r="R238" i="69"/>
  <c r="I236" i="69"/>
  <c r="J236" i="69"/>
  <c r="P238" i="69"/>
  <c r="K237" i="69"/>
  <c r="H236" i="69"/>
  <c r="E237" i="69"/>
  <c r="C238" i="69"/>
  <c r="F236" i="69"/>
  <c r="X258" i="62"/>
  <c r="N257" i="62"/>
  <c r="I257" i="62" s="1"/>
  <c r="W258" i="62"/>
  <c r="M257" i="62"/>
  <c r="H257" i="62" s="1"/>
  <c r="V258" i="62"/>
  <c r="L257" i="62"/>
  <c r="G257" i="62" s="1"/>
  <c r="U257" i="62"/>
  <c r="K256" i="62"/>
  <c r="F256" i="62" s="1"/>
  <c r="M23" i="62"/>
  <c r="R24" i="62"/>
  <c r="Q21" i="62"/>
  <c r="L20" i="62"/>
  <c r="G20" i="62" s="1"/>
  <c r="T23" i="62"/>
  <c r="O22" i="62"/>
  <c r="P21" i="62"/>
  <c r="K20" i="62"/>
  <c r="F20" i="62" s="1"/>
  <c r="S21" i="62"/>
  <c r="N20" i="62"/>
  <c r="I20" i="62" s="1"/>
  <c r="J21" i="62"/>
  <c r="H21" i="62"/>
  <c r="E22" i="62"/>
  <c r="C23" i="62"/>
  <c r="N238" i="69" l="1"/>
  <c r="S239" i="69"/>
  <c r="H237" i="69"/>
  <c r="I237" i="69"/>
  <c r="M238" i="69"/>
  <c r="R239" i="69"/>
  <c r="J237" i="69"/>
  <c r="K238" i="69"/>
  <c r="F238" i="69" s="1"/>
  <c r="P239" i="69"/>
  <c r="T239" i="69"/>
  <c r="O238" i="69"/>
  <c r="F237" i="69"/>
  <c r="L238" i="69"/>
  <c r="Q239" i="69"/>
  <c r="E238" i="69"/>
  <c r="C239" i="69"/>
  <c r="G237" i="69"/>
  <c r="X259" i="62"/>
  <c r="N258" i="62"/>
  <c r="I258" i="62" s="1"/>
  <c r="W259" i="62"/>
  <c r="M258" i="62"/>
  <c r="H258" i="62" s="1"/>
  <c r="V259" i="62"/>
  <c r="L258" i="62"/>
  <c r="G258" i="62" s="1"/>
  <c r="U258" i="62"/>
  <c r="K257" i="62"/>
  <c r="F257" i="62" s="1"/>
  <c r="K21" i="62"/>
  <c r="F21" i="62" s="1"/>
  <c r="P22" i="62"/>
  <c r="C24" i="62"/>
  <c r="E23" i="62"/>
  <c r="O23" i="62"/>
  <c r="T24" i="62"/>
  <c r="J22" i="62"/>
  <c r="H22" i="62"/>
  <c r="Q22" i="62"/>
  <c r="L21" i="62"/>
  <c r="G21" i="62" s="1"/>
  <c r="S22" i="62"/>
  <c r="N21" i="62"/>
  <c r="I21" i="62" s="1"/>
  <c r="M24" i="62"/>
  <c r="R25" i="62"/>
  <c r="C240" i="69" l="1"/>
  <c r="E239" i="69"/>
  <c r="H238" i="69"/>
  <c r="G238" i="69"/>
  <c r="O239" i="69"/>
  <c r="T240" i="69"/>
  <c r="S240" i="69"/>
  <c r="N239" i="69"/>
  <c r="I238" i="69"/>
  <c r="J238" i="69"/>
  <c r="L239" i="69"/>
  <c r="Q240" i="69"/>
  <c r="R240" i="69"/>
  <c r="M239" i="69"/>
  <c r="K239" i="69"/>
  <c r="P240" i="69"/>
  <c r="X260" i="62"/>
  <c r="N259" i="62"/>
  <c r="I259" i="62" s="1"/>
  <c r="W260" i="62"/>
  <c r="M259" i="62"/>
  <c r="H259" i="62" s="1"/>
  <c r="V260" i="62"/>
  <c r="L259" i="62"/>
  <c r="G259" i="62" s="1"/>
  <c r="U259" i="62"/>
  <c r="K258" i="62"/>
  <c r="F258" i="62" s="1"/>
  <c r="N22" i="62"/>
  <c r="I22" i="62" s="1"/>
  <c r="S23" i="62"/>
  <c r="P23" i="62"/>
  <c r="K22" i="62"/>
  <c r="F22" i="62" s="1"/>
  <c r="Q23" i="62"/>
  <c r="L22" i="62"/>
  <c r="G22" i="62" s="1"/>
  <c r="T25" i="62"/>
  <c r="O24" i="62"/>
  <c r="M25" i="62"/>
  <c r="R26" i="62"/>
  <c r="J23" i="62"/>
  <c r="H23" i="62"/>
  <c r="E24" i="62"/>
  <c r="C25" i="62"/>
  <c r="K240" i="69" l="1"/>
  <c r="P241" i="69"/>
  <c r="N240" i="69"/>
  <c r="S241" i="69"/>
  <c r="M240" i="69"/>
  <c r="R241" i="69"/>
  <c r="J239" i="69"/>
  <c r="I239" i="69"/>
  <c r="F239" i="69"/>
  <c r="G239" i="69"/>
  <c r="H239" i="69"/>
  <c r="T241" i="69"/>
  <c r="O240" i="69"/>
  <c r="Q241" i="69"/>
  <c r="L240" i="69"/>
  <c r="E240" i="69"/>
  <c r="C241" i="69"/>
  <c r="X261" i="62"/>
  <c r="N260" i="62"/>
  <c r="I260" i="62" s="1"/>
  <c r="W261" i="62"/>
  <c r="M260" i="62"/>
  <c r="H260" i="62" s="1"/>
  <c r="V261" i="62"/>
  <c r="L260" i="62"/>
  <c r="G260" i="62" s="1"/>
  <c r="U260" i="62"/>
  <c r="K259" i="62"/>
  <c r="F259" i="62" s="1"/>
  <c r="J24" i="62"/>
  <c r="H24" i="62"/>
  <c r="K23" i="62"/>
  <c r="F23" i="62" s="1"/>
  <c r="P24" i="62"/>
  <c r="S24" i="62"/>
  <c r="N23" i="62"/>
  <c r="I23" i="62" s="1"/>
  <c r="R27" i="62"/>
  <c r="M26" i="62"/>
  <c r="T26" i="62"/>
  <c r="O25" i="62"/>
  <c r="C26" i="62"/>
  <c r="E25" i="62"/>
  <c r="L23" i="62"/>
  <c r="G23" i="62" s="1"/>
  <c r="Q24" i="62"/>
  <c r="S242" i="69" l="1"/>
  <c r="N241" i="69"/>
  <c r="I240" i="69"/>
  <c r="J240" i="69"/>
  <c r="H240" i="69"/>
  <c r="G240" i="69"/>
  <c r="Q242" i="69"/>
  <c r="L241" i="69"/>
  <c r="P242" i="69"/>
  <c r="K241" i="69"/>
  <c r="R242" i="69"/>
  <c r="M241" i="69"/>
  <c r="T242" i="69"/>
  <c r="O241" i="69"/>
  <c r="E241" i="69"/>
  <c r="C242" i="69"/>
  <c r="F240" i="69"/>
  <c r="X262" i="62"/>
  <c r="N261" i="62"/>
  <c r="I261" i="62" s="1"/>
  <c r="W262" i="62"/>
  <c r="M261" i="62"/>
  <c r="H261" i="62" s="1"/>
  <c r="V262" i="62"/>
  <c r="L261" i="62"/>
  <c r="G261" i="62" s="1"/>
  <c r="U261" i="62"/>
  <c r="K260" i="62"/>
  <c r="F260" i="62" s="1"/>
  <c r="T27" i="62"/>
  <c r="O26" i="62"/>
  <c r="N24" i="62"/>
  <c r="I24" i="62" s="1"/>
  <c r="S25" i="62"/>
  <c r="P25" i="62"/>
  <c r="K24" i="62"/>
  <c r="F24" i="62" s="1"/>
  <c r="Q25" i="62"/>
  <c r="L24" i="62"/>
  <c r="G24" i="62" s="1"/>
  <c r="E26" i="62"/>
  <c r="C27" i="62"/>
  <c r="R28" i="62"/>
  <c r="M27" i="62"/>
  <c r="H25" i="62"/>
  <c r="J25" i="62"/>
  <c r="E242" i="69" l="1"/>
  <c r="C243" i="69"/>
  <c r="E243" i="69" s="1"/>
  <c r="L242" i="69"/>
  <c r="Q243" i="69"/>
  <c r="L243" i="69" s="1"/>
  <c r="M242" i="69"/>
  <c r="R243" i="69"/>
  <c r="M243" i="69" s="1"/>
  <c r="H241" i="69"/>
  <c r="I241" i="69"/>
  <c r="J241" i="69"/>
  <c r="G241" i="69"/>
  <c r="O242" i="69"/>
  <c r="T243" i="69"/>
  <c r="O243" i="69" s="1"/>
  <c r="F241" i="69"/>
  <c r="K242" i="69"/>
  <c r="F242" i="69" s="1"/>
  <c r="P243" i="69"/>
  <c r="K243" i="69" s="1"/>
  <c r="N242" i="69"/>
  <c r="S243" i="69"/>
  <c r="N243" i="69" s="1"/>
  <c r="X263" i="62"/>
  <c r="N262" i="62"/>
  <c r="I262" i="62" s="1"/>
  <c r="W263" i="62"/>
  <c r="M262" i="62"/>
  <c r="H262" i="62" s="1"/>
  <c r="V263" i="62"/>
  <c r="L262" i="62"/>
  <c r="G262" i="62" s="1"/>
  <c r="U262" i="62"/>
  <c r="K261" i="62"/>
  <c r="F261" i="62" s="1"/>
  <c r="N25" i="62"/>
  <c r="I25" i="62" s="1"/>
  <c r="S26" i="62"/>
  <c r="T28" i="62"/>
  <c r="O27" i="62"/>
  <c r="R29" i="62"/>
  <c r="M28" i="62"/>
  <c r="C28" i="62"/>
  <c r="E27" i="62"/>
  <c r="J26" i="62"/>
  <c r="H26" i="62"/>
  <c r="Q26" i="62"/>
  <c r="L25" i="62"/>
  <c r="G25" i="62" s="1"/>
  <c r="K25" i="62"/>
  <c r="F25" i="62" s="1"/>
  <c r="P26" i="62"/>
  <c r="H243" i="69" l="1"/>
  <c r="J243" i="69"/>
  <c r="I243" i="69"/>
  <c r="G243" i="69"/>
  <c r="F243" i="69"/>
  <c r="J242" i="69"/>
  <c r="I242" i="69"/>
  <c r="G242" i="69"/>
  <c r="H242" i="69"/>
  <c r="X264" i="62"/>
  <c r="N263" i="62"/>
  <c r="I263" i="62" s="1"/>
  <c r="W264" i="62"/>
  <c r="M263" i="62"/>
  <c r="H263" i="62" s="1"/>
  <c r="V264" i="62"/>
  <c r="L263" i="62"/>
  <c r="G263" i="62" s="1"/>
  <c r="U263" i="62"/>
  <c r="K262" i="62"/>
  <c r="F262" i="62" s="1"/>
  <c r="Q27" i="62"/>
  <c r="L26" i="62"/>
  <c r="G26" i="62" s="1"/>
  <c r="N26" i="62"/>
  <c r="I26" i="62" s="1"/>
  <c r="S27" i="62"/>
  <c r="J27" i="62"/>
  <c r="H27" i="62"/>
  <c r="C29" i="62"/>
  <c r="E28" i="62"/>
  <c r="K26" i="62"/>
  <c r="F26" i="62" s="1"/>
  <c r="P27" i="62"/>
  <c r="M29" i="62"/>
  <c r="R30" i="62"/>
  <c r="T29" i="62"/>
  <c r="O28" i="62"/>
  <c r="X265" i="62" l="1"/>
  <c r="N264" i="62"/>
  <c r="I264" i="62" s="1"/>
  <c r="W265" i="62"/>
  <c r="M264" i="62"/>
  <c r="H264" i="62" s="1"/>
  <c r="V265" i="62"/>
  <c r="L264" i="62"/>
  <c r="G264" i="62" s="1"/>
  <c r="U264" i="62"/>
  <c r="K263" i="62"/>
  <c r="F263" i="62" s="1"/>
  <c r="T30" i="62"/>
  <c r="O29" i="62"/>
  <c r="S28" i="62"/>
  <c r="N27" i="62"/>
  <c r="I27" i="62" s="1"/>
  <c r="R31" i="62"/>
  <c r="M30" i="62"/>
  <c r="P28" i="62"/>
  <c r="K27" i="62"/>
  <c r="F27" i="62" s="1"/>
  <c r="Q28" i="62"/>
  <c r="L27" i="62"/>
  <c r="G27" i="62" s="1"/>
  <c r="H28" i="62"/>
  <c r="J28" i="62"/>
  <c r="C30" i="62"/>
  <c r="E29" i="62"/>
  <c r="X266" i="62" l="1"/>
  <c r="N266" i="62" s="1"/>
  <c r="I266" i="62" s="1"/>
  <c r="N265" i="62"/>
  <c r="I265" i="62" s="1"/>
  <c r="W266" i="62"/>
  <c r="M266" i="62" s="1"/>
  <c r="H266" i="62" s="1"/>
  <c r="M265" i="62"/>
  <c r="H265" i="62" s="1"/>
  <c r="V266" i="62"/>
  <c r="L266" i="62" s="1"/>
  <c r="G266" i="62" s="1"/>
  <c r="L265" i="62"/>
  <c r="G265" i="62" s="1"/>
  <c r="U265" i="62"/>
  <c r="K264" i="62"/>
  <c r="F264" i="62" s="1"/>
  <c r="O30" i="62"/>
  <c r="T31" i="62"/>
  <c r="Q29" i="62"/>
  <c r="L28" i="62"/>
  <c r="G28" i="62" s="1"/>
  <c r="P29" i="62"/>
  <c r="K28" i="62"/>
  <c r="F28" i="62" s="1"/>
  <c r="H29" i="62"/>
  <c r="J29" i="62"/>
  <c r="M31" i="62"/>
  <c r="R32" i="62"/>
  <c r="C31" i="62"/>
  <c r="E30" i="62"/>
  <c r="S29" i="62"/>
  <c r="N28" i="62"/>
  <c r="I28" i="62" s="1"/>
  <c r="U266" i="62" l="1"/>
  <c r="K266" i="62" s="1"/>
  <c r="F266" i="62" s="1"/>
  <c r="K265" i="62"/>
  <c r="F265" i="62" s="1"/>
  <c r="N29" i="62"/>
  <c r="I29" i="62" s="1"/>
  <c r="S30" i="62"/>
  <c r="J30" i="62"/>
  <c r="H30" i="62"/>
  <c r="L29" i="62"/>
  <c r="G29" i="62" s="1"/>
  <c r="Q30" i="62"/>
  <c r="C32" i="62"/>
  <c r="E31" i="62"/>
  <c r="T32" i="62"/>
  <c r="O31" i="62"/>
  <c r="R33" i="62"/>
  <c r="M32" i="62"/>
  <c r="P30" i="62"/>
  <c r="K29" i="62"/>
  <c r="F29" i="62" s="1"/>
  <c r="M33" i="62" l="1"/>
  <c r="R34" i="62"/>
  <c r="N30" i="62"/>
  <c r="I30" i="62" s="1"/>
  <c r="S31" i="62"/>
  <c r="T33" i="62"/>
  <c r="O32" i="62"/>
  <c r="H31" i="62"/>
  <c r="J31" i="62"/>
  <c r="C33" i="62"/>
  <c r="E32" i="62"/>
  <c r="Q31" i="62"/>
  <c r="L30" i="62"/>
  <c r="G30" i="62" s="1"/>
  <c r="K30" i="62"/>
  <c r="F30" i="62" s="1"/>
  <c r="P31" i="62"/>
  <c r="J32" i="62" l="1"/>
  <c r="H32" i="62"/>
  <c r="C34" i="62"/>
  <c r="E33" i="62"/>
  <c r="P32" i="62"/>
  <c r="K31" i="62"/>
  <c r="F31" i="62" s="1"/>
  <c r="T34" i="62"/>
  <c r="O33" i="62"/>
  <c r="S32" i="62"/>
  <c r="N31" i="62"/>
  <c r="I31" i="62" s="1"/>
  <c r="R35" i="62"/>
  <c r="M34" i="62"/>
  <c r="L31" i="62"/>
  <c r="G31" i="62" s="1"/>
  <c r="Q32" i="62"/>
  <c r="M35" i="62" l="1"/>
  <c r="R36" i="62"/>
  <c r="S33" i="62"/>
  <c r="N32" i="62"/>
  <c r="I32" i="62" s="1"/>
  <c r="T35" i="62"/>
  <c r="O34" i="62"/>
  <c r="P33" i="62"/>
  <c r="K32" i="62"/>
  <c r="F32" i="62" s="1"/>
  <c r="H33" i="62"/>
  <c r="J33" i="62"/>
  <c r="E34" i="62"/>
  <c r="C35" i="62"/>
  <c r="L32" i="62"/>
  <c r="G32" i="62" s="1"/>
  <c r="Q33" i="62"/>
  <c r="C36" i="62" l="1"/>
  <c r="E35" i="62"/>
  <c r="J34" i="62"/>
  <c r="H34" i="62"/>
  <c r="R37" i="62"/>
  <c r="M36" i="62"/>
  <c r="P34" i="62"/>
  <c r="K33" i="62"/>
  <c r="F33" i="62" s="1"/>
  <c r="L33" i="62"/>
  <c r="G33" i="62" s="1"/>
  <c r="Q34" i="62"/>
  <c r="T36" i="62"/>
  <c r="O35" i="62"/>
  <c r="S34" i="62"/>
  <c r="N33" i="62"/>
  <c r="I33" i="62" s="1"/>
  <c r="H35" i="62" l="1"/>
  <c r="J35" i="62"/>
  <c r="L34" i="62"/>
  <c r="G34" i="62" s="1"/>
  <c r="Q35" i="62"/>
  <c r="E36" i="62"/>
  <c r="C37" i="62"/>
  <c r="K34" i="62"/>
  <c r="F34" i="62" s="1"/>
  <c r="P35" i="62"/>
  <c r="M37" i="62"/>
  <c r="R38" i="62"/>
  <c r="T37" i="62"/>
  <c r="O36" i="62"/>
  <c r="S35" i="62"/>
  <c r="N34" i="62"/>
  <c r="I34" i="62" s="1"/>
  <c r="O37" i="62" l="1"/>
  <c r="T38" i="62"/>
  <c r="C38" i="62"/>
  <c r="E37" i="62"/>
  <c r="H36" i="62"/>
  <c r="J36" i="62"/>
  <c r="Q36" i="62"/>
  <c r="L35" i="62"/>
  <c r="G35" i="62" s="1"/>
  <c r="M38" i="62"/>
  <c r="R39" i="62"/>
  <c r="K35" i="62"/>
  <c r="F35" i="62" s="1"/>
  <c r="P36" i="62"/>
  <c r="S36" i="62"/>
  <c r="N35" i="62"/>
  <c r="I35" i="62" s="1"/>
  <c r="O38" i="62" l="1"/>
  <c r="T39" i="62"/>
  <c r="R40" i="62"/>
  <c r="M39" i="62"/>
  <c r="L36" i="62"/>
  <c r="G36" i="62" s="1"/>
  <c r="Q37" i="62"/>
  <c r="S37" i="62"/>
  <c r="N36" i="62"/>
  <c r="I36" i="62" s="1"/>
  <c r="H37" i="62"/>
  <c r="J37" i="62"/>
  <c r="P37" i="62"/>
  <c r="K36" i="62"/>
  <c r="F36" i="62" s="1"/>
  <c r="C39" i="62"/>
  <c r="E38" i="62"/>
  <c r="N37" i="62" l="1"/>
  <c r="I37" i="62" s="1"/>
  <c r="S38" i="62"/>
  <c r="Q38" i="62"/>
  <c r="L37" i="62"/>
  <c r="G37" i="62" s="1"/>
  <c r="J38" i="62"/>
  <c r="H38" i="62"/>
  <c r="E39" i="62"/>
  <c r="C40" i="62"/>
  <c r="M40" i="62"/>
  <c r="R41" i="62"/>
  <c r="P38" i="62"/>
  <c r="K37" i="62"/>
  <c r="F37" i="62" s="1"/>
  <c r="O39" i="62"/>
  <c r="T40" i="62"/>
  <c r="J39" i="62" l="1"/>
  <c r="H39" i="62"/>
  <c r="T41" i="62"/>
  <c r="O40" i="62"/>
  <c r="Q39" i="62"/>
  <c r="L38" i="62"/>
  <c r="G38" i="62" s="1"/>
  <c r="P39" i="62"/>
  <c r="K38" i="62"/>
  <c r="F38" i="62" s="1"/>
  <c r="N38" i="62"/>
  <c r="I38" i="62" s="1"/>
  <c r="S39" i="62"/>
  <c r="C41" i="62"/>
  <c r="E40" i="62"/>
  <c r="M41" i="62"/>
  <c r="R42" i="62"/>
  <c r="Q40" i="62" l="1"/>
  <c r="L39" i="62"/>
  <c r="G39" i="62" s="1"/>
  <c r="T42" i="62"/>
  <c r="O41" i="62"/>
  <c r="M42" i="62"/>
  <c r="R43" i="62"/>
  <c r="J40" i="62"/>
  <c r="H40" i="62"/>
  <c r="K39" i="62"/>
  <c r="F39" i="62" s="1"/>
  <c r="P40" i="62"/>
  <c r="C42" i="62"/>
  <c r="E41" i="62"/>
  <c r="N39" i="62"/>
  <c r="I39" i="62" s="1"/>
  <c r="S40" i="62"/>
  <c r="C43" i="62" l="1"/>
  <c r="E42" i="62"/>
  <c r="K40" i="62"/>
  <c r="F40" i="62" s="1"/>
  <c r="P41" i="62"/>
  <c r="L40" i="62"/>
  <c r="G40" i="62" s="1"/>
  <c r="Q41" i="62"/>
  <c r="R44" i="62"/>
  <c r="M43" i="62"/>
  <c r="S41" i="62"/>
  <c r="N40" i="62"/>
  <c r="I40" i="62" s="1"/>
  <c r="J41" i="62"/>
  <c r="H41" i="62"/>
  <c r="T43" i="62"/>
  <c r="O42" i="62"/>
  <c r="M44" i="62" l="1"/>
  <c r="R45" i="62"/>
  <c r="O43" i="62"/>
  <c r="T44" i="62"/>
  <c r="K41" i="62"/>
  <c r="F41" i="62" s="1"/>
  <c r="P42" i="62"/>
  <c r="S42" i="62"/>
  <c r="N41" i="62"/>
  <c r="I41" i="62" s="1"/>
  <c r="Q42" i="62"/>
  <c r="L41" i="62"/>
  <c r="G41" i="62" s="1"/>
  <c r="H42" i="62"/>
  <c r="J42" i="62"/>
  <c r="C44" i="62"/>
  <c r="E43" i="62"/>
  <c r="L42" i="62" l="1"/>
  <c r="G42" i="62" s="1"/>
  <c r="Q43" i="62"/>
  <c r="R46" i="62"/>
  <c r="M45" i="62"/>
  <c r="S43" i="62"/>
  <c r="N42" i="62"/>
  <c r="I42" i="62" s="1"/>
  <c r="P43" i="62"/>
  <c r="K42" i="62"/>
  <c r="F42" i="62" s="1"/>
  <c r="J43" i="62"/>
  <c r="H43" i="62"/>
  <c r="E44" i="62"/>
  <c r="C45" i="62"/>
  <c r="O44" i="62"/>
  <c r="T45" i="62"/>
  <c r="H44" i="62" l="1"/>
  <c r="J44" i="62"/>
  <c r="Q44" i="62"/>
  <c r="L43" i="62"/>
  <c r="G43" i="62" s="1"/>
  <c r="K43" i="62"/>
  <c r="F43" i="62" s="1"/>
  <c r="P44" i="62"/>
  <c r="O45" i="62"/>
  <c r="T46" i="62"/>
  <c r="S44" i="62"/>
  <c r="N43" i="62"/>
  <c r="I43" i="62" s="1"/>
  <c r="C46" i="62"/>
  <c r="E45" i="62"/>
  <c r="M46" i="62"/>
  <c r="R47" i="62"/>
  <c r="S45" i="62" l="1"/>
  <c r="N44" i="62"/>
  <c r="I44" i="62" s="1"/>
  <c r="E46" i="62"/>
  <c r="C47" i="62"/>
  <c r="T47" i="62"/>
  <c r="O46" i="62"/>
  <c r="P45" i="62"/>
  <c r="K44" i="62"/>
  <c r="F44" i="62" s="1"/>
  <c r="Q45" i="62"/>
  <c r="L44" i="62"/>
  <c r="G44" i="62" s="1"/>
  <c r="M47" i="62"/>
  <c r="R48" i="62"/>
  <c r="J45" i="62"/>
  <c r="H45" i="62"/>
  <c r="N45" i="62" l="1"/>
  <c r="I45" i="62" s="1"/>
  <c r="S46" i="62"/>
  <c r="R49" i="62"/>
  <c r="M48" i="62"/>
  <c r="L45" i="62"/>
  <c r="G45" i="62" s="1"/>
  <c r="Q46" i="62"/>
  <c r="P46" i="62"/>
  <c r="K45" i="62"/>
  <c r="F45" i="62" s="1"/>
  <c r="T48" i="62"/>
  <c r="O47" i="62"/>
  <c r="C48" i="62"/>
  <c r="E47" i="62"/>
  <c r="H46" i="62"/>
  <c r="J46" i="62"/>
  <c r="E48" i="62" l="1"/>
  <c r="C49" i="62"/>
  <c r="K46" i="62"/>
  <c r="F46" i="62" s="1"/>
  <c r="P47" i="62"/>
  <c r="N46" i="62"/>
  <c r="I46" i="62" s="1"/>
  <c r="S47" i="62"/>
  <c r="H47" i="62"/>
  <c r="J47" i="62"/>
  <c r="T49" i="62"/>
  <c r="O48" i="62"/>
  <c r="Q47" i="62"/>
  <c r="L46" i="62"/>
  <c r="G46" i="62" s="1"/>
  <c r="M49" i="62"/>
  <c r="R50" i="62"/>
  <c r="E49" i="62" l="1"/>
  <c r="C50" i="62"/>
  <c r="T50" i="62"/>
  <c r="O49" i="62"/>
  <c r="L47" i="62"/>
  <c r="G47" i="62" s="1"/>
  <c r="Q48" i="62"/>
  <c r="J48" i="62"/>
  <c r="H48" i="62"/>
  <c r="S48" i="62"/>
  <c r="N47" i="62"/>
  <c r="I47" i="62" s="1"/>
  <c r="R51" i="62"/>
  <c r="M50" i="62"/>
  <c r="K47" i="62"/>
  <c r="F47" i="62" s="1"/>
  <c r="P48" i="62"/>
  <c r="L48" i="62" l="1"/>
  <c r="G48" i="62" s="1"/>
  <c r="Q49" i="62"/>
  <c r="O50" i="62"/>
  <c r="T51" i="62"/>
  <c r="M51" i="62"/>
  <c r="R52" i="62"/>
  <c r="E50" i="62"/>
  <c r="C51" i="62"/>
  <c r="S49" i="62"/>
  <c r="N48" i="62"/>
  <c r="I48" i="62" s="1"/>
  <c r="P49" i="62"/>
  <c r="K48" i="62"/>
  <c r="F48" i="62" s="1"/>
  <c r="H49" i="62"/>
  <c r="J49" i="62"/>
  <c r="E51" i="62" l="1"/>
  <c r="C52" i="62"/>
  <c r="S50" i="62"/>
  <c r="N49" i="62"/>
  <c r="I49" i="62" s="1"/>
  <c r="R53" i="62"/>
  <c r="M52" i="62"/>
  <c r="O51" i="62"/>
  <c r="T52" i="62"/>
  <c r="L49" i="62"/>
  <c r="G49" i="62" s="1"/>
  <c r="Q50" i="62"/>
  <c r="P50" i="62"/>
  <c r="K49" i="62"/>
  <c r="F49" i="62" s="1"/>
  <c r="H50" i="62"/>
  <c r="J50" i="62"/>
  <c r="P51" i="62" l="1"/>
  <c r="K50" i="62"/>
  <c r="F50" i="62" s="1"/>
  <c r="N50" i="62"/>
  <c r="I50" i="62" s="1"/>
  <c r="S51" i="62"/>
  <c r="C53" i="62"/>
  <c r="E52" i="62"/>
  <c r="Q51" i="62"/>
  <c r="L50" i="62"/>
  <c r="G50" i="62" s="1"/>
  <c r="O52" i="62"/>
  <c r="T53" i="62"/>
  <c r="R54" i="62"/>
  <c r="M53" i="62"/>
  <c r="J51" i="62"/>
  <c r="H51" i="62"/>
  <c r="T54" i="62" l="1"/>
  <c r="O53" i="62"/>
  <c r="L51" i="62"/>
  <c r="G51" i="62" s="1"/>
  <c r="Q52" i="62"/>
  <c r="J52" i="62"/>
  <c r="H52" i="62"/>
  <c r="M54" i="62"/>
  <c r="R55" i="62"/>
  <c r="C54" i="62"/>
  <c r="E53" i="62"/>
  <c r="N51" i="62"/>
  <c r="I51" i="62" s="1"/>
  <c r="S52" i="62"/>
  <c r="K51" i="62"/>
  <c r="F51" i="62" s="1"/>
  <c r="P52" i="62"/>
  <c r="E54" i="62" l="1"/>
  <c r="C55" i="62"/>
  <c r="R56" i="62"/>
  <c r="M55" i="62"/>
  <c r="N52" i="62"/>
  <c r="I52" i="62" s="1"/>
  <c r="S53" i="62"/>
  <c r="K52" i="62"/>
  <c r="F52" i="62" s="1"/>
  <c r="P53" i="62"/>
  <c r="L52" i="62"/>
  <c r="G52" i="62" s="1"/>
  <c r="Q53" i="62"/>
  <c r="H53" i="62"/>
  <c r="J53" i="62"/>
  <c r="O54" i="62"/>
  <c r="T55" i="62"/>
  <c r="M56" i="62" l="1"/>
  <c r="R57" i="62"/>
  <c r="L53" i="62"/>
  <c r="G53" i="62" s="1"/>
  <c r="Q54" i="62"/>
  <c r="E55" i="62"/>
  <c r="C56" i="62"/>
  <c r="K53" i="62"/>
  <c r="F53" i="62" s="1"/>
  <c r="P54" i="62"/>
  <c r="S54" i="62"/>
  <c r="N53" i="62"/>
  <c r="I53" i="62" s="1"/>
  <c r="O55" i="62"/>
  <c r="T56" i="62"/>
  <c r="H54" i="62"/>
  <c r="J54" i="62"/>
  <c r="S55" i="62" l="1"/>
  <c r="N54" i="62"/>
  <c r="I54" i="62" s="1"/>
  <c r="C57" i="62"/>
  <c r="E56" i="62"/>
  <c r="R58" i="62"/>
  <c r="M57" i="62"/>
  <c r="O56" i="62"/>
  <c r="T57" i="62"/>
  <c r="K54" i="62"/>
  <c r="F54" i="62" s="1"/>
  <c r="P55" i="62"/>
  <c r="H55" i="62"/>
  <c r="J55" i="62"/>
  <c r="Q55" i="62"/>
  <c r="L54" i="62"/>
  <c r="G54" i="62" s="1"/>
  <c r="O57" i="62" l="1"/>
  <c r="T58" i="62"/>
  <c r="E57" i="62"/>
  <c r="C58" i="62"/>
  <c r="P56" i="62"/>
  <c r="K55" i="62"/>
  <c r="F55" i="62" s="1"/>
  <c r="L55" i="62"/>
  <c r="G55" i="62" s="1"/>
  <c r="Q56" i="62"/>
  <c r="R59" i="62"/>
  <c r="M58" i="62"/>
  <c r="H56" i="62"/>
  <c r="J56" i="62"/>
  <c r="S56" i="62"/>
  <c r="N55" i="62"/>
  <c r="I55" i="62" s="1"/>
  <c r="R60" i="62" l="1"/>
  <c r="M59" i="62"/>
  <c r="L56" i="62"/>
  <c r="G56" i="62" s="1"/>
  <c r="Q57" i="62"/>
  <c r="E58" i="62"/>
  <c r="C59" i="62"/>
  <c r="H57" i="62"/>
  <c r="J57" i="62"/>
  <c r="O58" i="62"/>
  <c r="T59" i="62"/>
  <c r="P57" i="62"/>
  <c r="K56" i="62"/>
  <c r="F56" i="62" s="1"/>
  <c r="S57" i="62"/>
  <c r="N56" i="62"/>
  <c r="I56" i="62" s="1"/>
  <c r="C60" i="62" l="1"/>
  <c r="E59" i="62"/>
  <c r="J58" i="62"/>
  <c r="H58" i="62"/>
  <c r="Q58" i="62"/>
  <c r="L57" i="62"/>
  <c r="G57" i="62" s="1"/>
  <c r="P58" i="62"/>
  <c r="K57" i="62"/>
  <c r="F57" i="62" s="1"/>
  <c r="S58" i="62"/>
  <c r="N57" i="62"/>
  <c r="I57" i="62" s="1"/>
  <c r="O59" i="62"/>
  <c r="T60" i="62"/>
  <c r="M60" i="62"/>
  <c r="R61" i="62"/>
  <c r="S59" i="62" l="1"/>
  <c r="N58" i="62"/>
  <c r="I58" i="62" s="1"/>
  <c r="L58" i="62"/>
  <c r="G58" i="62" s="1"/>
  <c r="Q59" i="62"/>
  <c r="R62" i="62"/>
  <c r="M61" i="62"/>
  <c r="T61" i="62"/>
  <c r="O60" i="62"/>
  <c r="J59" i="62"/>
  <c r="H59" i="62"/>
  <c r="K58" i="62"/>
  <c r="F58" i="62" s="1"/>
  <c r="P59" i="62"/>
  <c r="C61" i="62"/>
  <c r="E60" i="62"/>
  <c r="T62" i="62" l="1"/>
  <c r="O61" i="62"/>
  <c r="R63" i="62"/>
  <c r="M62" i="62"/>
  <c r="E61" i="62"/>
  <c r="C62" i="62"/>
  <c r="H60" i="62"/>
  <c r="J60" i="62"/>
  <c r="L59" i="62"/>
  <c r="G59" i="62" s="1"/>
  <c r="Q60" i="62"/>
  <c r="K59" i="62"/>
  <c r="F59" i="62" s="1"/>
  <c r="P60" i="62"/>
  <c r="N59" i="62"/>
  <c r="I59" i="62" s="1"/>
  <c r="S60" i="62"/>
  <c r="R64" i="62" l="1"/>
  <c r="M63" i="62"/>
  <c r="H61" i="62"/>
  <c r="J61" i="62"/>
  <c r="K60" i="62"/>
  <c r="F60" i="62" s="1"/>
  <c r="P61" i="62"/>
  <c r="C63" i="62"/>
  <c r="E62" i="62"/>
  <c r="S61" i="62"/>
  <c r="N60" i="62"/>
  <c r="I60" i="62" s="1"/>
  <c r="L60" i="62"/>
  <c r="G60" i="62" s="1"/>
  <c r="Q61" i="62"/>
  <c r="T63" i="62"/>
  <c r="O62" i="62"/>
  <c r="K61" i="62" l="1"/>
  <c r="F61" i="62" s="1"/>
  <c r="P62" i="62"/>
  <c r="N61" i="62"/>
  <c r="I61" i="62" s="1"/>
  <c r="S62" i="62"/>
  <c r="E63" i="62"/>
  <c r="C64" i="62"/>
  <c r="O63" i="62"/>
  <c r="T64" i="62"/>
  <c r="L61" i="62"/>
  <c r="G61" i="62" s="1"/>
  <c r="Q62" i="62"/>
  <c r="H62" i="62"/>
  <c r="J62" i="62"/>
  <c r="M64" i="62"/>
  <c r="R65" i="62"/>
  <c r="Q63" i="62" l="1"/>
  <c r="L62" i="62"/>
  <c r="G62" i="62" s="1"/>
  <c r="O64" i="62"/>
  <c r="T65" i="62"/>
  <c r="J63" i="62"/>
  <c r="H63" i="62"/>
  <c r="K62" i="62"/>
  <c r="F62" i="62" s="1"/>
  <c r="P63" i="62"/>
  <c r="C65" i="62"/>
  <c r="E64" i="62"/>
  <c r="M65" i="62"/>
  <c r="R66" i="62"/>
  <c r="N62" i="62"/>
  <c r="I62" i="62" s="1"/>
  <c r="S63" i="62"/>
  <c r="K63" i="62" l="1"/>
  <c r="F63" i="62" s="1"/>
  <c r="P64" i="62"/>
  <c r="C66" i="62"/>
  <c r="E65" i="62"/>
  <c r="S64" i="62"/>
  <c r="N63" i="62"/>
  <c r="I63" i="62" s="1"/>
  <c r="T66" i="62"/>
  <c r="O65" i="62"/>
  <c r="M66" i="62"/>
  <c r="R67" i="62"/>
  <c r="J64" i="62"/>
  <c r="H64" i="62"/>
  <c r="Q64" i="62"/>
  <c r="L63" i="62"/>
  <c r="G63" i="62" s="1"/>
  <c r="R68" i="62" l="1"/>
  <c r="M67" i="62"/>
  <c r="C67" i="62"/>
  <c r="E66" i="62"/>
  <c r="N64" i="62"/>
  <c r="I64" i="62" s="1"/>
  <c r="S65" i="62"/>
  <c r="Q65" i="62"/>
  <c r="L64" i="62"/>
  <c r="G64" i="62" s="1"/>
  <c r="P65" i="62"/>
  <c r="K64" i="62"/>
  <c r="F64" i="62" s="1"/>
  <c r="T67" i="62"/>
  <c r="O66" i="62"/>
  <c r="J65" i="62"/>
  <c r="H65" i="62"/>
  <c r="L65" i="62" l="1"/>
  <c r="G65" i="62" s="1"/>
  <c r="Q66" i="62"/>
  <c r="T68" i="62"/>
  <c r="O67" i="62"/>
  <c r="K65" i="62"/>
  <c r="F65" i="62" s="1"/>
  <c r="P66" i="62"/>
  <c r="N65" i="62"/>
  <c r="I65" i="62" s="1"/>
  <c r="S66" i="62"/>
  <c r="H66" i="62"/>
  <c r="J66" i="62"/>
  <c r="E67" i="62"/>
  <c r="C68" i="62"/>
  <c r="R69" i="62"/>
  <c r="M68" i="62"/>
  <c r="P67" i="62" l="1"/>
  <c r="K66" i="62"/>
  <c r="F66" i="62" s="1"/>
  <c r="C69" i="62"/>
  <c r="E68" i="62"/>
  <c r="J67" i="62"/>
  <c r="H67" i="62"/>
  <c r="Q67" i="62"/>
  <c r="L66" i="62"/>
  <c r="G66" i="62" s="1"/>
  <c r="N66" i="62"/>
  <c r="I66" i="62" s="1"/>
  <c r="S67" i="62"/>
  <c r="M69" i="62"/>
  <c r="R70" i="62"/>
  <c r="T69" i="62"/>
  <c r="O68" i="62"/>
  <c r="Q68" i="62" l="1"/>
  <c r="L67" i="62"/>
  <c r="G67" i="62" s="1"/>
  <c r="T70" i="62"/>
  <c r="O69" i="62"/>
  <c r="M70" i="62"/>
  <c r="R71" i="62"/>
  <c r="J68" i="62"/>
  <c r="H68" i="62"/>
  <c r="C70" i="62"/>
  <c r="E69" i="62"/>
  <c r="S68" i="62"/>
  <c r="N67" i="62"/>
  <c r="I67" i="62" s="1"/>
  <c r="K67" i="62"/>
  <c r="F67" i="62" s="1"/>
  <c r="P68" i="62"/>
  <c r="E70" i="62" l="1"/>
  <c r="C71" i="62"/>
  <c r="M71" i="62"/>
  <c r="R72" i="62"/>
  <c r="K68" i="62"/>
  <c r="F68" i="62" s="1"/>
  <c r="P69" i="62"/>
  <c r="S69" i="62"/>
  <c r="N68" i="62"/>
  <c r="I68" i="62" s="1"/>
  <c r="T71" i="62"/>
  <c r="O70" i="62"/>
  <c r="J69" i="62"/>
  <c r="H69" i="62"/>
  <c r="Q69" i="62"/>
  <c r="L68" i="62"/>
  <c r="G68" i="62" s="1"/>
  <c r="S70" i="62" l="1"/>
  <c r="N69" i="62"/>
  <c r="I69" i="62" s="1"/>
  <c r="O71" i="62"/>
  <c r="T72" i="62"/>
  <c r="P70" i="62"/>
  <c r="K69" i="62"/>
  <c r="F69" i="62" s="1"/>
  <c r="M72" i="62"/>
  <c r="R73" i="62"/>
  <c r="C72" i="62"/>
  <c r="E71" i="62"/>
  <c r="Q70" i="62"/>
  <c r="L69" i="62"/>
  <c r="G69" i="62" s="1"/>
  <c r="J70" i="62"/>
  <c r="H70" i="62"/>
  <c r="J71" i="62" l="1"/>
  <c r="H71" i="62"/>
  <c r="C73" i="62"/>
  <c r="E72" i="62"/>
  <c r="P71" i="62"/>
  <c r="K70" i="62"/>
  <c r="F70" i="62" s="1"/>
  <c r="Q71" i="62"/>
  <c r="L70" i="62"/>
  <c r="G70" i="62" s="1"/>
  <c r="M73" i="62"/>
  <c r="R74" i="62"/>
  <c r="T73" i="62"/>
  <c r="O72" i="62"/>
  <c r="N70" i="62"/>
  <c r="I70" i="62" s="1"/>
  <c r="S71" i="62"/>
  <c r="J72" i="62" l="1"/>
  <c r="H72" i="62"/>
  <c r="N71" i="62"/>
  <c r="I71" i="62" s="1"/>
  <c r="S72" i="62"/>
  <c r="T74" i="62"/>
  <c r="O73" i="62"/>
  <c r="L71" i="62"/>
  <c r="G71" i="62" s="1"/>
  <c r="Q72" i="62"/>
  <c r="P72" i="62"/>
  <c r="K71" i="62"/>
  <c r="F71" i="62" s="1"/>
  <c r="E73" i="62"/>
  <c r="C74" i="62"/>
  <c r="R75" i="62"/>
  <c r="M74" i="62"/>
  <c r="K72" i="62" l="1"/>
  <c r="F72" i="62" s="1"/>
  <c r="P73" i="62"/>
  <c r="L72" i="62"/>
  <c r="G72" i="62" s="1"/>
  <c r="Q73" i="62"/>
  <c r="S73" i="62"/>
  <c r="N72" i="62"/>
  <c r="I72" i="62" s="1"/>
  <c r="C75" i="62"/>
  <c r="E74" i="62"/>
  <c r="H73" i="62"/>
  <c r="J73" i="62"/>
  <c r="O74" i="62"/>
  <c r="T75" i="62"/>
  <c r="R76" i="62"/>
  <c r="M75" i="62"/>
  <c r="E75" i="62" l="1"/>
  <c r="C76" i="62"/>
  <c r="N73" i="62"/>
  <c r="I73" i="62" s="1"/>
  <c r="S74" i="62"/>
  <c r="L73" i="62"/>
  <c r="G73" i="62" s="1"/>
  <c r="Q74" i="62"/>
  <c r="T76" i="62"/>
  <c r="O75" i="62"/>
  <c r="P74" i="62"/>
  <c r="K73" i="62"/>
  <c r="F73" i="62" s="1"/>
  <c r="J74" i="62"/>
  <c r="H74" i="62"/>
  <c r="M76" i="62"/>
  <c r="R77" i="62"/>
  <c r="P75" i="62" l="1"/>
  <c r="K74" i="62"/>
  <c r="F74" i="62" s="1"/>
  <c r="Q75" i="62"/>
  <c r="L74" i="62"/>
  <c r="G74" i="62" s="1"/>
  <c r="M77" i="62"/>
  <c r="R78" i="62"/>
  <c r="C77" i="62"/>
  <c r="E76" i="62"/>
  <c r="O76" i="62"/>
  <c r="T77" i="62"/>
  <c r="S75" i="62"/>
  <c r="N74" i="62"/>
  <c r="I74" i="62" s="1"/>
  <c r="J75" i="62"/>
  <c r="H75" i="62"/>
  <c r="N75" i="62" l="1"/>
  <c r="I75" i="62" s="1"/>
  <c r="S76" i="62"/>
  <c r="J76" i="62"/>
  <c r="H76" i="62"/>
  <c r="M78" i="62"/>
  <c r="R79" i="62"/>
  <c r="T78" i="62"/>
  <c r="O77" i="62"/>
  <c r="C78" i="62"/>
  <c r="E77" i="62"/>
  <c r="L75" i="62"/>
  <c r="G75" i="62" s="1"/>
  <c r="Q76" i="62"/>
  <c r="P76" i="62"/>
  <c r="K75" i="62"/>
  <c r="F75" i="62" s="1"/>
  <c r="P77" i="62" l="1"/>
  <c r="K76" i="62"/>
  <c r="F76" i="62" s="1"/>
  <c r="Q77" i="62"/>
  <c r="L76" i="62"/>
  <c r="G76" i="62" s="1"/>
  <c r="S77" i="62"/>
  <c r="N76" i="62"/>
  <c r="I76" i="62" s="1"/>
  <c r="E78" i="62"/>
  <c r="C79" i="62"/>
  <c r="O78" i="62"/>
  <c r="T79" i="62"/>
  <c r="R80" i="62"/>
  <c r="M79" i="62"/>
  <c r="J77" i="62"/>
  <c r="H77" i="62"/>
  <c r="M80" i="62" l="1"/>
  <c r="R81" i="62"/>
  <c r="T80" i="62"/>
  <c r="O79" i="62"/>
  <c r="H78" i="62"/>
  <c r="J78" i="62"/>
  <c r="C80" i="62"/>
  <c r="E79" i="62"/>
  <c r="N77" i="62"/>
  <c r="I77" i="62" s="1"/>
  <c r="S78" i="62"/>
  <c r="L77" i="62"/>
  <c r="G77" i="62" s="1"/>
  <c r="Q78" i="62"/>
  <c r="K77" i="62"/>
  <c r="F77" i="62" s="1"/>
  <c r="P78" i="62"/>
  <c r="T81" i="62" l="1"/>
  <c r="O80" i="62"/>
  <c r="R82" i="62"/>
  <c r="M81" i="62"/>
  <c r="J79" i="62"/>
  <c r="H79" i="62"/>
  <c r="E80" i="62"/>
  <c r="C81" i="62"/>
  <c r="K78" i="62"/>
  <c r="F78" i="62" s="1"/>
  <c r="P79" i="62"/>
  <c r="L78" i="62"/>
  <c r="G78" i="62" s="1"/>
  <c r="Q79" i="62"/>
  <c r="S79" i="62"/>
  <c r="N78" i="62"/>
  <c r="I78" i="62" s="1"/>
  <c r="Q80" i="62" l="1"/>
  <c r="L79" i="62"/>
  <c r="G79" i="62" s="1"/>
  <c r="E81" i="62"/>
  <c r="C82" i="62"/>
  <c r="H80" i="62"/>
  <c r="J80" i="62"/>
  <c r="S80" i="62"/>
  <c r="N79" i="62"/>
  <c r="I79" i="62" s="1"/>
  <c r="R83" i="62"/>
  <c r="M82" i="62"/>
  <c r="K79" i="62"/>
  <c r="F79" i="62" s="1"/>
  <c r="P80" i="62"/>
  <c r="T82" i="62"/>
  <c r="O81" i="62"/>
  <c r="M83" i="62" l="1"/>
  <c r="R84" i="62"/>
  <c r="E82" i="62"/>
  <c r="C83" i="62"/>
  <c r="K80" i="62"/>
  <c r="F80" i="62" s="1"/>
  <c r="P81" i="62"/>
  <c r="S81" i="62"/>
  <c r="N80" i="62"/>
  <c r="I80" i="62" s="1"/>
  <c r="T83" i="62"/>
  <c r="O82" i="62"/>
  <c r="J81" i="62"/>
  <c r="H81" i="62"/>
  <c r="L80" i="62"/>
  <c r="G80" i="62" s="1"/>
  <c r="Q81" i="62"/>
  <c r="P82" i="62" l="1"/>
  <c r="K81" i="62"/>
  <c r="F81" i="62" s="1"/>
  <c r="Q82" i="62"/>
  <c r="L81" i="62"/>
  <c r="G81" i="62" s="1"/>
  <c r="H82" i="62"/>
  <c r="J82" i="62"/>
  <c r="R85" i="62"/>
  <c r="M84" i="62"/>
  <c r="O83" i="62"/>
  <c r="T84" i="62"/>
  <c r="S82" i="62"/>
  <c r="N81" i="62"/>
  <c r="I81" i="62" s="1"/>
  <c r="C84" i="62"/>
  <c r="E83" i="62"/>
  <c r="E84" i="62" l="1"/>
  <c r="C85" i="62"/>
  <c r="R86" i="62"/>
  <c r="M85" i="62"/>
  <c r="J83" i="62"/>
  <c r="H83" i="62"/>
  <c r="L82" i="62"/>
  <c r="G82" i="62" s="1"/>
  <c r="Q83" i="62"/>
  <c r="N82" i="62"/>
  <c r="I82" i="62" s="1"/>
  <c r="S83" i="62"/>
  <c r="T85" i="62"/>
  <c r="O84" i="62"/>
  <c r="K82" i="62"/>
  <c r="F82" i="62" s="1"/>
  <c r="P83" i="62"/>
  <c r="Q84" i="62" l="1"/>
  <c r="L83" i="62"/>
  <c r="G83" i="62" s="1"/>
  <c r="E85" i="62"/>
  <c r="C86" i="62"/>
  <c r="P84" i="62"/>
  <c r="K83" i="62"/>
  <c r="F83" i="62" s="1"/>
  <c r="R87" i="62"/>
  <c r="M86" i="62"/>
  <c r="T86" i="62"/>
  <c r="O85" i="62"/>
  <c r="N83" i="62"/>
  <c r="I83" i="62" s="1"/>
  <c r="S84" i="62"/>
  <c r="H84" i="62"/>
  <c r="J84" i="62"/>
  <c r="H85" i="62" l="1"/>
  <c r="J85" i="62"/>
  <c r="E86" i="62"/>
  <c r="C87" i="62"/>
  <c r="S85" i="62"/>
  <c r="N84" i="62"/>
  <c r="I84" i="62" s="1"/>
  <c r="O86" i="62"/>
  <c r="T87" i="62"/>
  <c r="M87" i="62"/>
  <c r="R88" i="62"/>
  <c r="K84" i="62"/>
  <c r="F84" i="62" s="1"/>
  <c r="P85" i="62"/>
  <c r="L84" i="62"/>
  <c r="G84" i="62" s="1"/>
  <c r="Q85" i="62"/>
  <c r="E87" i="62" l="1"/>
  <c r="C88" i="62"/>
  <c r="Q86" i="62"/>
  <c r="L85" i="62"/>
  <c r="G85" i="62" s="1"/>
  <c r="T88" i="62"/>
  <c r="O87" i="62"/>
  <c r="N85" i="62"/>
  <c r="I85" i="62" s="1"/>
  <c r="S86" i="62"/>
  <c r="H86" i="62"/>
  <c r="J86" i="62"/>
  <c r="K85" i="62"/>
  <c r="F85" i="62" s="1"/>
  <c r="P86" i="62"/>
  <c r="R89" i="62"/>
  <c r="M88" i="62"/>
  <c r="K86" i="62" l="1"/>
  <c r="F86" i="62" s="1"/>
  <c r="P87" i="62"/>
  <c r="S87" i="62"/>
  <c r="N86" i="62"/>
  <c r="I86" i="62" s="1"/>
  <c r="C89" i="62"/>
  <c r="E88" i="62"/>
  <c r="O88" i="62"/>
  <c r="T89" i="62"/>
  <c r="M89" i="62"/>
  <c r="R90" i="62"/>
  <c r="Q87" i="62"/>
  <c r="L86" i="62"/>
  <c r="G86" i="62" s="1"/>
  <c r="J87" i="62"/>
  <c r="H87" i="62"/>
  <c r="L87" i="62" l="1"/>
  <c r="G87" i="62" s="1"/>
  <c r="Q88" i="62"/>
  <c r="R91" i="62"/>
  <c r="M90" i="62"/>
  <c r="T90" i="62"/>
  <c r="O89" i="62"/>
  <c r="J88" i="62"/>
  <c r="H88" i="62"/>
  <c r="E89" i="62"/>
  <c r="C90" i="62"/>
  <c r="S88" i="62"/>
  <c r="N87" i="62"/>
  <c r="I87" i="62" s="1"/>
  <c r="P88" i="62"/>
  <c r="K87" i="62"/>
  <c r="F87" i="62" s="1"/>
  <c r="O90" i="62" l="1"/>
  <c r="T91" i="62"/>
  <c r="R92" i="62"/>
  <c r="M91" i="62"/>
  <c r="N88" i="62"/>
  <c r="I88" i="62" s="1"/>
  <c r="S89" i="62"/>
  <c r="Q89" i="62"/>
  <c r="L88" i="62"/>
  <c r="G88" i="62" s="1"/>
  <c r="J89" i="62"/>
  <c r="H89" i="62"/>
  <c r="P89" i="62"/>
  <c r="K88" i="62"/>
  <c r="F88" i="62" s="1"/>
  <c r="E90" i="62"/>
  <c r="C91" i="62"/>
  <c r="T92" i="62" l="1"/>
  <c r="O91" i="62"/>
  <c r="Q90" i="62"/>
  <c r="L89" i="62"/>
  <c r="G89" i="62" s="1"/>
  <c r="S90" i="62"/>
  <c r="N89" i="62"/>
  <c r="I89" i="62" s="1"/>
  <c r="C92" i="62"/>
  <c r="E91" i="62"/>
  <c r="H90" i="62"/>
  <c r="J90" i="62"/>
  <c r="M92" i="62"/>
  <c r="R93" i="62"/>
  <c r="P90" i="62"/>
  <c r="K89" i="62"/>
  <c r="F89" i="62" s="1"/>
  <c r="H91" i="62" l="1"/>
  <c r="J91" i="62"/>
  <c r="L90" i="62"/>
  <c r="G90" i="62" s="1"/>
  <c r="Q91" i="62"/>
  <c r="E92" i="62"/>
  <c r="C93" i="62"/>
  <c r="S91" i="62"/>
  <c r="N90" i="62"/>
  <c r="I90" i="62" s="1"/>
  <c r="K90" i="62"/>
  <c r="F90" i="62" s="1"/>
  <c r="P91" i="62"/>
  <c r="M93" i="62"/>
  <c r="R94" i="62"/>
  <c r="T93" i="62"/>
  <c r="O92" i="62"/>
  <c r="C94" i="62" l="1"/>
  <c r="E93" i="62"/>
  <c r="J92" i="62"/>
  <c r="H92" i="62"/>
  <c r="Q92" i="62"/>
  <c r="L91" i="62"/>
  <c r="G91" i="62" s="1"/>
  <c r="S92" i="62"/>
  <c r="N91" i="62"/>
  <c r="I91" i="62" s="1"/>
  <c r="O93" i="62"/>
  <c r="T94" i="62"/>
  <c r="R95" i="62"/>
  <c r="M94" i="62"/>
  <c r="K91" i="62"/>
  <c r="F91" i="62" s="1"/>
  <c r="P92" i="62"/>
  <c r="T95" i="62" l="1"/>
  <c r="O94" i="62"/>
  <c r="E94" i="62"/>
  <c r="C95" i="62"/>
  <c r="N92" i="62"/>
  <c r="I92" i="62" s="1"/>
  <c r="S93" i="62"/>
  <c r="L92" i="62"/>
  <c r="G92" i="62" s="1"/>
  <c r="Q93" i="62"/>
  <c r="P93" i="62"/>
  <c r="K92" i="62"/>
  <c r="F92" i="62" s="1"/>
  <c r="M95" i="62"/>
  <c r="R96" i="62"/>
  <c r="J93" i="62"/>
  <c r="H93" i="62"/>
  <c r="R97" i="62" l="1"/>
  <c r="M96" i="62"/>
  <c r="P94" i="62"/>
  <c r="K93" i="62"/>
  <c r="F93" i="62" s="1"/>
  <c r="C96" i="62"/>
  <c r="E95" i="62"/>
  <c r="Q94" i="62"/>
  <c r="L93" i="62"/>
  <c r="G93" i="62" s="1"/>
  <c r="N93" i="62"/>
  <c r="I93" i="62" s="1"/>
  <c r="S94" i="62"/>
  <c r="H94" i="62"/>
  <c r="J94" i="62"/>
  <c r="T96" i="62"/>
  <c r="O95" i="62"/>
  <c r="K94" i="62" l="1"/>
  <c r="F94" i="62" s="1"/>
  <c r="P95" i="62"/>
  <c r="L94" i="62"/>
  <c r="G94" i="62" s="1"/>
  <c r="Q95" i="62"/>
  <c r="C97" i="62"/>
  <c r="E96" i="62"/>
  <c r="T97" i="62"/>
  <c r="O96" i="62"/>
  <c r="N94" i="62"/>
  <c r="I94" i="62" s="1"/>
  <c r="S95" i="62"/>
  <c r="J95" i="62"/>
  <c r="H95" i="62"/>
  <c r="R98" i="62"/>
  <c r="M97" i="62"/>
  <c r="H96" i="62" l="1"/>
  <c r="J96" i="62"/>
  <c r="C98" i="62"/>
  <c r="E97" i="62"/>
  <c r="Q96" i="62"/>
  <c r="L95" i="62"/>
  <c r="G95" i="62" s="1"/>
  <c r="K95" i="62"/>
  <c r="F95" i="62" s="1"/>
  <c r="P96" i="62"/>
  <c r="N95" i="62"/>
  <c r="I95" i="62" s="1"/>
  <c r="S96" i="62"/>
  <c r="O97" i="62"/>
  <c r="T98" i="62"/>
  <c r="R99" i="62"/>
  <c r="M98" i="62"/>
  <c r="H97" i="62" l="1"/>
  <c r="J97" i="62"/>
  <c r="E98" i="62"/>
  <c r="C99" i="62"/>
  <c r="T99" i="62"/>
  <c r="O98" i="62"/>
  <c r="P97" i="62"/>
  <c r="K96" i="62"/>
  <c r="F96" i="62" s="1"/>
  <c r="L96" i="62"/>
  <c r="G96" i="62" s="1"/>
  <c r="Q97" i="62"/>
  <c r="R100" i="62"/>
  <c r="M99" i="62"/>
  <c r="S97" i="62"/>
  <c r="N96" i="62"/>
  <c r="I96" i="62" s="1"/>
  <c r="O99" i="62" l="1"/>
  <c r="T100" i="62"/>
  <c r="P98" i="62"/>
  <c r="K97" i="62"/>
  <c r="F97" i="62" s="1"/>
  <c r="E99" i="62"/>
  <c r="C100" i="62"/>
  <c r="N97" i="62"/>
  <c r="I97" i="62" s="1"/>
  <c r="S98" i="62"/>
  <c r="M100" i="62"/>
  <c r="R101" i="62"/>
  <c r="J98" i="62"/>
  <c r="H98" i="62"/>
  <c r="Q98" i="62"/>
  <c r="L97" i="62"/>
  <c r="G97" i="62" s="1"/>
  <c r="N98" i="62" l="1"/>
  <c r="I98" i="62" s="1"/>
  <c r="S99" i="62"/>
  <c r="E100" i="62"/>
  <c r="C101" i="62"/>
  <c r="T101" i="62"/>
  <c r="O100" i="62"/>
  <c r="M101" i="62"/>
  <c r="R102" i="62"/>
  <c r="J99" i="62"/>
  <c r="H99" i="62"/>
  <c r="Q99" i="62"/>
  <c r="L98" i="62"/>
  <c r="G98" i="62" s="1"/>
  <c r="P99" i="62"/>
  <c r="K98" i="62"/>
  <c r="F98" i="62" s="1"/>
  <c r="C102" i="62" l="1"/>
  <c r="E101" i="62"/>
  <c r="Q100" i="62"/>
  <c r="L99" i="62"/>
  <c r="G99" i="62" s="1"/>
  <c r="S100" i="62"/>
  <c r="N99" i="62"/>
  <c r="I99" i="62" s="1"/>
  <c r="M102" i="62"/>
  <c r="R103" i="62"/>
  <c r="O101" i="62"/>
  <c r="T102" i="62"/>
  <c r="P100" i="62"/>
  <c r="K99" i="62"/>
  <c r="F99" i="62" s="1"/>
  <c r="J100" i="62"/>
  <c r="H100" i="62"/>
  <c r="T103" i="62" l="1"/>
  <c r="O102" i="62"/>
  <c r="P101" i="62"/>
  <c r="K100" i="62"/>
  <c r="F100" i="62" s="1"/>
  <c r="R104" i="62"/>
  <c r="M103" i="62"/>
  <c r="J101" i="62"/>
  <c r="H101" i="62"/>
  <c r="N100" i="62"/>
  <c r="I100" i="62" s="1"/>
  <c r="S101" i="62"/>
  <c r="L100" i="62"/>
  <c r="G100" i="62" s="1"/>
  <c r="Q101" i="62"/>
  <c r="C103" i="62"/>
  <c r="E102" i="62"/>
  <c r="R105" i="62" l="1"/>
  <c r="M104" i="62"/>
  <c r="P102" i="62"/>
  <c r="K101" i="62"/>
  <c r="F101" i="62" s="1"/>
  <c r="J102" i="62"/>
  <c r="H102" i="62"/>
  <c r="E103" i="62"/>
  <c r="C104" i="62"/>
  <c r="L101" i="62"/>
  <c r="G101" i="62" s="1"/>
  <c r="Q102" i="62"/>
  <c r="S102" i="62"/>
  <c r="N101" i="62"/>
  <c r="I101" i="62" s="1"/>
  <c r="T104" i="62"/>
  <c r="O103" i="62"/>
  <c r="K102" i="62" l="1"/>
  <c r="F102" i="62" s="1"/>
  <c r="P103" i="62"/>
  <c r="T105" i="62"/>
  <c r="O104" i="62"/>
  <c r="S103" i="62"/>
  <c r="N102" i="62"/>
  <c r="I102" i="62" s="1"/>
  <c r="C105" i="62"/>
  <c r="E104" i="62"/>
  <c r="H103" i="62"/>
  <c r="J103" i="62"/>
  <c r="Q103" i="62"/>
  <c r="L102" i="62"/>
  <c r="G102" i="62" s="1"/>
  <c r="M105" i="62"/>
  <c r="R106" i="62"/>
  <c r="C106" i="62" l="1"/>
  <c r="E105" i="62"/>
  <c r="S104" i="62"/>
  <c r="N103" i="62"/>
  <c r="I103" i="62" s="1"/>
  <c r="O105" i="62"/>
  <c r="T106" i="62"/>
  <c r="H104" i="62"/>
  <c r="J104" i="62"/>
  <c r="L103" i="62"/>
  <c r="G103" i="62" s="1"/>
  <c r="Q104" i="62"/>
  <c r="K103" i="62"/>
  <c r="F103" i="62" s="1"/>
  <c r="P104" i="62"/>
  <c r="R107" i="62"/>
  <c r="M106" i="62"/>
  <c r="P105" i="62" l="1"/>
  <c r="K104" i="62"/>
  <c r="F104" i="62" s="1"/>
  <c r="J105" i="62"/>
  <c r="H105" i="62"/>
  <c r="O106" i="62"/>
  <c r="T107" i="62"/>
  <c r="M107" i="62"/>
  <c r="R108" i="62"/>
  <c r="S105" i="62"/>
  <c r="N104" i="62"/>
  <c r="I104" i="62" s="1"/>
  <c r="Q105" i="62"/>
  <c r="L104" i="62"/>
  <c r="G104" i="62" s="1"/>
  <c r="E106" i="62"/>
  <c r="C107" i="62"/>
  <c r="O107" i="62" l="1"/>
  <c r="T108" i="62"/>
  <c r="E107" i="62"/>
  <c r="C108" i="62"/>
  <c r="N105" i="62"/>
  <c r="I105" i="62" s="1"/>
  <c r="S106" i="62"/>
  <c r="M108" i="62"/>
  <c r="R109" i="62"/>
  <c r="H106" i="62"/>
  <c r="J106" i="62"/>
  <c r="L105" i="62"/>
  <c r="G105" i="62" s="1"/>
  <c r="Q106" i="62"/>
  <c r="P106" i="62"/>
  <c r="K105" i="62"/>
  <c r="F105" i="62" s="1"/>
  <c r="N106" i="62" l="1"/>
  <c r="I106" i="62" s="1"/>
  <c r="S107" i="62"/>
  <c r="C109" i="62"/>
  <c r="E108" i="62"/>
  <c r="P107" i="62"/>
  <c r="K106" i="62"/>
  <c r="F106" i="62" s="1"/>
  <c r="H107" i="62"/>
  <c r="J107" i="62"/>
  <c r="R110" i="62"/>
  <c r="M109" i="62"/>
  <c r="Q107" i="62"/>
  <c r="L106" i="62"/>
  <c r="G106" i="62" s="1"/>
  <c r="O108" i="62"/>
  <c r="T109" i="62"/>
  <c r="R111" i="62" l="1"/>
  <c r="M110" i="62"/>
  <c r="J108" i="62"/>
  <c r="H108" i="62"/>
  <c r="T110" i="62"/>
  <c r="O109" i="62"/>
  <c r="K107" i="62"/>
  <c r="F107" i="62" s="1"/>
  <c r="P108" i="62"/>
  <c r="E109" i="62"/>
  <c r="C110" i="62"/>
  <c r="L107" i="62"/>
  <c r="G107" i="62" s="1"/>
  <c r="Q108" i="62"/>
  <c r="N107" i="62"/>
  <c r="I107" i="62" s="1"/>
  <c r="S108" i="62"/>
  <c r="H109" i="62" l="1"/>
  <c r="J109" i="62"/>
  <c r="K108" i="62"/>
  <c r="F108" i="62" s="1"/>
  <c r="P109" i="62"/>
  <c r="S109" i="62"/>
  <c r="N108" i="62"/>
  <c r="I108" i="62" s="1"/>
  <c r="O110" i="62"/>
  <c r="T111" i="62"/>
  <c r="L108" i="62"/>
  <c r="G108" i="62" s="1"/>
  <c r="Q109" i="62"/>
  <c r="E110" i="62"/>
  <c r="C111" i="62"/>
  <c r="R112" i="62"/>
  <c r="M111" i="62"/>
  <c r="O111" i="62" l="1"/>
  <c r="T112" i="62"/>
  <c r="S110" i="62"/>
  <c r="N109" i="62"/>
  <c r="I109" i="62" s="1"/>
  <c r="P110" i="62"/>
  <c r="K109" i="62"/>
  <c r="F109" i="62" s="1"/>
  <c r="M112" i="62"/>
  <c r="R113" i="62"/>
  <c r="E111" i="62"/>
  <c r="C112" i="62"/>
  <c r="H110" i="62"/>
  <c r="J110" i="62"/>
  <c r="Q110" i="62"/>
  <c r="L109" i="62"/>
  <c r="G109" i="62" s="1"/>
  <c r="E112" i="62" l="1"/>
  <c r="C113" i="62"/>
  <c r="P111" i="62"/>
  <c r="K110" i="62"/>
  <c r="F110" i="62" s="1"/>
  <c r="S111" i="62"/>
  <c r="N110" i="62"/>
  <c r="I110" i="62" s="1"/>
  <c r="H111" i="62"/>
  <c r="J111" i="62"/>
  <c r="M113" i="62"/>
  <c r="R114" i="62"/>
  <c r="O112" i="62"/>
  <c r="T113" i="62"/>
  <c r="Q111" i="62"/>
  <c r="L110" i="62"/>
  <c r="G110" i="62" s="1"/>
  <c r="N111" i="62" l="1"/>
  <c r="I111" i="62" s="1"/>
  <c r="S112" i="62"/>
  <c r="Q112" i="62"/>
  <c r="L111" i="62"/>
  <c r="G111" i="62" s="1"/>
  <c r="O113" i="62"/>
  <c r="T114" i="62"/>
  <c r="P112" i="62"/>
  <c r="K111" i="62"/>
  <c r="F111" i="62" s="1"/>
  <c r="C114" i="62"/>
  <c r="E113" i="62"/>
  <c r="R115" i="62"/>
  <c r="M114" i="62"/>
  <c r="H112" i="62"/>
  <c r="J112" i="62"/>
  <c r="R116" i="62" l="1"/>
  <c r="M115" i="62"/>
  <c r="J113" i="62"/>
  <c r="H113" i="62"/>
  <c r="E114" i="62"/>
  <c r="C115" i="62"/>
  <c r="P113" i="62"/>
  <c r="K112" i="62"/>
  <c r="F112" i="62" s="1"/>
  <c r="Q113" i="62"/>
  <c r="L112" i="62"/>
  <c r="G112" i="62" s="1"/>
  <c r="T115" i="62"/>
  <c r="O114" i="62"/>
  <c r="N112" i="62"/>
  <c r="I112" i="62" s="1"/>
  <c r="S113" i="62"/>
  <c r="E115" i="62" l="1"/>
  <c r="C116" i="62"/>
  <c r="Q114" i="62"/>
  <c r="L113" i="62"/>
  <c r="G113" i="62" s="1"/>
  <c r="J114" i="62"/>
  <c r="H114" i="62"/>
  <c r="P114" i="62"/>
  <c r="K113" i="62"/>
  <c r="F113" i="62" s="1"/>
  <c r="N113" i="62"/>
  <c r="I113" i="62" s="1"/>
  <c r="S114" i="62"/>
  <c r="T116" i="62"/>
  <c r="O115" i="62"/>
  <c r="R117" i="62"/>
  <c r="M116" i="62"/>
  <c r="K114" i="62" l="1"/>
  <c r="F114" i="62" s="1"/>
  <c r="P115" i="62"/>
  <c r="R118" i="62"/>
  <c r="M117" i="62"/>
  <c r="L114" i="62"/>
  <c r="G114" i="62" s="1"/>
  <c r="Q115" i="62"/>
  <c r="T117" i="62"/>
  <c r="O116" i="62"/>
  <c r="C117" i="62"/>
  <c r="E116" i="62"/>
  <c r="N114" i="62"/>
  <c r="I114" i="62" s="1"/>
  <c r="S115" i="62"/>
  <c r="H115" i="62"/>
  <c r="J115" i="62"/>
  <c r="H116" i="62" l="1"/>
  <c r="J116" i="62"/>
  <c r="E117" i="62"/>
  <c r="C118" i="62"/>
  <c r="S116" i="62"/>
  <c r="N115" i="62"/>
  <c r="I115" i="62" s="1"/>
  <c r="Q116" i="62"/>
  <c r="L115" i="62"/>
  <c r="G115" i="62" s="1"/>
  <c r="K115" i="62"/>
  <c r="F115" i="62" s="1"/>
  <c r="P116" i="62"/>
  <c r="T118" i="62"/>
  <c r="O117" i="62"/>
  <c r="M118" i="62"/>
  <c r="R119" i="62"/>
  <c r="H117" i="62" l="1"/>
  <c r="J117" i="62"/>
  <c r="C119" i="62"/>
  <c r="E118" i="62"/>
  <c r="T119" i="62"/>
  <c r="O118" i="62"/>
  <c r="Q117" i="62"/>
  <c r="L116" i="62"/>
  <c r="G116" i="62" s="1"/>
  <c r="S117" i="62"/>
  <c r="N116" i="62"/>
  <c r="I116" i="62" s="1"/>
  <c r="M119" i="62"/>
  <c r="R120" i="62"/>
  <c r="K116" i="62"/>
  <c r="F116" i="62" s="1"/>
  <c r="P117" i="62"/>
  <c r="N117" i="62" l="1"/>
  <c r="I117" i="62" s="1"/>
  <c r="S118" i="62"/>
  <c r="Q118" i="62"/>
  <c r="L117" i="62"/>
  <c r="G117" i="62" s="1"/>
  <c r="O119" i="62"/>
  <c r="T120" i="62"/>
  <c r="J118" i="62"/>
  <c r="H118" i="62"/>
  <c r="M120" i="62"/>
  <c r="R121" i="62"/>
  <c r="E119" i="62"/>
  <c r="C120" i="62"/>
  <c r="P118" i="62"/>
  <c r="K117" i="62"/>
  <c r="F117" i="62" s="1"/>
  <c r="O120" i="62" l="1"/>
  <c r="T121" i="62"/>
  <c r="C121" i="62"/>
  <c r="E120" i="62"/>
  <c r="P119" i="62"/>
  <c r="K118" i="62"/>
  <c r="F118" i="62" s="1"/>
  <c r="Q119" i="62"/>
  <c r="L118" i="62"/>
  <c r="G118" i="62" s="1"/>
  <c r="J119" i="62"/>
  <c r="H119" i="62"/>
  <c r="N118" i="62"/>
  <c r="I118" i="62" s="1"/>
  <c r="S119" i="62"/>
  <c r="R122" i="62"/>
  <c r="M121" i="62"/>
  <c r="K119" i="62" l="1"/>
  <c r="F119" i="62" s="1"/>
  <c r="P120" i="62"/>
  <c r="R123" i="62"/>
  <c r="M122" i="62"/>
  <c r="E121" i="62"/>
  <c r="C122" i="62"/>
  <c r="T122" i="62"/>
  <c r="O121" i="62"/>
  <c r="Q120" i="62"/>
  <c r="L119" i="62"/>
  <c r="G119" i="62" s="1"/>
  <c r="J120" i="62"/>
  <c r="H120" i="62"/>
  <c r="N119" i="62"/>
  <c r="I119" i="62" s="1"/>
  <c r="S120" i="62"/>
  <c r="L120" i="62" l="1"/>
  <c r="G120" i="62" s="1"/>
  <c r="Q121" i="62"/>
  <c r="C123" i="62"/>
  <c r="E122" i="62"/>
  <c r="J121" i="62"/>
  <c r="H121" i="62"/>
  <c r="K120" i="62"/>
  <c r="F120" i="62" s="1"/>
  <c r="P121" i="62"/>
  <c r="T123" i="62"/>
  <c r="O122" i="62"/>
  <c r="N120" i="62"/>
  <c r="I120" i="62" s="1"/>
  <c r="S121" i="62"/>
  <c r="R124" i="62"/>
  <c r="M123" i="62"/>
  <c r="T124" i="62" l="1"/>
  <c r="O123" i="62"/>
  <c r="K121" i="62"/>
  <c r="F121" i="62" s="1"/>
  <c r="P122" i="62"/>
  <c r="S122" i="62"/>
  <c r="N121" i="62"/>
  <c r="I121" i="62" s="1"/>
  <c r="R125" i="62"/>
  <c r="M124" i="62"/>
  <c r="Q122" i="62"/>
  <c r="L121" i="62"/>
  <c r="G121" i="62" s="1"/>
  <c r="H122" i="62"/>
  <c r="J122" i="62"/>
  <c r="C124" i="62"/>
  <c r="E123" i="62"/>
  <c r="L122" i="62" l="1"/>
  <c r="G122" i="62" s="1"/>
  <c r="Q123" i="62"/>
  <c r="M125" i="62"/>
  <c r="R126" i="62"/>
  <c r="S123" i="62"/>
  <c r="N122" i="62"/>
  <c r="I122" i="62" s="1"/>
  <c r="K122" i="62"/>
  <c r="F122" i="62" s="1"/>
  <c r="P123" i="62"/>
  <c r="J123" i="62"/>
  <c r="H123" i="62"/>
  <c r="E124" i="62"/>
  <c r="C125" i="62"/>
  <c r="T125" i="62"/>
  <c r="O124" i="62"/>
  <c r="P124" i="62" l="1"/>
  <c r="K123" i="62"/>
  <c r="F123" i="62" s="1"/>
  <c r="S124" i="62"/>
  <c r="N123" i="62"/>
  <c r="I123" i="62" s="1"/>
  <c r="T126" i="62"/>
  <c r="O125" i="62"/>
  <c r="C126" i="62"/>
  <c r="E125" i="62"/>
  <c r="J124" i="62"/>
  <c r="H124" i="62"/>
  <c r="Q124" i="62"/>
  <c r="L123" i="62"/>
  <c r="G123" i="62" s="1"/>
  <c r="M126" i="62"/>
  <c r="R127" i="62"/>
  <c r="J125" i="62" l="1"/>
  <c r="H125" i="62"/>
  <c r="M127" i="62"/>
  <c r="R128" i="62"/>
  <c r="S125" i="62"/>
  <c r="N124" i="62"/>
  <c r="I124" i="62" s="1"/>
  <c r="C127" i="62"/>
  <c r="E126" i="62"/>
  <c r="T127" i="62"/>
  <c r="O126" i="62"/>
  <c r="Q125" i="62"/>
  <c r="L124" i="62"/>
  <c r="G124" i="62" s="1"/>
  <c r="P125" i="62"/>
  <c r="K124" i="62"/>
  <c r="F124" i="62" s="1"/>
  <c r="C128" i="62" l="1"/>
  <c r="E127" i="62"/>
  <c r="R129" i="62"/>
  <c r="M128" i="62"/>
  <c r="J126" i="62"/>
  <c r="H126" i="62"/>
  <c r="N125" i="62"/>
  <c r="I125" i="62" s="1"/>
  <c r="S126" i="62"/>
  <c r="P126" i="62"/>
  <c r="K125" i="62"/>
  <c r="F125" i="62" s="1"/>
  <c r="L125" i="62"/>
  <c r="G125" i="62" s="1"/>
  <c r="Q126" i="62"/>
  <c r="T128" i="62"/>
  <c r="O127" i="62"/>
  <c r="S127" i="62" l="1"/>
  <c r="N126" i="62"/>
  <c r="I126" i="62" s="1"/>
  <c r="Q127" i="62"/>
  <c r="L126" i="62"/>
  <c r="G126" i="62" s="1"/>
  <c r="O128" i="62"/>
  <c r="T129" i="62"/>
  <c r="H127" i="62"/>
  <c r="J127" i="62"/>
  <c r="P127" i="62"/>
  <c r="K126" i="62"/>
  <c r="F126" i="62" s="1"/>
  <c r="R130" i="62"/>
  <c r="M129" i="62"/>
  <c r="C129" i="62"/>
  <c r="E128" i="62"/>
  <c r="K127" i="62" l="1"/>
  <c r="F127" i="62" s="1"/>
  <c r="P128" i="62"/>
  <c r="J128" i="62"/>
  <c r="H128" i="62"/>
  <c r="E129" i="62"/>
  <c r="C130" i="62"/>
  <c r="R131" i="62"/>
  <c r="M130" i="62"/>
  <c r="T130" i="62"/>
  <c r="O129" i="62"/>
  <c r="L127" i="62"/>
  <c r="G127" i="62" s="1"/>
  <c r="Q128" i="62"/>
  <c r="S128" i="62"/>
  <c r="N127" i="62"/>
  <c r="I127" i="62" s="1"/>
  <c r="S129" i="62" l="1"/>
  <c r="N128" i="62"/>
  <c r="I128" i="62" s="1"/>
  <c r="M131" i="62"/>
  <c r="R132" i="62"/>
  <c r="Q129" i="62"/>
  <c r="L128" i="62"/>
  <c r="G128" i="62" s="1"/>
  <c r="T131" i="62"/>
  <c r="O130" i="62"/>
  <c r="C131" i="62"/>
  <c r="E130" i="62"/>
  <c r="J129" i="62"/>
  <c r="H129" i="62"/>
  <c r="K128" i="62"/>
  <c r="F128" i="62" s="1"/>
  <c r="P129" i="62"/>
  <c r="J130" i="62" l="1"/>
  <c r="H130" i="62"/>
  <c r="E131" i="62"/>
  <c r="C132" i="62"/>
  <c r="P130" i="62"/>
  <c r="K129" i="62"/>
  <c r="F129" i="62" s="1"/>
  <c r="M132" i="62"/>
  <c r="R133" i="62"/>
  <c r="Q130" i="62"/>
  <c r="L129" i="62"/>
  <c r="G129" i="62" s="1"/>
  <c r="T132" i="62"/>
  <c r="O131" i="62"/>
  <c r="N129" i="62"/>
  <c r="I129" i="62" s="1"/>
  <c r="S130" i="62"/>
  <c r="C133" i="62" l="1"/>
  <c r="E132" i="62"/>
  <c r="S131" i="62"/>
  <c r="N130" i="62"/>
  <c r="I130" i="62" s="1"/>
  <c r="R134" i="62"/>
  <c r="M133" i="62"/>
  <c r="J131" i="62"/>
  <c r="H131" i="62"/>
  <c r="O132" i="62"/>
  <c r="T133" i="62"/>
  <c r="Q131" i="62"/>
  <c r="L130" i="62"/>
  <c r="G130" i="62" s="1"/>
  <c r="P131" i="62"/>
  <c r="K130" i="62"/>
  <c r="F130" i="62" s="1"/>
  <c r="S132" i="62" l="1"/>
  <c r="N131" i="62"/>
  <c r="I131" i="62" s="1"/>
  <c r="Q132" i="62"/>
  <c r="L131" i="62"/>
  <c r="G131" i="62" s="1"/>
  <c r="J132" i="62"/>
  <c r="H132" i="62"/>
  <c r="R135" i="62"/>
  <c r="M134" i="62"/>
  <c r="P132" i="62"/>
  <c r="K131" i="62"/>
  <c r="F131" i="62" s="1"/>
  <c r="T134" i="62"/>
  <c r="O133" i="62"/>
  <c r="E133" i="62"/>
  <c r="C134" i="62"/>
  <c r="R136" i="62" l="1"/>
  <c r="M135" i="62"/>
  <c r="P133" i="62"/>
  <c r="K132" i="62"/>
  <c r="F132" i="62" s="1"/>
  <c r="E134" i="62"/>
  <c r="C135" i="62"/>
  <c r="J133" i="62"/>
  <c r="H133" i="62"/>
  <c r="T135" i="62"/>
  <c r="O134" i="62"/>
  <c r="L132" i="62"/>
  <c r="G132" i="62" s="1"/>
  <c r="Q133" i="62"/>
  <c r="S133" i="62"/>
  <c r="N132" i="62"/>
  <c r="I132" i="62" s="1"/>
  <c r="S134" i="62" l="1"/>
  <c r="N133" i="62"/>
  <c r="I133" i="62" s="1"/>
  <c r="Q134" i="62"/>
  <c r="L133" i="62"/>
  <c r="G133" i="62" s="1"/>
  <c r="O135" i="62"/>
  <c r="T136" i="62"/>
  <c r="E135" i="62"/>
  <c r="C136" i="62"/>
  <c r="H134" i="62"/>
  <c r="J134" i="62"/>
  <c r="P134" i="62"/>
  <c r="K133" i="62"/>
  <c r="F133" i="62" s="1"/>
  <c r="M136" i="62"/>
  <c r="R137" i="62"/>
  <c r="C137" i="62" l="1"/>
  <c r="E136" i="62"/>
  <c r="H135" i="62"/>
  <c r="J135" i="62"/>
  <c r="R138" i="62"/>
  <c r="M137" i="62"/>
  <c r="T137" i="62"/>
  <c r="O136" i="62"/>
  <c r="Q135" i="62"/>
  <c r="L134" i="62"/>
  <c r="G134" i="62" s="1"/>
  <c r="P135" i="62"/>
  <c r="K134" i="62"/>
  <c r="F134" i="62" s="1"/>
  <c r="S135" i="62"/>
  <c r="N134" i="62"/>
  <c r="I134" i="62" s="1"/>
  <c r="Q136" i="62" l="1"/>
  <c r="L135" i="62"/>
  <c r="G135" i="62" s="1"/>
  <c r="R139" i="62"/>
  <c r="M138" i="62"/>
  <c r="T138" i="62"/>
  <c r="O137" i="62"/>
  <c r="P136" i="62"/>
  <c r="K135" i="62"/>
  <c r="F135" i="62" s="1"/>
  <c r="J136" i="62"/>
  <c r="H136" i="62"/>
  <c r="S136" i="62"/>
  <c r="N135" i="62"/>
  <c r="I135" i="62" s="1"/>
  <c r="C138" i="62"/>
  <c r="E137" i="62"/>
  <c r="J137" i="62" l="1"/>
  <c r="H137" i="62"/>
  <c r="E138" i="62"/>
  <c r="C139" i="62"/>
  <c r="R140" i="62"/>
  <c r="M139" i="62"/>
  <c r="P137" i="62"/>
  <c r="K136" i="62"/>
  <c r="F136" i="62" s="1"/>
  <c r="T139" i="62"/>
  <c r="O138" i="62"/>
  <c r="N136" i="62"/>
  <c r="I136" i="62" s="1"/>
  <c r="S137" i="62"/>
  <c r="Q137" i="62"/>
  <c r="L136" i="62"/>
  <c r="G136" i="62" s="1"/>
  <c r="P138" i="62" l="1"/>
  <c r="K137" i="62"/>
  <c r="F137" i="62" s="1"/>
  <c r="H138" i="62"/>
  <c r="J138" i="62"/>
  <c r="Q138" i="62"/>
  <c r="L137" i="62"/>
  <c r="G137" i="62" s="1"/>
  <c r="S138" i="62"/>
  <c r="N137" i="62"/>
  <c r="I137" i="62" s="1"/>
  <c r="C140" i="62"/>
  <c r="E139" i="62"/>
  <c r="T140" i="62"/>
  <c r="O139" i="62"/>
  <c r="M140" i="62"/>
  <c r="R141" i="62"/>
  <c r="S139" i="62" l="1"/>
  <c r="N138" i="62"/>
  <c r="I138" i="62" s="1"/>
  <c r="R142" i="62"/>
  <c r="M141" i="62"/>
  <c r="E140" i="62"/>
  <c r="C141" i="62"/>
  <c r="L138" i="62"/>
  <c r="G138" i="62" s="1"/>
  <c r="Q139" i="62"/>
  <c r="T141" i="62"/>
  <c r="O140" i="62"/>
  <c r="H139" i="62"/>
  <c r="J139" i="62"/>
  <c r="K138" i="62"/>
  <c r="F138" i="62" s="1"/>
  <c r="P139" i="62"/>
  <c r="T142" i="62" l="1"/>
  <c r="O141" i="62"/>
  <c r="C142" i="62"/>
  <c r="E141" i="62"/>
  <c r="P140" i="62"/>
  <c r="K139" i="62"/>
  <c r="F139" i="62" s="1"/>
  <c r="R143" i="62"/>
  <c r="M142" i="62"/>
  <c r="Q140" i="62"/>
  <c r="L139" i="62"/>
  <c r="G139" i="62" s="1"/>
  <c r="J140" i="62"/>
  <c r="H140" i="62"/>
  <c r="N139" i="62"/>
  <c r="I139" i="62" s="1"/>
  <c r="S140" i="62"/>
  <c r="L140" i="62" l="1"/>
  <c r="G140" i="62" s="1"/>
  <c r="Q141" i="62"/>
  <c r="N140" i="62"/>
  <c r="I140" i="62" s="1"/>
  <c r="S141" i="62"/>
  <c r="K140" i="62"/>
  <c r="F140" i="62" s="1"/>
  <c r="P141" i="62"/>
  <c r="R144" i="62"/>
  <c r="M143" i="62"/>
  <c r="H141" i="62"/>
  <c r="J141" i="62"/>
  <c r="C143" i="62"/>
  <c r="E142" i="62"/>
  <c r="O142" i="62"/>
  <c r="T143" i="62"/>
  <c r="P142" i="62" l="1"/>
  <c r="K141" i="62"/>
  <c r="F141" i="62" s="1"/>
  <c r="S142" i="62"/>
  <c r="N141" i="62"/>
  <c r="I141" i="62" s="1"/>
  <c r="T144" i="62"/>
  <c r="O143" i="62"/>
  <c r="H142" i="62"/>
  <c r="J142" i="62"/>
  <c r="E143" i="62"/>
  <c r="C144" i="62"/>
  <c r="L141" i="62"/>
  <c r="G141" i="62" s="1"/>
  <c r="Q142" i="62"/>
  <c r="M144" i="62"/>
  <c r="R145" i="62"/>
  <c r="J143" i="62" l="1"/>
  <c r="H143" i="62"/>
  <c r="C145" i="62"/>
  <c r="E144" i="62"/>
  <c r="M145" i="62"/>
  <c r="R146" i="62"/>
  <c r="T145" i="62"/>
  <c r="O144" i="62"/>
  <c r="Q143" i="62"/>
  <c r="L142" i="62"/>
  <c r="G142" i="62" s="1"/>
  <c r="N142" i="62"/>
  <c r="I142" i="62" s="1"/>
  <c r="S143" i="62"/>
  <c r="P143" i="62"/>
  <c r="K142" i="62"/>
  <c r="F142" i="62" s="1"/>
  <c r="H144" i="62" l="1"/>
  <c r="J144" i="62"/>
  <c r="C146" i="62"/>
  <c r="E145" i="62"/>
  <c r="R147" i="62"/>
  <c r="M146" i="62"/>
  <c r="P144" i="62"/>
  <c r="K143" i="62"/>
  <c r="F143" i="62" s="1"/>
  <c r="S144" i="62"/>
  <c r="N143" i="62"/>
  <c r="I143" i="62" s="1"/>
  <c r="L143" i="62"/>
  <c r="G143" i="62" s="1"/>
  <c r="Q144" i="62"/>
  <c r="T146" i="62"/>
  <c r="O145" i="62"/>
  <c r="S145" i="62" l="1"/>
  <c r="N144" i="62"/>
  <c r="I144" i="62" s="1"/>
  <c r="O146" i="62"/>
  <c r="T147" i="62"/>
  <c r="K144" i="62"/>
  <c r="F144" i="62" s="1"/>
  <c r="P145" i="62"/>
  <c r="M147" i="62"/>
  <c r="R148" i="62"/>
  <c r="H145" i="62"/>
  <c r="J145" i="62"/>
  <c r="C147" i="62"/>
  <c r="E146" i="62"/>
  <c r="Q145" i="62"/>
  <c r="L144" i="62"/>
  <c r="G144" i="62" s="1"/>
  <c r="Q146" i="62" l="1"/>
  <c r="L145" i="62"/>
  <c r="G145" i="62" s="1"/>
  <c r="M148" i="62"/>
  <c r="R149" i="62"/>
  <c r="P146" i="62"/>
  <c r="K145" i="62"/>
  <c r="F145" i="62" s="1"/>
  <c r="H146" i="62"/>
  <c r="J146" i="62"/>
  <c r="T148" i="62"/>
  <c r="O147" i="62"/>
  <c r="E147" i="62"/>
  <c r="C148" i="62"/>
  <c r="N145" i="62"/>
  <c r="I145" i="62" s="1"/>
  <c r="S146" i="62"/>
  <c r="T149" i="62" l="1"/>
  <c r="O148" i="62"/>
  <c r="E148" i="62"/>
  <c r="C149" i="62"/>
  <c r="J147" i="62"/>
  <c r="H147" i="62"/>
  <c r="S147" i="62"/>
  <c r="N146" i="62"/>
  <c r="I146" i="62" s="1"/>
  <c r="P147" i="62"/>
  <c r="K146" i="62"/>
  <c r="F146" i="62" s="1"/>
  <c r="M149" i="62"/>
  <c r="R150" i="62"/>
  <c r="Q147" i="62"/>
  <c r="L146" i="62"/>
  <c r="G146" i="62" s="1"/>
  <c r="P148" i="62" l="1"/>
  <c r="K147" i="62"/>
  <c r="F147" i="62" s="1"/>
  <c r="N147" i="62"/>
  <c r="I147" i="62" s="1"/>
  <c r="S148" i="62"/>
  <c r="L147" i="62"/>
  <c r="G147" i="62" s="1"/>
  <c r="Q148" i="62"/>
  <c r="E149" i="62"/>
  <c r="C150" i="62"/>
  <c r="R151" i="62"/>
  <c r="M150" i="62"/>
  <c r="J148" i="62"/>
  <c r="H148" i="62"/>
  <c r="T150" i="62"/>
  <c r="O149" i="62"/>
  <c r="P149" i="62" l="1"/>
  <c r="K148" i="62"/>
  <c r="F148" i="62" s="1"/>
  <c r="R152" i="62"/>
  <c r="M151" i="62"/>
  <c r="Q149" i="62"/>
  <c r="L148" i="62"/>
  <c r="G148" i="62" s="1"/>
  <c r="C151" i="62"/>
  <c r="E150" i="62"/>
  <c r="H149" i="62"/>
  <c r="J149" i="62"/>
  <c r="T151" i="62"/>
  <c r="O150" i="62"/>
  <c r="S149" i="62"/>
  <c r="N148" i="62"/>
  <c r="I148" i="62" s="1"/>
  <c r="Q150" i="62" l="1"/>
  <c r="L149" i="62"/>
  <c r="G149" i="62" s="1"/>
  <c r="P150" i="62"/>
  <c r="K149" i="62"/>
  <c r="F149" i="62" s="1"/>
  <c r="J150" i="62"/>
  <c r="H150" i="62"/>
  <c r="E151" i="62"/>
  <c r="C152" i="62"/>
  <c r="S150" i="62"/>
  <c r="N149" i="62"/>
  <c r="I149" i="62" s="1"/>
  <c r="M152" i="62"/>
  <c r="R153" i="62"/>
  <c r="T152" i="62"/>
  <c r="O151" i="62"/>
  <c r="C153" i="62" l="1"/>
  <c r="E152" i="62"/>
  <c r="L150" i="62"/>
  <c r="G150" i="62" s="1"/>
  <c r="Q151" i="62"/>
  <c r="J151" i="62"/>
  <c r="H151" i="62"/>
  <c r="S151" i="62"/>
  <c r="N150" i="62"/>
  <c r="I150" i="62" s="1"/>
  <c r="O152" i="62"/>
  <c r="T153" i="62"/>
  <c r="R154" i="62"/>
  <c r="M153" i="62"/>
  <c r="K150" i="62"/>
  <c r="F150" i="62" s="1"/>
  <c r="P151" i="62"/>
  <c r="O153" i="62" l="1"/>
  <c r="T154" i="62"/>
  <c r="S152" i="62"/>
  <c r="N151" i="62"/>
  <c r="I151" i="62" s="1"/>
  <c r="P152" i="62"/>
  <c r="K151" i="62"/>
  <c r="F151" i="62" s="1"/>
  <c r="E153" i="62"/>
  <c r="C154" i="62"/>
  <c r="Q152" i="62"/>
  <c r="L151" i="62"/>
  <c r="G151" i="62" s="1"/>
  <c r="M154" i="62"/>
  <c r="R155" i="62"/>
  <c r="H152" i="62"/>
  <c r="J152" i="62"/>
  <c r="R156" i="62" l="1"/>
  <c r="M155" i="62"/>
  <c r="L152" i="62"/>
  <c r="G152" i="62" s="1"/>
  <c r="Q153" i="62"/>
  <c r="E154" i="62"/>
  <c r="C155" i="62"/>
  <c r="J153" i="62"/>
  <c r="H153" i="62"/>
  <c r="P153" i="62"/>
  <c r="K152" i="62"/>
  <c r="F152" i="62" s="1"/>
  <c r="S153" i="62"/>
  <c r="N152" i="62"/>
  <c r="I152" i="62" s="1"/>
  <c r="O154" i="62"/>
  <c r="T155" i="62"/>
  <c r="O155" i="62" l="1"/>
  <c r="T156" i="62"/>
  <c r="J154" i="62"/>
  <c r="H154" i="62"/>
  <c r="Q154" i="62"/>
  <c r="L153" i="62"/>
  <c r="G153" i="62" s="1"/>
  <c r="N153" i="62"/>
  <c r="I153" i="62" s="1"/>
  <c r="S154" i="62"/>
  <c r="P154" i="62"/>
  <c r="K153" i="62"/>
  <c r="F153" i="62" s="1"/>
  <c r="C156" i="62"/>
  <c r="E155" i="62"/>
  <c r="R157" i="62"/>
  <c r="M156" i="62"/>
  <c r="N154" i="62" l="1"/>
  <c r="I154" i="62" s="1"/>
  <c r="S155" i="62"/>
  <c r="K154" i="62"/>
  <c r="F154" i="62" s="1"/>
  <c r="P155" i="62"/>
  <c r="L154" i="62"/>
  <c r="G154" i="62" s="1"/>
  <c r="Q155" i="62"/>
  <c r="R158" i="62"/>
  <c r="M157" i="62"/>
  <c r="J155" i="62"/>
  <c r="H155" i="62"/>
  <c r="C157" i="62"/>
  <c r="E156" i="62"/>
  <c r="T157" i="62"/>
  <c r="O156" i="62"/>
  <c r="H156" i="62" l="1"/>
  <c r="J156" i="62"/>
  <c r="M158" i="62"/>
  <c r="R159" i="62"/>
  <c r="L155" i="62"/>
  <c r="G155" i="62" s="1"/>
  <c r="Q156" i="62"/>
  <c r="P156" i="62"/>
  <c r="K155" i="62"/>
  <c r="F155" i="62" s="1"/>
  <c r="E157" i="62"/>
  <c r="C158" i="62"/>
  <c r="S156" i="62"/>
  <c r="N155" i="62"/>
  <c r="I155" i="62" s="1"/>
  <c r="T158" i="62"/>
  <c r="O157" i="62"/>
  <c r="L156" i="62" l="1"/>
  <c r="G156" i="62" s="1"/>
  <c r="Q157" i="62"/>
  <c r="H157" i="62"/>
  <c r="J157" i="62"/>
  <c r="P157" i="62"/>
  <c r="K156" i="62"/>
  <c r="F156" i="62" s="1"/>
  <c r="M159" i="62"/>
  <c r="R160" i="62"/>
  <c r="T159" i="62"/>
  <c r="O158" i="62"/>
  <c r="S157" i="62"/>
  <c r="N156" i="62"/>
  <c r="I156" i="62" s="1"/>
  <c r="E158" i="62"/>
  <c r="C159" i="62"/>
  <c r="M160" i="62" l="1"/>
  <c r="R161" i="62"/>
  <c r="K157" i="62"/>
  <c r="F157" i="62" s="1"/>
  <c r="P158" i="62"/>
  <c r="O159" i="62"/>
  <c r="T160" i="62"/>
  <c r="E159" i="62"/>
  <c r="C160" i="62"/>
  <c r="H158" i="62"/>
  <c r="J158" i="62"/>
  <c r="S158" i="62"/>
  <c r="N157" i="62"/>
  <c r="I157" i="62" s="1"/>
  <c r="Q158" i="62"/>
  <c r="L157" i="62"/>
  <c r="G157" i="62" s="1"/>
  <c r="C161" i="62" l="1"/>
  <c r="E160" i="62"/>
  <c r="H159" i="62"/>
  <c r="J159" i="62"/>
  <c r="Q159" i="62"/>
  <c r="L158" i="62"/>
  <c r="G158" i="62" s="1"/>
  <c r="N158" i="62"/>
  <c r="I158" i="62" s="1"/>
  <c r="S159" i="62"/>
  <c r="M161" i="62"/>
  <c r="R162" i="62"/>
  <c r="T161" i="62"/>
  <c r="O160" i="62"/>
  <c r="P159" i="62"/>
  <c r="K158" i="62"/>
  <c r="F158" i="62" s="1"/>
  <c r="L159" i="62" l="1"/>
  <c r="G159" i="62" s="1"/>
  <c r="Q160" i="62"/>
  <c r="T162" i="62"/>
  <c r="O161" i="62"/>
  <c r="J160" i="62"/>
  <c r="H160" i="62"/>
  <c r="S160" i="62"/>
  <c r="N159" i="62"/>
  <c r="I159" i="62" s="1"/>
  <c r="P160" i="62"/>
  <c r="K159" i="62"/>
  <c r="F159" i="62" s="1"/>
  <c r="M162" i="62"/>
  <c r="R163" i="62"/>
  <c r="C162" i="62"/>
  <c r="E161" i="62"/>
  <c r="S161" i="62" l="1"/>
  <c r="N160" i="62"/>
  <c r="I160" i="62" s="1"/>
  <c r="E162" i="62"/>
  <c r="C163" i="62"/>
  <c r="K160" i="62"/>
  <c r="F160" i="62" s="1"/>
  <c r="P161" i="62"/>
  <c r="O162" i="62"/>
  <c r="T163" i="62"/>
  <c r="H161" i="62"/>
  <c r="J161" i="62"/>
  <c r="R164" i="62"/>
  <c r="M163" i="62"/>
  <c r="L160" i="62"/>
  <c r="G160" i="62" s="1"/>
  <c r="Q161" i="62"/>
  <c r="O163" i="62" l="1"/>
  <c r="T164" i="62"/>
  <c r="P162" i="62"/>
  <c r="K161" i="62"/>
  <c r="F161" i="62" s="1"/>
  <c r="L161" i="62"/>
  <c r="G161" i="62" s="1"/>
  <c r="Q162" i="62"/>
  <c r="M164" i="62"/>
  <c r="R165" i="62"/>
  <c r="E163" i="62"/>
  <c r="C164" i="62"/>
  <c r="J162" i="62"/>
  <c r="H162" i="62"/>
  <c r="N161" i="62"/>
  <c r="I161" i="62" s="1"/>
  <c r="S162" i="62"/>
  <c r="C165" i="62" l="1"/>
  <c r="E164" i="62"/>
  <c r="J163" i="62"/>
  <c r="H163" i="62"/>
  <c r="Q163" i="62"/>
  <c r="L162" i="62"/>
  <c r="G162" i="62" s="1"/>
  <c r="N162" i="62"/>
  <c r="I162" i="62" s="1"/>
  <c r="S163" i="62"/>
  <c r="K162" i="62"/>
  <c r="F162" i="62" s="1"/>
  <c r="P163" i="62"/>
  <c r="M165" i="62"/>
  <c r="R166" i="62"/>
  <c r="O164" i="62"/>
  <c r="T165" i="62"/>
  <c r="Q164" i="62" l="1"/>
  <c r="L163" i="62"/>
  <c r="G163" i="62" s="1"/>
  <c r="S164" i="62"/>
  <c r="N163" i="62"/>
  <c r="I163" i="62" s="1"/>
  <c r="T166" i="62"/>
  <c r="O165" i="62"/>
  <c r="R167" i="62"/>
  <c r="M166" i="62"/>
  <c r="J164" i="62"/>
  <c r="H164" i="62"/>
  <c r="K163" i="62"/>
  <c r="F163" i="62" s="1"/>
  <c r="P164" i="62"/>
  <c r="E165" i="62"/>
  <c r="C166" i="62"/>
  <c r="E166" i="62" l="1"/>
  <c r="C167" i="62"/>
  <c r="O166" i="62"/>
  <c r="T167" i="62"/>
  <c r="P165" i="62"/>
  <c r="K164" i="62"/>
  <c r="F164" i="62" s="1"/>
  <c r="N164" i="62"/>
  <c r="I164" i="62" s="1"/>
  <c r="S165" i="62"/>
  <c r="R168" i="62"/>
  <c r="M167" i="62"/>
  <c r="J165" i="62"/>
  <c r="H165" i="62"/>
  <c r="Q165" i="62"/>
  <c r="L164" i="62"/>
  <c r="G164" i="62" s="1"/>
  <c r="M168" i="62" l="1"/>
  <c r="R169" i="62"/>
  <c r="O167" i="62"/>
  <c r="T168" i="62"/>
  <c r="N165" i="62"/>
  <c r="I165" i="62" s="1"/>
  <c r="S166" i="62"/>
  <c r="L165" i="62"/>
  <c r="G165" i="62" s="1"/>
  <c r="Q166" i="62"/>
  <c r="P166" i="62"/>
  <c r="K165" i="62"/>
  <c r="F165" i="62" s="1"/>
  <c r="E167" i="62"/>
  <c r="C168" i="62"/>
  <c r="H166" i="62"/>
  <c r="J166" i="62"/>
  <c r="C169" i="62" l="1"/>
  <c r="E168" i="62"/>
  <c r="J167" i="62"/>
  <c r="H167" i="62"/>
  <c r="P167" i="62"/>
  <c r="K166" i="62"/>
  <c r="F166" i="62" s="1"/>
  <c r="O168" i="62"/>
  <c r="T169" i="62"/>
  <c r="Q167" i="62"/>
  <c r="L166" i="62"/>
  <c r="G166" i="62" s="1"/>
  <c r="N166" i="62"/>
  <c r="I166" i="62" s="1"/>
  <c r="S167" i="62"/>
  <c r="M169" i="62"/>
  <c r="R170" i="62"/>
  <c r="T170" i="62" l="1"/>
  <c r="O169" i="62"/>
  <c r="Q168" i="62"/>
  <c r="L167" i="62"/>
  <c r="G167" i="62" s="1"/>
  <c r="P168" i="62"/>
  <c r="K167" i="62"/>
  <c r="F167" i="62" s="1"/>
  <c r="R171" i="62"/>
  <c r="M170" i="62"/>
  <c r="N167" i="62"/>
  <c r="I167" i="62" s="1"/>
  <c r="S168" i="62"/>
  <c r="H168" i="62"/>
  <c r="J168" i="62"/>
  <c r="C170" i="62"/>
  <c r="E169" i="62"/>
  <c r="S169" i="62" l="1"/>
  <c r="N168" i="62"/>
  <c r="I168" i="62" s="1"/>
  <c r="J169" i="62"/>
  <c r="H169" i="62"/>
  <c r="E170" i="62"/>
  <c r="C171" i="62"/>
  <c r="R172" i="62"/>
  <c r="M171" i="62"/>
  <c r="K168" i="62"/>
  <c r="F168" i="62" s="1"/>
  <c r="P169" i="62"/>
  <c r="L168" i="62"/>
  <c r="G168" i="62" s="1"/>
  <c r="Q169" i="62"/>
  <c r="T171" i="62"/>
  <c r="O170" i="62"/>
  <c r="R173" i="62" l="1"/>
  <c r="M172" i="62"/>
  <c r="T172" i="62"/>
  <c r="O171" i="62"/>
  <c r="E171" i="62"/>
  <c r="C172" i="62"/>
  <c r="L169" i="62"/>
  <c r="G169" i="62" s="1"/>
  <c r="Q170" i="62"/>
  <c r="H170" i="62"/>
  <c r="J170" i="62"/>
  <c r="P170" i="62"/>
  <c r="K169" i="62"/>
  <c r="F169" i="62" s="1"/>
  <c r="S170" i="62"/>
  <c r="N169" i="62"/>
  <c r="I169" i="62" s="1"/>
  <c r="H171" i="62" l="1"/>
  <c r="J171" i="62"/>
  <c r="C173" i="62"/>
  <c r="E172" i="62"/>
  <c r="S171" i="62"/>
  <c r="N170" i="62"/>
  <c r="I170" i="62" s="1"/>
  <c r="P171" i="62"/>
  <c r="K170" i="62"/>
  <c r="F170" i="62" s="1"/>
  <c r="L170" i="62"/>
  <c r="G170" i="62" s="1"/>
  <c r="Q171" i="62"/>
  <c r="T173" i="62"/>
  <c r="O172" i="62"/>
  <c r="M173" i="62"/>
  <c r="R174" i="62"/>
  <c r="K171" i="62" l="1"/>
  <c r="F171" i="62" s="1"/>
  <c r="P172" i="62"/>
  <c r="J172" i="62"/>
  <c r="H172" i="62"/>
  <c r="S172" i="62"/>
  <c r="N171" i="62"/>
  <c r="I171" i="62" s="1"/>
  <c r="O173" i="62"/>
  <c r="T174" i="62"/>
  <c r="E173" i="62"/>
  <c r="C174" i="62"/>
  <c r="M174" i="62"/>
  <c r="R175" i="62"/>
  <c r="Q172" i="62"/>
  <c r="L171" i="62"/>
  <c r="G171" i="62" s="1"/>
  <c r="H173" i="62" l="1"/>
  <c r="J173" i="62"/>
  <c r="Q173" i="62"/>
  <c r="L172" i="62"/>
  <c r="G172" i="62" s="1"/>
  <c r="O174" i="62"/>
  <c r="T175" i="62"/>
  <c r="S173" i="62"/>
  <c r="N172" i="62"/>
  <c r="I172" i="62" s="1"/>
  <c r="M175" i="62"/>
  <c r="R176" i="62"/>
  <c r="P173" i="62"/>
  <c r="K172" i="62"/>
  <c r="F172" i="62" s="1"/>
  <c r="E174" i="62"/>
  <c r="C175" i="62"/>
  <c r="O175" i="62" l="1"/>
  <c r="T176" i="62"/>
  <c r="L173" i="62"/>
  <c r="G173" i="62" s="1"/>
  <c r="Q174" i="62"/>
  <c r="E175" i="62"/>
  <c r="C176" i="62"/>
  <c r="J174" i="62"/>
  <c r="H174" i="62"/>
  <c r="P174" i="62"/>
  <c r="K173" i="62"/>
  <c r="F173" i="62" s="1"/>
  <c r="N173" i="62"/>
  <c r="I173" i="62" s="1"/>
  <c r="S174" i="62"/>
  <c r="M176" i="62"/>
  <c r="R177" i="62"/>
  <c r="P175" i="62" l="1"/>
  <c r="K174" i="62"/>
  <c r="F174" i="62" s="1"/>
  <c r="C177" i="62"/>
  <c r="E176" i="62"/>
  <c r="R178" i="62"/>
  <c r="M177" i="62"/>
  <c r="J175" i="62"/>
  <c r="H175" i="62"/>
  <c r="Q175" i="62"/>
  <c r="L174" i="62"/>
  <c r="G174" i="62" s="1"/>
  <c r="N174" i="62"/>
  <c r="I174" i="62" s="1"/>
  <c r="S175" i="62"/>
  <c r="T177" i="62"/>
  <c r="O176" i="62"/>
  <c r="J176" i="62" l="1"/>
  <c r="H176" i="62"/>
  <c r="C178" i="62"/>
  <c r="E177" i="62"/>
  <c r="L175" i="62"/>
  <c r="G175" i="62" s="1"/>
  <c r="Q176" i="62"/>
  <c r="R179" i="62"/>
  <c r="M178" i="62"/>
  <c r="T178" i="62"/>
  <c r="O177" i="62"/>
  <c r="N175" i="62"/>
  <c r="I175" i="62" s="1"/>
  <c r="S176" i="62"/>
  <c r="K175" i="62"/>
  <c r="F175" i="62" s="1"/>
  <c r="P176" i="62"/>
  <c r="T179" i="62" l="1"/>
  <c r="O178" i="62"/>
  <c r="J177" i="62"/>
  <c r="H177" i="62"/>
  <c r="P177" i="62"/>
  <c r="K176" i="62"/>
  <c r="F176" i="62" s="1"/>
  <c r="N176" i="62"/>
  <c r="I176" i="62" s="1"/>
  <c r="S177" i="62"/>
  <c r="R180" i="62"/>
  <c r="M179" i="62"/>
  <c r="Q177" i="62"/>
  <c r="L176" i="62"/>
  <c r="G176" i="62" s="1"/>
  <c r="C179" i="62"/>
  <c r="E178" i="62"/>
  <c r="M180" i="62" l="1"/>
  <c r="R181" i="62"/>
  <c r="S178" i="62"/>
  <c r="N177" i="62"/>
  <c r="I177" i="62" s="1"/>
  <c r="K177" i="62"/>
  <c r="F177" i="62" s="1"/>
  <c r="P178" i="62"/>
  <c r="H178" i="62"/>
  <c r="J178" i="62"/>
  <c r="C180" i="62"/>
  <c r="E179" i="62"/>
  <c r="Q178" i="62"/>
  <c r="L177" i="62"/>
  <c r="G177" i="62" s="1"/>
  <c r="T180" i="62"/>
  <c r="O179" i="62"/>
  <c r="P179" i="62" l="1"/>
  <c r="K178" i="62"/>
  <c r="F178" i="62" s="1"/>
  <c r="N178" i="62"/>
  <c r="I178" i="62" s="1"/>
  <c r="S179" i="62"/>
  <c r="T181" i="62"/>
  <c r="O180" i="62"/>
  <c r="Q179" i="62"/>
  <c r="L178" i="62"/>
  <c r="G178" i="62" s="1"/>
  <c r="M181" i="62"/>
  <c r="R182" i="62"/>
  <c r="E180" i="62"/>
  <c r="C181" i="62"/>
  <c r="H179" i="62"/>
  <c r="J179" i="62"/>
  <c r="C182" i="62" l="1"/>
  <c r="E181" i="62"/>
  <c r="S180" i="62"/>
  <c r="N179" i="62"/>
  <c r="I179" i="62" s="1"/>
  <c r="J180" i="62"/>
  <c r="H180" i="62"/>
  <c r="M182" i="62"/>
  <c r="R183" i="62"/>
  <c r="Q180" i="62"/>
  <c r="L179" i="62"/>
  <c r="G179" i="62" s="1"/>
  <c r="T182" i="62"/>
  <c r="O181" i="62"/>
  <c r="P180" i="62"/>
  <c r="K179" i="62"/>
  <c r="F179" i="62" s="1"/>
  <c r="Q181" i="62" l="1"/>
  <c r="L180" i="62"/>
  <c r="G180" i="62" s="1"/>
  <c r="P181" i="62"/>
  <c r="K180" i="62"/>
  <c r="F180" i="62" s="1"/>
  <c r="M183" i="62"/>
  <c r="R184" i="62"/>
  <c r="N180" i="62"/>
  <c r="I180" i="62" s="1"/>
  <c r="S181" i="62"/>
  <c r="T183" i="62"/>
  <c r="O182" i="62"/>
  <c r="J181" i="62"/>
  <c r="H181" i="62"/>
  <c r="C183" i="62"/>
  <c r="E182" i="62"/>
  <c r="T184" i="62" l="1"/>
  <c r="O183" i="62"/>
  <c r="S182" i="62"/>
  <c r="N181" i="62"/>
  <c r="I181" i="62" s="1"/>
  <c r="R185" i="62"/>
  <c r="M184" i="62"/>
  <c r="J182" i="62"/>
  <c r="H182" i="62"/>
  <c r="E183" i="62"/>
  <c r="C184" i="62"/>
  <c r="P182" i="62"/>
  <c r="K181" i="62"/>
  <c r="F181" i="62" s="1"/>
  <c r="L181" i="62"/>
  <c r="G181" i="62" s="1"/>
  <c r="Q182" i="62"/>
  <c r="L182" i="62" l="1"/>
  <c r="G182" i="62" s="1"/>
  <c r="Q183" i="62"/>
  <c r="K182" i="62"/>
  <c r="F182" i="62" s="1"/>
  <c r="P183" i="62"/>
  <c r="H183" i="62"/>
  <c r="J183" i="62"/>
  <c r="M185" i="62"/>
  <c r="R186" i="62"/>
  <c r="N182" i="62"/>
  <c r="I182" i="62" s="1"/>
  <c r="S183" i="62"/>
  <c r="C185" i="62"/>
  <c r="E184" i="62"/>
  <c r="O184" i="62"/>
  <c r="T185" i="62"/>
  <c r="R187" i="62" l="1"/>
  <c r="M186" i="62"/>
  <c r="T186" i="62"/>
  <c r="O185" i="62"/>
  <c r="J184" i="62"/>
  <c r="H184" i="62"/>
  <c r="E185" i="62"/>
  <c r="C186" i="62"/>
  <c r="L183" i="62"/>
  <c r="G183" i="62" s="1"/>
  <c r="Q184" i="62"/>
  <c r="P184" i="62"/>
  <c r="K183" i="62"/>
  <c r="F183" i="62" s="1"/>
  <c r="S184" i="62"/>
  <c r="N183" i="62"/>
  <c r="I183" i="62" s="1"/>
  <c r="T187" i="62" l="1"/>
  <c r="O186" i="62"/>
  <c r="C187" i="62"/>
  <c r="E186" i="62"/>
  <c r="H185" i="62"/>
  <c r="J185" i="62"/>
  <c r="S185" i="62"/>
  <c r="N184" i="62"/>
  <c r="I184" i="62" s="1"/>
  <c r="P185" i="62"/>
  <c r="K184" i="62"/>
  <c r="F184" i="62" s="1"/>
  <c r="Q185" i="62"/>
  <c r="L184" i="62"/>
  <c r="G184" i="62" s="1"/>
  <c r="M187" i="62"/>
  <c r="R188" i="62"/>
  <c r="T188" i="62" l="1"/>
  <c r="O187" i="62"/>
  <c r="H186" i="62"/>
  <c r="J186" i="62"/>
  <c r="Q186" i="62"/>
  <c r="L185" i="62"/>
  <c r="G185" i="62" s="1"/>
  <c r="P186" i="62"/>
  <c r="K185" i="62"/>
  <c r="F185" i="62" s="1"/>
  <c r="S186" i="62"/>
  <c r="N185" i="62"/>
  <c r="I185" i="62" s="1"/>
  <c r="M188" i="62"/>
  <c r="R189" i="62"/>
  <c r="E187" i="62"/>
  <c r="C188" i="62"/>
  <c r="L186" i="62" l="1"/>
  <c r="G186" i="62" s="1"/>
  <c r="Q187" i="62"/>
  <c r="S187" i="62"/>
  <c r="N186" i="62"/>
  <c r="I186" i="62" s="1"/>
  <c r="K186" i="62"/>
  <c r="F186" i="62" s="1"/>
  <c r="P187" i="62"/>
  <c r="E188" i="62"/>
  <c r="C189" i="62"/>
  <c r="J187" i="62"/>
  <c r="H187" i="62"/>
  <c r="R190" i="62"/>
  <c r="M189" i="62"/>
  <c r="O188" i="62"/>
  <c r="T189" i="62"/>
  <c r="H188" i="62" l="1"/>
  <c r="J188" i="62"/>
  <c r="P188" i="62"/>
  <c r="K187" i="62"/>
  <c r="F187" i="62" s="1"/>
  <c r="O189" i="62"/>
  <c r="T190" i="62"/>
  <c r="Q188" i="62"/>
  <c r="L187" i="62"/>
  <c r="G187" i="62" s="1"/>
  <c r="E189" i="62"/>
  <c r="C190" i="62"/>
  <c r="N187" i="62"/>
  <c r="I187" i="62" s="1"/>
  <c r="S188" i="62"/>
  <c r="R191" i="62"/>
  <c r="M190" i="62"/>
  <c r="Q189" i="62" l="1"/>
  <c r="L188" i="62"/>
  <c r="G188" i="62" s="1"/>
  <c r="J189" i="62"/>
  <c r="H189" i="62"/>
  <c r="O190" i="62"/>
  <c r="T191" i="62"/>
  <c r="P189" i="62"/>
  <c r="K188" i="62"/>
  <c r="F188" i="62" s="1"/>
  <c r="M191" i="62"/>
  <c r="R192" i="62"/>
  <c r="N188" i="62"/>
  <c r="I188" i="62" s="1"/>
  <c r="S189" i="62"/>
  <c r="E190" i="62"/>
  <c r="C191" i="62"/>
  <c r="P190" i="62" l="1"/>
  <c r="K189" i="62"/>
  <c r="F189" i="62" s="1"/>
  <c r="C192" i="62"/>
  <c r="E191" i="62"/>
  <c r="T192" i="62"/>
  <c r="O191" i="62"/>
  <c r="H190" i="62"/>
  <c r="J190" i="62"/>
  <c r="S190" i="62"/>
  <c r="N189" i="62"/>
  <c r="I189" i="62" s="1"/>
  <c r="M192" i="62"/>
  <c r="R193" i="62"/>
  <c r="Q190" i="62"/>
  <c r="L189" i="62"/>
  <c r="G189" i="62" s="1"/>
  <c r="Q191" i="62" l="1"/>
  <c r="L190" i="62"/>
  <c r="G190" i="62" s="1"/>
  <c r="S191" i="62"/>
  <c r="N190" i="62"/>
  <c r="I190" i="62" s="1"/>
  <c r="T193" i="62"/>
  <c r="O192" i="62"/>
  <c r="J191" i="62"/>
  <c r="H191" i="62"/>
  <c r="R194" i="62"/>
  <c r="M193" i="62"/>
  <c r="C193" i="62"/>
  <c r="E192" i="62"/>
  <c r="K190" i="62"/>
  <c r="F190" i="62" s="1"/>
  <c r="P191" i="62"/>
  <c r="P192" i="62" l="1"/>
  <c r="K191" i="62"/>
  <c r="F191" i="62" s="1"/>
  <c r="R195" i="62"/>
  <c r="M194" i="62"/>
  <c r="O193" i="62"/>
  <c r="T194" i="62"/>
  <c r="H192" i="62"/>
  <c r="J192" i="62"/>
  <c r="N191" i="62"/>
  <c r="I191" i="62" s="1"/>
  <c r="S192" i="62"/>
  <c r="C194" i="62"/>
  <c r="E193" i="62"/>
  <c r="L191" i="62"/>
  <c r="G191" i="62" s="1"/>
  <c r="Q192" i="62"/>
  <c r="Q193" i="62" l="1"/>
  <c r="L192" i="62"/>
  <c r="G192" i="62" s="1"/>
  <c r="J193" i="62"/>
  <c r="H193" i="62"/>
  <c r="T195" i="62"/>
  <c r="O194" i="62"/>
  <c r="R196" i="62"/>
  <c r="M195" i="62"/>
  <c r="E194" i="62"/>
  <c r="C195" i="62"/>
  <c r="S193" i="62"/>
  <c r="N192" i="62"/>
  <c r="I192" i="62" s="1"/>
  <c r="P193" i="62"/>
  <c r="K192" i="62"/>
  <c r="F192" i="62" s="1"/>
  <c r="J194" i="62" l="1"/>
  <c r="H194" i="62"/>
  <c r="M196" i="62"/>
  <c r="R197" i="62"/>
  <c r="O195" i="62"/>
  <c r="T196" i="62"/>
  <c r="P194" i="62"/>
  <c r="K193" i="62"/>
  <c r="F193" i="62" s="1"/>
  <c r="S194" i="62"/>
  <c r="N193" i="62"/>
  <c r="I193" i="62" s="1"/>
  <c r="C196" i="62"/>
  <c r="E195" i="62"/>
  <c r="Q194" i="62"/>
  <c r="L193" i="62"/>
  <c r="G193" i="62" s="1"/>
  <c r="M197" i="62" l="1"/>
  <c r="R198" i="62"/>
  <c r="K194" i="62"/>
  <c r="F194" i="62" s="1"/>
  <c r="P195" i="62"/>
  <c r="S195" i="62"/>
  <c r="N194" i="62"/>
  <c r="I194" i="62" s="1"/>
  <c r="O196" i="62"/>
  <c r="T197" i="62"/>
  <c r="L194" i="62"/>
  <c r="G194" i="62" s="1"/>
  <c r="Q195" i="62"/>
  <c r="H195" i="62"/>
  <c r="J195" i="62"/>
  <c r="E196" i="62"/>
  <c r="C197" i="62"/>
  <c r="Q196" i="62" l="1"/>
  <c r="L195" i="62"/>
  <c r="G195" i="62" s="1"/>
  <c r="E197" i="62"/>
  <c r="C198" i="62"/>
  <c r="O197" i="62"/>
  <c r="T198" i="62"/>
  <c r="S196" i="62"/>
  <c r="N195" i="62"/>
  <c r="I195" i="62" s="1"/>
  <c r="J196" i="62"/>
  <c r="H196" i="62"/>
  <c r="P196" i="62"/>
  <c r="K195" i="62"/>
  <c r="F195" i="62" s="1"/>
  <c r="M198" i="62"/>
  <c r="R199" i="62"/>
  <c r="S197" i="62" l="1"/>
  <c r="N196" i="62"/>
  <c r="I196" i="62" s="1"/>
  <c r="O198" i="62"/>
  <c r="T199" i="62"/>
  <c r="R200" i="62"/>
  <c r="M199" i="62"/>
  <c r="C199" i="62"/>
  <c r="E198" i="62"/>
  <c r="J197" i="62"/>
  <c r="H197" i="62"/>
  <c r="P197" i="62"/>
  <c r="K196" i="62"/>
  <c r="F196" i="62" s="1"/>
  <c r="Q197" i="62"/>
  <c r="L196" i="62"/>
  <c r="G196" i="62" s="1"/>
  <c r="R202" i="62" l="1"/>
  <c r="M202" i="62" s="1"/>
  <c r="R201" i="62"/>
  <c r="M201" i="62" s="1"/>
  <c r="J198" i="62"/>
  <c r="H198" i="62"/>
  <c r="E199" i="62"/>
  <c r="C200" i="62"/>
  <c r="T200" i="62"/>
  <c r="O199" i="62"/>
  <c r="M200" i="62"/>
  <c r="Q198" i="62"/>
  <c r="L197" i="62"/>
  <c r="G197" i="62" s="1"/>
  <c r="P198" i="62"/>
  <c r="K197" i="62"/>
  <c r="F197" i="62" s="1"/>
  <c r="S198" i="62"/>
  <c r="N197" i="62"/>
  <c r="I197" i="62" s="1"/>
  <c r="T202" i="62" l="1"/>
  <c r="O202" i="62" s="1"/>
  <c r="T201" i="62"/>
  <c r="O201" i="62" s="1"/>
  <c r="C202" i="62"/>
  <c r="E202" i="62" s="1"/>
  <c r="C201" i="62"/>
  <c r="E201" i="62" s="1"/>
  <c r="H202" i="62"/>
  <c r="Q199" i="62"/>
  <c r="L198" i="62"/>
  <c r="G198" i="62" s="1"/>
  <c r="E200" i="62"/>
  <c r="R203" i="62"/>
  <c r="O200" i="62"/>
  <c r="J199" i="62"/>
  <c r="H199" i="62"/>
  <c r="S199" i="62"/>
  <c r="N198" i="62"/>
  <c r="I198" i="62" s="1"/>
  <c r="K198" i="62"/>
  <c r="F198" i="62" s="1"/>
  <c r="P199" i="62"/>
  <c r="J202" i="62" l="1"/>
  <c r="H201" i="62"/>
  <c r="J201" i="62"/>
  <c r="K199" i="62"/>
  <c r="F199" i="62" s="1"/>
  <c r="P200" i="62"/>
  <c r="H200" i="62"/>
  <c r="J200" i="62"/>
  <c r="T203" i="62"/>
  <c r="R204" i="62"/>
  <c r="M203" i="62"/>
  <c r="C203" i="62"/>
  <c r="N199" i="62"/>
  <c r="I199" i="62" s="1"/>
  <c r="S200" i="62"/>
  <c r="L199" i="62"/>
  <c r="G199" i="62" s="1"/>
  <c r="Q200" i="62"/>
  <c r="P202" i="62" l="1"/>
  <c r="K202" i="62" s="1"/>
  <c r="F202" i="62" s="1"/>
  <c r="P201" i="62"/>
  <c r="K201" i="62" s="1"/>
  <c r="F201" i="62" s="1"/>
  <c r="Q202" i="62"/>
  <c r="L202" i="62" s="1"/>
  <c r="G202" i="62" s="1"/>
  <c r="Q201" i="62"/>
  <c r="L201" i="62" s="1"/>
  <c r="G201" i="62" s="1"/>
  <c r="S202" i="62"/>
  <c r="N202" i="62" s="1"/>
  <c r="I202" i="62" s="1"/>
  <c r="S201" i="62"/>
  <c r="N201" i="62" s="1"/>
  <c r="I201" i="62" s="1"/>
  <c r="L200" i="62"/>
  <c r="G200" i="62" s="1"/>
  <c r="N200" i="62"/>
  <c r="I200" i="62" s="1"/>
  <c r="K200" i="62"/>
  <c r="F200" i="62" s="1"/>
  <c r="R205" i="62"/>
  <c r="M204" i="62"/>
  <c r="T204" i="62"/>
  <c r="O203" i="62"/>
  <c r="C204" i="62"/>
  <c r="E203" i="62"/>
  <c r="R206" i="62" l="1"/>
  <c r="M205" i="62"/>
  <c r="S203" i="62"/>
  <c r="Q203" i="62"/>
  <c r="J203" i="62"/>
  <c r="H203" i="62"/>
  <c r="T205" i="62"/>
  <c r="O204" i="62"/>
  <c r="P203" i="62"/>
  <c r="C205" i="62"/>
  <c r="E204" i="62"/>
  <c r="O205" i="62" l="1"/>
  <c r="T206" i="62"/>
  <c r="H204" i="62"/>
  <c r="J204" i="62"/>
  <c r="E205" i="62"/>
  <c r="C206" i="62"/>
  <c r="Q204" i="62"/>
  <c r="L203" i="62"/>
  <c r="G203" i="62" s="1"/>
  <c r="N203" i="62"/>
  <c r="I203" i="62" s="1"/>
  <c r="S204" i="62"/>
  <c r="K203" i="62"/>
  <c r="F203" i="62" s="1"/>
  <c r="P204" i="62"/>
  <c r="R207" i="62"/>
  <c r="M206" i="62"/>
  <c r="L204" i="62" l="1"/>
  <c r="G204" i="62" s="1"/>
  <c r="Q205" i="62"/>
  <c r="H205" i="62"/>
  <c r="J205" i="62"/>
  <c r="R208" i="62"/>
  <c r="M207" i="62"/>
  <c r="E206" i="62"/>
  <c r="C207" i="62"/>
  <c r="P205" i="62"/>
  <c r="K204" i="62"/>
  <c r="F204" i="62" s="1"/>
  <c r="T207" i="62"/>
  <c r="O206" i="62"/>
  <c r="S205" i="62"/>
  <c r="N204" i="62"/>
  <c r="I204" i="62" s="1"/>
  <c r="P206" i="62" l="1"/>
  <c r="K205" i="62"/>
  <c r="F205" i="62" s="1"/>
  <c r="H206" i="62"/>
  <c r="J206" i="62"/>
  <c r="E207" i="62"/>
  <c r="C208" i="62"/>
  <c r="M208" i="62"/>
  <c r="R209" i="62"/>
  <c r="N205" i="62"/>
  <c r="I205" i="62" s="1"/>
  <c r="S206" i="62"/>
  <c r="O207" i="62"/>
  <c r="T208" i="62"/>
  <c r="L205" i="62"/>
  <c r="G205" i="62" s="1"/>
  <c r="Q206" i="62"/>
  <c r="C209" i="62" l="1"/>
  <c r="E208" i="62"/>
  <c r="Q207" i="62"/>
  <c r="L206" i="62"/>
  <c r="G206" i="62" s="1"/>
  <c r="O208" i="62"/>
  <c r="T209" i="62"/>
  <c r="M209" i="62"/>
  <c r="R210" i="62"/>
  <c r="J207" i="62"/>
  <c r="H207" i="62"/>
  <c r="N206" i="62"/>
  <c r="I206" i="62" s="1"/>
  <c r="S207" i="62"/>
  <c r="K206" i="62"/>
  <c r="F206" i="62" s="1"/>
  <c r="P207" i="62"/>
  <c r="S208" i="62" l="1"/>
  <c r="N207" i="62"/>
  <c r="I207" i="62" s="1"/>
  <c r="M210" i="62"/>
  <c r="R211" i="62"/>
  <c r="T210" i="62"/>
  <c r="O209" i="62"/>
  <c r="K207" i="62"/>
  <c r="F207" i="62" s="1"/>
  <c r="P208" i="62"/>
  <c r="Q208" i="62"/>
  <c r="L207" i="62"/>
  <c r="G207" i="62" s="1"/>
  <c r="J208" i="62"/>
  <c r="H208" i="62"/>
  <c r="C210" i="62"/>
  <c r="E209" i="62"/>
  <c r="E210" i="62" l="1"/>
  <c r="C211" i="62"/>
  <c r="L208" i="62"/>
  <c r="G208" i="62" s="1"/>
  <c r="Q209" i="62"/>
  <c r="P209" i="62"/>
  <c r="K208" i="62"/>
  <c r="F208" i="62" s="1"/>
  <c r="J209" i="62"/>
  <c r="H209" i="62"/>
  <c r="T211" i="62"/>
  <c r="O210" i="62"/>
  <c r="M211" i="62"/>
  <c r="R212" i="62"/>
  <c r="S209" i="62"/>
  <c r="N208" i="62"/>
  <c r="I208" i="62" s="1"/>
  <c r="O211" i="62" l="1"/>
  <c r="T212" i="62"/>
  <c r="Q210" i="62"/>
  <c r="L209" i="62"/>
  <c r="G209" i="62" s="1"/>
  <c r="C212" i="62"/>
  <c r="E211" i="62"/>
  <c r="P210" i="62"/>
  <c r="K209" i="62"/>
  <c r="F209" i="62" s="1"/>
  <c r="N209" i="62"/>
  <c r="I209" i="62" s="1"/>
  <c r="S210" i="62"/>
  <c r="M212" i="62"/>
  <c r="R213" i="62"/>
  <c r="H210" i="62"/>
  <c r="J210" i="62"/>
  <c r="N210" i="62" l="1"/>
  <c r="I210" i="62" s="1"/>
  <c r="S211" i="62"/>
  <c r="L210" i="62"/>
  <c r="G210" i="62" s="1"/>
  <c r="Q211" i="62"/>
  <c r="T213" i="62"/>
  <c r="O212" i="62"/>
  <c r="R214" i="62"/>
  <c r="M213" i="62"/>
  <c r="P211" i="62"/>
  <c r="K210" i="62"/>
  <c r="F210" i="62" s="1"/>
  <c r="J211" i="62"/>
  <c r="H211" i="62"/>
  <c r="C213" i="62"/>
  <c r="E212" i="62"/>
  <c r="P212" i="62" l="1"/>
  <c r="K211" i="62"/>
  <c r="F211" i="62" s="1"/>
  <c r="J212" i="62"/>
  <c r="H212" i="62"/>
  <c r="Q212" i="62"/>
  <c r="L211" i="62"/>
  <c r="G211" i="62" s="1"/>
  <c r="S212" i="62"/>
  <c r="N211" i="62"/>
  <c r="I211" i="62" s="1"/>
  <c r="R215" i="62"/>
  <c r="M214" i="62"/>
  <c r="T214" i="62"/>
  <c r="O213" i="62"/>
  <c r="C214" i="62"/>
  <c r="E213" i="62"/>
  <c r="M215" i="62" l="1"/>
  <c r="R216" i="62"/>
  <c r="Q213" i="62"/>
  <c r="L212" i="62"/>
  <c r="G212" i="62" s="1"/>
  <c r="S213" i="62"/>
  <c r="N212" i="62"/>
  <c r="I212" i="62" s="1"/>
  <c r="C215" i="62"/>
  <c r="E214" i="62"/>
  <c r="H213" i="62"/>
  <c r="J213" i="62"/>
  <c r="O214" i="62"/>
  <c r="T215" i="62"/>
  <c r="P213" i="62"/>
  <c r="K212" i="62"/>
  <c r="F212" i="62" s="1"/>
  <c r="J214" i="62" l="1"/>
  <c r="H214" i="62"/>
  <c r="C216" i="62"/>
  <c r="E215" i="62"/>
  <c r="P214" i="62"/>
  <c r="K213" i="62"/>
  <c r="F213" i="62" s="1"/>
  <c r="R217" i="62"/>
  <c r="M216" i="62"/>
  <c r="S214" i="62"/>
  <c r="N213" i="62"/>
  <c r="I213" i="62" s="1"/>
  <c r="T216" i="62"/>
  <c r="O215" i="62"/>
  <c r="L213" i="62"/>
  <c r="G213" i="62" s="1"/>
  <c r="Q214" i="62"/>
  <c r="S215" i="62" l="1"/>
  <c r="N214" i="62"/>
  <c r="I214" i="62" s="1"/>
  <c r="M217" i="62"/>
  <c r="R218" i="62"/>
  <c r="P215" i="62"/>
  <c r="K214" i="62"/>
  <c r="F214" i="62" s="1"/>
  <c r="J215" i="62"/>
  <c r="H215" i="62"/>
  <c r="E216" i="62"/>
  <c r="C217" i="62"/>
  <c r="Q215" i="62"/>
  <c r="L214" i="62"/>
  <c r="G214" i="62" s="1"/>
  <c r="O216" i="62"/>
  <c r="T217" i="62"/>
  <c r="S216" i="62" l="1"/>
  <c r="N215" i="62"/>
  <c r="I215" i="62" s="1"/>
  <c r="T218" i="62"/>
  <c r="O217" i="62"/>
  <c r="E217" i="62"/>
  <c r="C218" i="62"/>
  <c r="J216" i="62"/>
  <c r="H216" i="62"/>
  <c r="P216" i="62"/>
  <c r="K215" i="62"/>
  <c r="F215" i="62" s="1"/>
  <c r="R219" i="62"/>
  <c r="M218" i="62"/>
  <c r="L215" i="62"/>
  <c r="G215" i="62" s="1"/>
  <c r="Q216" i="62"/>
  <c r="N216" i="62" l="1"/>
  <c r="I216" i="62" s="1"/>
  <c r="S217" i="62"/>
  <c r="P217" i="62"/>
  <c r="K216" i="62"/>
  <c r="F216" i="62" s="1"/>
  <c r="H217" i="62"/>
  <c r="J217" i="62"/>
  <c r="O218" i="62"/>
  <c r="T219" i="62"/>
  <c r="C219" i="62"/>
  <c r="E218" i="62"/>
  <c r="Q217" i="62"/>
  <c r="L216" i="62"/>
  <c r="G216" i="62" s="1"/>
  <c r="R220" i="62"/>
  <c r="M219" i="62"/>
  <c r="O219" i="62" l="1"/>
  <c r="T220" i="62"/>
  <c r="P218" i="62"/>
  <c r="K217" i="62"/>
  <c r="F217" i="62" s="1"/>
  <c r="E219" i="62"/>
  <c r="C220" i="62"/>
  <c r="R221" i="62"/>
  <c r="M220" i="62"/>
  <c r="L217" i="62"/>
  <c r="G217" i="62" s="1"/>
  <c r="Q218" i="62"/>
  <c r="S218" i="62"/>
  <c r="N217" i="62"/>
  <c r="I217" i="62" s="1"/>
  <c r="J218" i="62"/>
  <c r="H218" i="62"/>
  <c r="L218" i="62" l="1"/>
  <c r="G218" i="62" s="1"/>
  <c r="Q219" i="62"/>
  <c r="C221" i="62"/>
  <c r="E220" i="62"/>
  <c r="J219" i="62"/>
  <c r="H219" i="62"/>
  <c r="P219" i="62"/>
  <c r="K218" i="62"/>
  <c r="F218" i="62" s="1"/>
  <c r="T221" i="62"/>
  <c r="O220" i="62"/>
  <c r="S219" i="62"/>
  <c r="N218" i="62"/>
  <c r="I218" i="62" s="1"/>
  <c r="R222" i="62"/>
  <c r="M221" i="62"/>
  <c r="O221" i="62" l="1"/>
  <c r="T222" i="62"/>
  <c r="R223" i="62"/>
  <c r="M222" i="62"/>
  <c r="H220" i="62"/>
  <c r="J220" i="62"/>
  <c r="N219" i="62"/>
  <c r="I219" i="62" s="1"/>
  <c r="S220" i="62"/>
  <c r="Q220" i="62"/>
  <c r="L219" i="62"/>
  <c r="G219" i="62" s="1"/>
  <c r="P220" i="62"/>
  <c r="K219" i="62"/>
  <c r="F219" i="62" s="1"/>
  <c r="E221" i="62"/>
  <c r="C222" i="62"/>
  <c r="Q221" i="62" l="1"/>
  <c r="L220" i="62"/>
  <c r="G220" i="62" s="1"/>
  <c r="O222" i="62"/>
  <c r="T223" i="62"/>
  <c r="S221" i="62"/>
  <c r="N220" i="62"/>
  <c r="I220" i="62" s="1"/>
  <c r="C223" i="62"/>
  <c r="E222" i="62"/>
  <c r="J221" i="62"/>
  <c r="H221" i="62"/>
  <c r="M223" i="62"/>
  <c r="R224" i="62"/>
  <c r="P221" i="62"/>
  <c r="K220" i="62"/>
  <c r="F220" i="62" s="1"/>
  <c r="H222" i="62" l="1"/>
  <c r="J222" i="62"/>
  <c r="S222" i="62"/>
  <c r="N221" i="62"/>
  <c r="I221" i="62" s="1"/>
  <c r="K221" i="62"/>
  <c r="F221" i="62" s="1"/>
  <c r="P222" i="62"/>
  <c r="O223" i="62"/>
  <c r="T224" i="62"/>
  <c r="E223" i="62"/>
  <c r="C224" i="62"/>
  <c r="M224" i="62"/>
  <c r="R225" i="62"/>
  <c r="Q222" i="62"/>
  <c r="L221" i="62"/>
  <c r="G221" i="62" s="1"/>
  <c r="P223" i="62" l="1"/>
  <c r="K222" i="62"/>
  <c r="F222" i="62" s="1"/>
  <c r="J223" i="62"/>
  <c r="H223" i="62"/>
  <c r="O224" i="62"/>
  <c r="T225" i="62"/>
  <c r="S223" i="62"/>
  <c r="N222" i="62"/>
  <c r="I222" i="62" s="1"/>
  <c r="Q223" i="62"/>
  <c r="L222" i="62"/>
  <c r="G222" i="62" s="1"/>
  <c r="R226" i="62"/>
  <c r="M225" i="62"/>
  <c r="C225" i="62"/>
  <c r="E224" i="62"/>
  <c r="O225" i="62" l="1"/>
  <c r="T226" i="62"/>
  <c r="Q224" i="62"/>
  <c r="L223" i="62"/>
  <c r="G223" i="62" s="1"/>
  <c r="E225" i="62"/>
  <c r="C226" i="62"/>
  <c r="M226" i="62"/>
  <c r="R227" i="62"/>
  <c r="N223" i="62"/>
  <c r="I223" i="62" s="1"/>
  <c r="S224" i="62"/>
  <c r="J224" i="62"/>
  <c r="H224" i="62"/>
  <c r="P224" i="62"/>
  <c r="K223" i="62"/>
  <c r="F223" i="62" s="1"/>
  <c r="M227" i="62" l="1"/>
  <c r="R228" i="62"/>
  <c r="E226" i="62"/>
  <c r="C227" i="62"/>
  <c r="J225" i="62"/>
  <c r="H225" i="62"/>
  <c r="T227" i="62"/>
  <c r="O226" i="62"/>
  <c r="N224" i="62"/>
  <c r="I224" i="62" s="1"/>
  <c r="S225" i="62"/>
  <c r="P225" i="62"/>
  <c r="K224" i="62"/>
  <c r="F224" i="62" s="1"/>
  <c r="Q225" i="62"/>
  <c r="L224" i="62"/>
  <c r="G224" i="62" s="1"/>
  <c r="O227" i="62" l="1"/>
  <c r="T228" i="62"/>
  <c r="Q226" i="62"/>
  <c r="L225" i="62"/>
  <c r="G225" i="62" s="1"/>
  <c r="C228" i="62"/>
  <c r="E227" i="62"/>
  <c r="J226" i="62"/>
  <c r="H226" i="62"/>
  <c r="K225" i="62"/>
  <c r="F225" i="62" s="1"/>
  <c r="P226" i="62"/>
  <c r="M228" i="62"/>
  <c r="R229" i="62"/>
  <c r="S226" i="62"/>
  <c r="N225" i="62"/>
  <c r="I225" i="62" s="1"/>
  <c r="H227" i="62" l="1"/>
  <c r="J227" i="62"/>
  <c r="E228" i="62"/>
  <c r="C229" i="62"/>
  <c r="S227" i="62"/>
  <c r="N226" i="62"/>
  <c r="I226" i="62" s="1"/>
  <c r="R230" i="62"/>
  <c r="M229" i="62"/>
  <c r="L226" i="62"/>
  <c r="G226" i="62" s="1"/>
  <c r="Q227" i="62"/>
  <c r="O228" i="62"/>
  <c r="T229" i="62"/>
  <c r="K226" i="62"/>
  <c r="F226" i="62" s="1"/>
  <c r="P227" i="62"/>
  <c r="C230" i="62" l="1"/>
  <c r="E229" i="62"/>
  <c r="M230" i="62"/>
  <c r="R231" i="62"/>
  <c r="N227" i="62"/>
  <c r="I227" i="62" s="1"/>
  <c r="S228" i="62"/>
  <c r="H228" i="62"/>
  <c r="J228" i="62"/>
  <c r="P228" i="62"/>
  <c r="K227" i="62"/>
  <c r="F227" i="62" s="1"/>
  <c r="T230" i="62"/>
  <c r="O229" i="62"/>
  <c r="Q228" i="62"/>
  <c r="L227" i="62"/>
  <c r="G227" i="62" s="1"/>
  <c r="N228" i="62" l="1"/>
  <c r="I228" i="62" s="1"/>
  <c r="S229" i="62"/>
  <c r="L228" i="62"/>
  <c r="G228" i="62" s="1"/>
  <c r="Q229" i="62"/>
  <c r="T231" i="62"/>
  <c r="O230" i="62"/>
  <c r="J229" i="62"/>
  <c r="H229" i="62"/>
  <c r="K228" i="62"/>
  <c r="F228" i="62" s="1"/>
  <c r="P229" i="62"/>
  <c r="M231" i="62"/>
  <c r="R232" i="62"/>
  <c r="E230" i="62"/>
  <c r="C231" i="62"/>
  <c r="C232" i="62" l="1"/>
  <c r="E231" i="62"/>
  <c r="O231" i="62"/>
  <c r="T232" i="62"/>
  <c r="H230" i="62"/>
  <c r="J230" i="62"/>
  <c r="L229" i="62"/>
  <c r="G229" i="62" s="1"/>
  <c r="Q230" i="62"/>
  <c r="R233" i="62"/>
  <c r="M232" i="62"/>
  <c r="N229" i="62"/>
  <c r="I229" i="62" s="1"/>
  <c r="S230" i="62"/>
  <c r="P230" i="62"/>
  <c r="K229" i="62"/>
  <c r="F229" i="62" s="1"/>
  <c r="M233" i="62" l="1"/>
  <c r="R234" i="62"/>
  <c r="L230" i="62"/>
  <c r="G230" i="62" s="1"/>
  <c r="Q231" i="62"/>
  <c r="K230" i="62"/>
  <c r="F230" i="62" s="1"/>
  <c r="P231" i="62"/>
  <c r="O232" i="62"/>
  <c r="T233" i="62"/>
  <c r="N230" i="62"/>
  <c r="I230" i="62" s="1"/>
  <c r="S231" i="62"/>
  <c r="H231" i="62"/>
  <c r="J231" i="62"/>
  <c r="C233" i="62"/>
  <c r="E232" i="62"/>
  <c r="O233" i="62" l="1"/>
  <c r="T234" i="62"/>
  <c r="P232" i="62"/>
  <c r="K231" i="62"/>
  <c r="F231" i="62" s="1"/>
  <c r="J232" i="62"/>
  <c r="H232" i="62"/>
  <c r="E233" i="62"/>
  <c r="C234" i="62"/>
  <c r="R235" i="62"/>
  <c r="M234" i="62"/>
  <c r="N231" i="62"/>
  <c r="I231" i="62" s="1"/>
  <c r="S232" i="62"/>
  <c r="L231" i="62"/>
  <c r="G231" i="62" s="1"/>
  <c r="Q232" i="62"/>
  <c r="J233" i="62" l="1"/>
  <c r="H233" i="62"/>
  <c r="Q233" i="62"/>
  <c r="L232" i="62"/>
  <c r="G232" i="62" s="1"/>
  <c r="S233" i="62"/>
  <c r="N232" i="62"/>
  <c r="I232" i="62" s="1"/>
  <c r="T235" i="62"/>
  <c r="O234" i="62"/>
  <c r="R236" i="62"/>
  <c r="M235" i="62"/>
  <c r="E234" i="62"/>
  <c r="C235" i="62"/>
  <c r="P233" i="62"/>
  <c r="K232" i="62"/>
  <c r="F232" i="62" s="1"/>
  <c r="O235" i="62" l="1"/>
  <c r="T236" i="62"/>
  <c r="M236" i="62"/>
  <c r="R237" i="62"/>
  <c r="N233" i="62"/>
  <c r="I233" i="62" s="1"/>
  <c r="S234" i="62"/>
  <c r="L233" i="62"/>
  <c r="G233" i="62" s="1"/>
  <c r="Q234" i="62"/>
  <c r="P234" i="62"/>
  <c r="K233" i="62"/>
  <c r="F233" i="62" s="1"/>
  <c r="C236" i="62"/>
  <c r="E235" i="62"/>
  <c r="H234" i="62"/>
  <c r="J234" i="62"/>
  <c r="J235" i="62" l="1"/>
  <c r="H235" i="62"/>
  <c r="E236" i="62"/>
  <c r="C237" i="62"/>
  <c r="L234" i="62"/>
  <c r="G234" i="62" s="1"/>
  <c r="Q235" i="62"/>
  <c r="N234" i="62"/>
  <c r="I234" i="62" s="1"/>
  <c r="S235" i="62"/>
  <c r="R238" i="62"/>
  <c r="M237" i="62"/>
  <c r="O236" i="62"/>
  <c r="T237" i="62"/>
  <c r="P235" i="62"/>
  <c r="K234" i="62"/>
  <c r="F234" i="62" s="1"/>
  <c r="R239" i="62" l="1"/>
  <c r="M238" i="62"/>
  <c r="N235" i="62"/>
  <c r="I235" i="62" s="1"/>
  <c r="S236" i="62"/>
  <c r="Q236" i="62"/>
  <c r="L235" i="62"/>
  <c r="G235" i="62" s="1"/>
  <c r="E237" i="62"/>
  <c r="C238" i="62"/>
  <c r="J236" i="62"/>
  <c r="H236" i="62"/>
  <c r="P236" i="62"/>
  <c r="K235" i="62"/>
  <c r="F235" i="62" s="1"/>
  <c r="O237" i="62"/>
  <c r="T238" i="62"/>
  <c r="J237" i="62" l="1"/>
  <c r="H237" i="62"/>
  <c r="C239" i="62"/>
  <c r="E238" i="62"/>
  <c r="O238" i="62"/>
  <c r="T239" i="62"/>
  <c r="Q237" i="62"/>
  <c r="L236" i="62"/>
  <c r="G236" i="62" s="1"/>
  <c r="N236" i="62"/>
  <c r="I236" i="62" s="1"/>
  <c r="S237" i="62"/>
  <c r="P237" i="62"/>
  <c r="K236" i="62"/>
  <c r="F236" i="62" s="1"/>
  <c r="R240" i="62"/>
  <c r="M239" i="62"/>
  <c r="E239" i="62" l="1"/>
  <c r="C240" i="62"/>
  <c r="L237" i="62"/>
  <c r="G237" i="62" s="1"/>
  <c r="Q238" i="62"/>
  <c r="T240" i="62"/>
  <c r="O239" i="62"/>
  <c r="H238" i="62"/>
  <c r="J238" i="62"/>
  <c r="M240" i="62"/>
  <c r="R241" i="62"/>
  <c r="P238" i="62"/>
  <c r="K237" i="62"/>
  <c r="F237" i="62" s="1"/>
  <c r="S238" i="62"/>
  <c r="N237" i="62"/>
  <c r="I237" i="62" s="1"/>
  <c r="T241" i="62" l="1"/>
  <c r="O240" i="62"/>
  <c r="N238" i="62"/>
  <c r="I238" i="62" s="1"/>
  <c r="S239" i="62"/>
  <c r="Q239" i="62"/>
  <c r="L238" i="62"/>
  <c r="G238" i="62" s="1"/>
  <c r="P239" i="62"/>
  <c r="K238" i="62"/>
  <c r="F238" i="62" s="1"/>
  <c r="E240" i="62"/>
  <c r="C241" i="62"/>
  <c r="R242" i="62"/>
  <c r="M241" i="62"/>
  <c r="J239" i="62"/>
  <c r="H239" i="62"/>
  <c r="C242" i="62" l="1"/>
  <c r="E241" i="62"/>
  <c r="R243" i="62"/>
  <c r="M242" i="62"/>
  <c r="P240" i="62"/>
  <c r="K239" i="62"/>
  <c r="F239" i="62" s="1"/>
  <c r="N239" i="62"/>
  <c r="I239" i="62" s="1"/>
  <c r="S240" i="62"/>
  <c r="J240" i="62"/>
  <c r="H240" i="62"/>
  <c r="Q240" i="62"/>
  <c r="L239" i="62"/>
  <c r="G239" i="62" s="1"/>
  <c r="T242" i="62"/>
  <c r="O241" i="62"/>
  <c r="K240" i="62" l="1"/>
  <c r="F240" i="62" s="1"/>
  <c r="P241" i="62"/>
  <c r="L240" i="62"/>
  <c r="G240" i="62" s="1"/>
  <c r="Q241" i="62"/>
  <c r="J241" i="62"/>
  <c r="H241" i="62"/>
  <c r="N240" i="62"/>
  <c r="I240" i="62" s="1"/>
  <c r="S241" i="62"/>
  <c r="T243" i="62"/>
  <c r="O242" i="62"/>
  <c r="R244" i="62"/>
  <c r="M243" i="62"/>
  <c r="C243" i="62"/>
  <c r="E242" i="62"/>
  <c r="S242" i="62" l="1"/>
  <c r="N241" i="62"/>
  <c r="I241" i="62" s="1"/>
  <c r="O243" i="62"/>
  <c r="T244" i="62"/>
  <c r="L241" i="62"/>
  <c r="G241" i="62" s="1"/>
  <c r="Q242" i="62"/>
  <c r="R245" i="62"/>
  <c r="M244" i="62"/>
  <c r="K241" i="62"/>
  <c r="F241" i="62" s="1"/>
  <c r="P242" i="62"/>
  <c r="H242" i="62"/>
  <c r="J242" i="62"/>
  <c r="E243" i="62"/>
  <c r="C244" i="62"/>
  <c r="R246" i="62" l="1"/>
  <c r="M245" i="62"/>
  <c r="T245" i="62"/>
  <c r="O244" i="62"/>
  <c r="P243" i="62"/>
  <c r="K242" i="62"/>
  <c r="F242" i="62" s="1"/>
  <c r="L242" i="62"/>
  <c r="G242" i="62" s="1"/>
  <c r="Q243" i="62"/>
  <c r="E244" i="62"/>
  <c r="C245" i="62"/>
  <c r="H243" i="62"/>
  <c r="J243" i="62"/>
  <c r="S243" i="62"/>
  <c r="N242" i="62"/>
  <c r="I242" i="62" s="1"/>
  <c r="E245" i="62" l="1"/>
  <c r="C246" i="62"/>
  <c r="H244" i="62"/>
  <c r="J244" i="62"/>
  <c r="L243" i="62"/>
  <c r="G243" i="62" s="1"/>
  <c r="Q244" i="62"/>
  <c r="K243" i="62"/>
  <c r="F243" i="62" s="1"/>
  <c r="P244" i="62"/>
  <c r="S244" i="62"/>
  <c r="N243" i="62"/>
  <c r="I243" i="62" s="1"/>
  <c r="O245" i="62"/>
  <c r="T246" i="62"/>
  <c r="R247" i="62"/>
  <c r="R248" i="62" s="1"/>
  <c r="M248" i="62" s="1"/>
  <c r="M246" i="62"/>
  <c r="Q245" i="62" l="1"/>
  <c r="L244" i="62"/>
  <c r="G244" i="62" s="1"/>
  <c r="O246" i="62"/>
  <c r="T247" i="62"/>
  <c r="T248" i="62" s="1"/>
  <c r="O248" i="62" s="1"/>
  <c r="C247" i="62"/>
  <c r="C248" i="62" s="1"/>
  <c r="E248" i="62" s="1"/>
  <c r="H248" i="62" s="1"/>
  <c r="E246" i="62"/>
  <c r="S245" i="62"/>
  <c r="N244" i="62"/>
  <c r="I244" i="62" s="1"/>
  <c r="K244" i="62"/>
  <c r="F244" i="62" s="1"/>
  <c r="P245" i="62"/>
  <c r="M247" i="62"/>
  <c r="H245" i="62"/>
  <c r="J245" i="62"/>
  <c r="J248" i="62" l="1"/>
  <c r="K245" i="62"/>
  <c r="F245" i="62" s="1"/>
  <c r="P246" i="62"/>
  <c r="J246" i="62"/>
  <c r="H246" i="62"/>
  <c r="S246" i="62"/>
  <c r="N245" i="62"/>
  <c r="I245" i="62" s="1"/>
  <c r="E247" i="62"/>
  <c r="O247" i="62"/>
  <c r="L245" i="62"/>
  <c r="G245" i="62" s="1"/>
  <c r="Q246" i="62"/>
  <c r="N246" i="62" l="1"/>
  <c r="I246" i="62" s="1"/>
  <c r="S247" i="62"/>
  <c r="S248" i="62" s="1"/>
  <c r="N248" i="62" s="1"/>
  <c r="I248" i="62" s="1"/>
  <c r="P247" i="62"/>
  <c r="P248" i="62" s="1"/>
  <c r="K248" i="62" s="1"/>
  <c r="F248" i="62" s="1"/>
  <c r="K246" i="62"/>
  <c r="F246" i="62" s="1"/>
  <c r="H247" i="62"/>
  <c r="J247" i="62"/>
  <c r="Q247" i="62"/>
  <c r="Q248" i="62" s="1"/>
  <c r="L248" i="62" s="1"/>
  <c r="G248" i="62" s="1"/>
  <c r="L246" i="62"/>
  <c r="G246" i="62" s="1"/>
  <c r="K247" i="62" l="1"/>
  <c r="F247" i="62" s="1"/>
  <c r="N247" i="62"/>
  <c r="I247" i="62" s="1"/>
  <c r="L247" i="62"/>
  <c r="G247" i="62" s="1"/>
  <c r="AB272" i="35" l="1"/>
  <c r="AC272" i="35"/>
  <c r="AD272" i="35"/>
  <c r="Z272" i="35"/>
  <c r="AI12" i="35"/>
  <c r="AI13" i="35" s="1"/>
  <c r="AI14" i="35" s="1"/>
  <c r="AI15" i="35" s="1"/>
  <c r="AI16" i="35" s="1"/>
  <c r="AI17" i="35" s="1"/>
  <c r="AI18" i="35" s="1"/>
  <c r="AI19" i="35" s="1"/>
  <c r="AI20" i="35" s="1"/>
  <c r="AI21" i="35" s="1"/>
  <c r="AI22" i="35" s="1"/>
  <c r="AI23" i="35" s="1"/>
  <c r="AI24" i="35" s="1"/>
  <c r="AI25" i="35" s="1"/>
  <c r="AI26" i="35" s="1"/>
  <c r="AI27" i="35" s="1"/>
  <c r="AI28" i="35" s="1"/>
  <c r="AI29" i="35" s="1"/>
  <c r="AI30" i="35" s="1"/>
  <c r="AI31" i="35" s="1"/>
  <c r="AI32" i="35" s="1"/>
  <c r="AI33" i="35" s="1"/>
  <c r="AI34" i="35" s="1"/>
  <c r="AI35" i="35" s="1"/>
  <c r="AI36" i="35" s="1"/>
  <c r="AI37" i="35" s="1"/>
  <c r="AI38" i="35" s="1"/>
  <c r="AI39" i="35" s="1"/>
  <c r="AI40" i="35" s="1"/>
  <c r="AI41" i="35" s="1"/>
  <c r="AI42" i="35" s="1"/>
  <c r="AI43" i="35" s="1"/>
  <c r="AI44" i="35" s="1"/>
  <c r="AI45" i="35" s="1"/>
  <c r="AI46" i="35" s="1"/>
  <c r="AI47" i="35" s="1"/>
  <c r="AI48" i="35" s="1"/>
  <c r="AI49" i="35" s="1"/>
  <c r="AI50" i="35" s="1"/>
  <c r="AI51" i="35" s="1"/>
  <c r="AI52" i="35" s="1"/>
  <c r="AI53" i="35" s="1"/>
  <c r="AI54" i="35" s="1"/>
  <c r="AI55" i="35" s="1"/>
  <c r="AI56" i="35" s="1"/>
  <c r="AI57" i="35" s="1"/>
  <c r="AI58" i="35" s="1"/>
  <c r="AI59" i="35" s="1"/>
  <c r="AI60" i="35" s="1"/>
  <c r="AI61" i="35" s="1"/>
  <c r="AI62" i="35" s="1"/>
  <c r="AI63" i="35" s="1"/>
  <c r="AI64" i="35" s="1"/>
  <c r="AI65" i="35" s="1"/>
  <c r="AI66" i="35" s="1"/>
  <c r="AI67" i="35" s="1"/>
  <c r="AI68" i="35" s="1"/>
  <c r="AI69" i="35" s="1"/>
  <c r="AI70" i="35" s="1"/>
  <c r="AI71" i="35" s="1"/>
  <c r="AI72" i="35" s="1"/>
  <c r="AI73" i="35" s="1"/>
  <c r="AI74" i="35" s="1"/>
  <c r="AI75" i="35" s="1"/>
  <c r="AI76" i="35" s="1"/>
  <c r="AI77" i="35" s="1"/>
  <c r="AI78" i="35" s="1"/>
  <c r="AI79" i="35" s="1"/>
  <c r="AI80" i="35" s="1"/>
  <c r="AI81" i="35" s="1"/>
  <c r="AI82" i="35" s="1"/>
  <c r="AI83" i="35" s="1"/>
  <c r="AI84" i="35" s="1"/>
  <c r="AI85" i="35" s="1"/>
  <c r="AI86" i="35" s="1"/>
  <c r="AI87" i="35" s="1"/>
  <c r="AI88" i="35" s="1"/>
  <c r="AI89" i="35" s="1"/>
  <c r="AI90" i="35" s="1"/>
  <c r="AI91" i="35" s="1"/>
  <c r="AI92" i="35" s="1"/>
  <c r="AI93" i="35" s="1"/>
  <c r="AI94" i="35" s="1"/>
  <c r="AI95" i="35" s="1"/>
  <c r="AI96" i="35" s="1"/>
  <c r="AI97" i="35" s="1"/>
  <c r="AI98" i="35" s="1"/>
  <c r="AI99" i="35" s="1"/>
  <c r="AI100" i="35" s="1"/>
  <c r="AI101" i="35" s="1"/>
  <c r="AI102" i="35" s="1"/>
  <c r="AI103" i="35" s="1"/>
  <c r="AI104" i="35" s="1"/>
  <c r="AI105" i="35" s="1"/>
  <c r="AI106" i="35" s="1"/>
  <c r="AI107" i="35" s="1"/>
  <c r="AI108" i="35" s="1"/>
  <c r="AI109" i="35" s="1"/>
  <c r="AI110" i="35" s="1"/>
  <c r="AI111" i="35" s="1"/>
  <c r="AI112" i="35" s="1"/>
  <c r="AI113" i="35" s="1"/>
  <c r="AI114" i="35" s="1"/>
  <c r="AI115" i="35" s="1"/>
  <c r="AI116" i="35" s="1"/>
  <c r="AI117" i="35" s="1"/>
  <c r="AI118" i="35" s="1"/>
  <c r="AI119" i="35" s="1"/>
  <c r="AI120" i="35" s="1"/>
  <c r="AI121" i="35" s="1"/>
  <c r="AI122" i="35" s="1"/>
  <c r="AI123" i="35" s="1"/>
  <c r="AI124" i="35" s="1"/>
  <c r="AI125" i="35" s="1"/>
  <c r="AI126" i="35" s="1"/>
  <c r="AI127" i="35" s="1"/>
  <c r="AI128" i="35" s="1"/>
  <c r="AI129" i="35" s="1"/>
  <c r="AI130" i="35" s="1"/>
  <c r="AI131" i="35" s="1"/>
  <c r="AI132" i="35" s="1"/>
  <c r="AI133" i="35" s="1"/>
  <c r="AI134" i="35" s="1"/>
  <c r="AI135" i="35" s="1"/>
  <c r="AI136" i="35" s="1"/>
  <c r="AI137" i="35" s="1"/>
  <c r="AI138" i="35" s="1"/>
  <c r="AI139" i="35" s="1"/>
  <c r="AI140" i="35" s="1"/>
  <c r="AI141" i="35" s="1"/>
  <c r="AI142" i="35" s="1"/>
  <c r="AI143" i="35" s="1"/>
  <c r="AI144" i="35" s="1"/>
  <c r="AI145" i="35" s="1"/>
  <c r="AI146" i="35" s="1"/>
  <c r="AI147" i="35" s="1"/>
  <c r="AI148" i="35" s="1"/>
  <c r="AI149" i="35" s="1"/>
  <c r="AI150" i="35" s="1"/>
  <c r="AI151" i="35" s="1"/>
  <c r="AI152" i="35" s="1"/>
  <c r="AI153" i="35" s="1"/>
  <c r="AI154" i="35" s="1"/>
  <c r="AI155" i="35" s="1"/>
  <c r="AI156" i="35" s="1"/>
  <c r="AI157" i="35" s="1"/>
  <c r="AI158" i="35" s="1"/>
  <c r="AI159" i="35" s="1"/>
  <c r="AI160" i="35" s="1"/>
  <c r="AI161" i="35" s="1"/>
  <c r="AI162" i="35" s="1"/>
  <c r="AI163" i="35" s="1"/>
  <c r="AI164" i="35" s="1"/>
  <c r="AI165" i="35" s="1"/>
  <c r="AI166" i="35" s="1"/>
  <c r="AI167" i="35" s="1"/>
  <c r="AI168" i="35" s="1"/>
  <c r="AI169" i="35" s="1"/>
  <c r="AI170" i="35" s="1"/>
  <c r="AI171" i="35" s="1"/>
  <c r="AI172" i="35" s="1"/>
  <c r="AI173" i="35" s="1"/>
  <c r="AI174" i="35" s="1"/>
  <c r="AI175" i="35" s="1"/>
  <c r="AI176" i="35" s="1"/>
  <c r="AI177" i="35" s="1"/>
  <c r="AI178" i="35" s="1"/>
  <c r="AI179" i="35" s="1"/>
  <c r="AI180" i="35" s="1"/>
  <c r="AI181" i="35" s="1"/>
  <c r="AI182" i="35" s="1"/>
  <c r="AI183" i="35" s="1"/>
  <c r="AI184" i="35" s="1"/>
  <c r="AI185" i="35" s="1"/>
  <c r="AI186" i="35" s="1"/>
  <c r="AI187" i="35" s="1"/>
  <c r="AI188" i="35" s="1"/>
  <c r="AI189" i="35" s="1"/>
  <c r="AI190" i="35" s="1"/>
  <c r="AI191" i="35" s="1"/>
  <c r="AI192" i="35" s="1"/>
  <c r="AI193" i="35" s="1"/>
  <c r="AI194" i="35" s="1"/>
  <c r="AI195" i="35" s="1"/>
  <c r="AI196" i="35" s="1"/>
  <c r="AI197" i="35" s="1"/>
  <c r="AI198" i="35" s="1"/>
  <c r="AI199" i="35" s="1"/>
  <c r="AI200" i="35" s="1"/>
  <c r="AI201" i="35" s="1"/>
  <c r="AI202" i="35" s="1"/>
  <c r="AI203" i="35" s="1"/>
  <c r="AI204" i="35" s="1"/>
  <c r="AI205" i="35" s="1"/>
  <c r="AI206" i="35" s="1"/>
  <c r="AI207" i="35" s="1"/>
  <c r="AI208" i="35" s="1"/>
  <c r="AI209" i="35" s="1"/>
  <c r="AI210" i="35" s="1"/>
  <c r="AI211" i="35" s="1"/>
  <c r="AI212" i="35" s="1"/>
  <c r="AI213" i="35" s="1"/>
  <c r="AI214" i="35" s="1"/>
  <c r="AI215" i="35" s="1"/>
  <c r="AI216" i="35" s="1"/>
  <c r="AI217" i="35" s="1"/>
  <c r="AI218" i="35" s="1"/>
  <c r="AI219" i="35" s="1"/>
  <c r="AI220" i="35" s="1"/>
  <c r="AI221" i="35" s="1"/>
  <c r="AI222" i="35" s="1"/>
  <c r="AI223" i="35" s="1"/>
  <c r="AI224" i="35" s="1"/>
  <c r="AI225" i="35" s="1"/>
  <c r="AI226" i="35" s="1"/>
  <c r="AI227" i="35" s="1"/>
  <c r="AI228" i="35" s="1"/>
  <c r="AI229" i="35" s="1"/>
  <c r="AI230" i="35" s="1"/>
  <c r="AI231" i="35" s="1"/>
  <c r="AI232" i="35" s="1"/>
  <c r="AI233" i="35" s="1"/>
  <c r="AI234" i="35" s="1"/>
  <c r="AI235" i="35" s="1"/>
  <c r="AI236" i="35" s="1"/>
  <c r="AI237" i="35" s="1"/>
  <c r="AI238" i="35" s="1"/>
  <c r="AI239" i="35" s="1"/>
  <c r="AI240" i="35" s="1"/>
  <c r="AI241" i="35" s="1"/>
  <c r="AI242" i="35" s="1"/>
  <c r="AI243" i="35" s="1"/>
  <c r="AI244" i="35" s="1"/>
  <c r="AI245" i="35" s="1"/>
  <c r="AI246" i="35" s="1"/>
  <c r="AI247" i="35" s="1"/>
  <c r="AI248" i="35" s="1"/>
  <c r="AI249" i="35" s="1"/>
  <c r="AI250" i="35" s="1"/>
  <c r="AI251" i="35" s="1"/>
  <c r="AI252" i="35" s="1"/>
  <c r="AI253" i="35" s="1"/>
  <c r="AI254" i="35" s="1"/>
  <c r="AI255" i="35" s="1"/>
  <c r="AI256" i="35" s="1"/>
  <c r="AI257" i="35" s="1"/>
  <c r="AI258" i="35" s="1"/>
  <c r="AI259" i="35" s="1"/>
  <c r="AI260" i="35" s="1"/>
  <c r="AI261" i="35" s="1"/>
  <c r="AI262" i="35" s="1"/>
  <c r="AI263" i="35" s="1"/>
  <c r="AI264" i="35" s="1"/>
  <c r="AI265" i="35" s="1"/>
  <c r="AE12" i="35"/>
  <c r="AE13" i="35" s="1"/>
  <c r="AE14" i="35" s="1"/>
  <c r="AE15" i="35" s="1"/>
  <c r="AE16" i="35" s="1"/>
  <c r="AE17" i="35" s="1"/>
  <c r="AE18" i="35" s="1"/>
  <c r="AE19" i="35" s="1"/>
  <c r="AE20" i="35" s="1"/>
  <c r="AE21" i="35" s="1"/>
  <c r="AE22" i="35" s="1"/>
  <c r="AE23" i="35" s="1"/>
  <c r="AE24" i="35" s="1"/>
  <c r="AE25" i="35" s="1"/>
  <c r="AE26" i="35" s="1"/>
  <c r="AE27" i="35" s="1"/>
  <c r="AE28" i="35" s="1"/>
  <c r="AE29" i="35" s="1"/>
  <c r="AE30" i="35" s="1"/>
  <c r="AE31" i="35" s="1"/>
  <c r="AE32" i="35" s="1"/>
  <c r="AE33" i="35" s="1"/>
  <c r="AE34" i="35" s="1"/>
  <c r="AE35" i="35" s="1"/>
  <c r="AE36" i="35" s="1"/>
  <c r="AE37" i="35" s="1"/>
  <c r="AE38" i="35" s="1"/>
  <c r="AE39" i="35" s="1"/>
  <c r="AE40" i="35" s="1"/>
  <c r="AE41" i="35" s="1"/>
  <c r="AE42" i="35" s="1"/>
  <c r="AE43" i="35" s="1"/>
  <c r="AE44" i="35" s="1"/>
  <c r="AE45" i="35" s="1"/>
  <c r="AE46" i="35" s="1"/>
  <c r="AE47" i="35" s="1"/>
  <c r="AE48" i="35" s="1"/>
  <c r="AE49" i="35" s="1"/>
  <c r="AE50" i="35" s="1"/>
  <c r="AE51" i="35" s="1"/>
  <c r="AE52" i="35" s="1"/>
  <c r="AE53" i="35" s="1"/>
  <c r="AE54" i="35" s="1"/>
  <c r="AE55" i="35" s="1"/>
  <c r="AE56" i="35" s="1"/>
  <c r="AE57" i="35" s="1"/>
  <c r="AE58" i="35" s="1"/>
  <c r="AE59" i="35" s="1"/>
  <c r="AE60" i="35" s="1"/>
  <c r="AE61" i="35" s="1"/>
  <c r="AE62" i="35" s="1"/>
  <c r="AE63" i="35" s="1"/>
  <c r="AE64" i="35" s="1"/>
  <c r="AE65" i="35" s="1"/>
  <c r="AE66" i="35" s="1"/>
  <c r="AE67" i="35" s="1"/>
  <c r="AE68" i="35" s="1"/>
  <c r="AE69" i="35" s="1"/>
  <c r="AE70" i="35" s="1"/>
  <c r="AE71" i="35" s="1"/>
  <c r="AE72" i="35" s="1"/>
  <c r="AE73" i="35" s="1"/>
  <c r="AE74" i="35" s="1"/>
  <c r="AE75" i="35" s="1"/>
  <c r="AE76" i="35" s="1"/>
  <c r="AE77" i="35" s="1"/>
  <c r="AE78" i="35" s="1"/>
  <c r="AE79" i="35" s="1"/>
  <c r="AE80" i="35" s="1"/>
  <c r="AE81" i="35" s="1"/>
  <c r="AE82" i="35" s="1"/>
  <c r="AE83" i="35" s="1"/>
  <c r="AE84" i="35" s="1"/>
  <c r="AE85" i="35" s="1"/>
  <c r="AE86" i="35" s="1"/>
  <c r="AE87" i="35" s="1"/>
  <c r="AE88" i="35" s="1"/>
  <c r="AE89" i="35" s="1"/>
  <c r="AE90" i="35" s="1"/>
  <c r="AE91" i="35" s="1"/>
  <c r="AE92" i="35" s="1"/>
  <c r="AE93" i="35" s="1"/>
  <c r="AE94" i="35" s="1"/>
  <c r="AE95" i="35" s="1"/>
  <c r="AE96" i="35" s="1"/>
  <c r="AE97" i="35" s="1"/>
  <c r="AE98" i="35" s="1"/>
  <c r="AE99" i="35" s="1"/>
  <c r="AE100" i="35" s="1"/>
  <c r="AE101" i="35" s="1"/>
  <c r="AE102" i="35" s="1"/>
  <c r="AE103" i="35" s="1"/>
  <c r="AE104" i="35" s="1"/>
  <c r="AE105" i="35" s="1"/>
  <c r="AE106" i="35" s="1"/>
  <c r="AE107" i="35" s="1"/>
  <c r="AE108" i="35" s="1"/>
  <c r="AE109" i="35" s="1"/>
  <c r="AE110" i="35" s="1"/>
  <c r="AE111" i="35" s="1"/>
  <c r="AE112" i="35" s="1"/>
  <c r="AE113" i="35" s="1"/>
  <c r="AE114" i="35" s="1"/>
  <c r="AE115" i="35" s="1"/>
  <c r="AE116" i="35" s="1"/>
  <c r="AE117" i="35" s="1"/>
  <c r="AE118" i="35" s="1"/>
  <c r="AE119" i="35" s="1"/>
  <c r="AE120" i="35" s="1"/>
  <c r="AE121" i="35" s="1"/>
  <c r="AE122" i="35" s="1"/>
  <c r="AE123" i="35" s="1"/>
  <c r="AE124" i="35" s="1"/>
  <c r="AE125" i="35" s="1"/>
  <c r="AE126" i="35" s="1"/>
  <c r="AE127" i="35" s="1"/>
  <c r="AE128" i="35" s="1"/>
  <c r="AE129" i="35" s="1"/>
  <c r="AE130" i="35" s="1"/>
  <c r="AE131" i="35" s="1"/>
  <c r="AE132" i="35" s="1"/>
  <c r="AE133" i="35" s="1"/>
  <c r="AE134" i="35" s="1"/>
  <c r="AE135" i="35" s="1"/>
  <c r="AE136" i="35" s="1"/>
  <c r="AE137" i="35" s="1"/>
  <c r="AE138" i="35" s="1"/>
  <c r="AE139" i="35" s="1"/>
  <c r="AE140" i="35" s="1"/>
  <c r="AE141" i="35" s="1"/>
  <c r="AE142" i="35" s="1"/>
  <c r="AE143" i="35" s="1"/>
  <c r="AE144" i="35" s="1"/>
  <c r="AE145" i="35" s="1"/>
  <c r="AE146" i="35" s="1"/>
  <c r="AE147" i="35" s="1"/>
  <c r="AE148" i="35" s="1"/>
  <c r="AE149" i="35" s="1"/>
  <c r="AE150" i="35" s="1"/>
  <c r="AE151" i="35" s="1"/>
  <c r="AE152" i="35" s="1"/>
  <c r="AE153" i="35" s="1"/>
  <c r="AE154" i="35" s="1"/>
  <c r="AE155" i="35" s="1"/>
  <c r="AE156" i="35" s="1"/>
  <c r="AE157" i="35" s="1"/>
  <c r="AE158" i="35" s="1"/>
  <c r="AE159" i="35" s="1"/>
  <c r="AE160" i="35" s="1"/>
  <c r="AE161" i="35" s="1"/>
  <c r="AE162" i="35" s="1"/>
  <c r="AE163" i="35" s="1"/>
  <c r="AE164" i="35" s="1"/>
  <c r="AE165" i="35" s="1"/>
  <c r="AE166" i="35" s="1"/>
  <c r="AE167" i="35" s="1"/>
  <c r="AE168" i="35" s="1"/>
  <c r="AE169" i="35" s="1"/>
  <c r="AE170" i="35" s="1"/>
  <c r="AE171" i="35" s="1"/>
  <c r="AE172" i="35" s="1"/>
  <c r="AE173" i="35" s="1"/>
  <c r="AE174" i="35" s="1"/>
  <c r="AE175" i="35" s="1"/>
  <c r="AE176" i="35" s="1"/>
  <c r="AE177" i="35" s="1"/>
  <c r="AE178" i="35" s="1"/>
  <c r="AE179" i="35" s="1"/>
  <c r="AE180" i="35" s="1"/>
  <c r="AE181" i="35" s="1"/>
  <c r="AE182" i="35" s="1"/>
  <c r="AE183" i="35" s="1"/>
  <c r="AE184" i="35" s="1"/>
  <c r="AE185" i="35" s="1"/>
  <c r="AE186" i="35" s="1"/>
  <c r="AE187" i="35" s="1"/>
  <c r="AE188" i="35" s="1"/>
  <c r="AE189" i="35" s="1"/>
  <c r="AE190" i="35" s="1"/>
  <c r="AE191" i="35" s="1"/>
  <c r="AE192" i="35" s="1"/>
  <c r="AE193" i="35" s="1"/>
  <c r="AE194" i="35" s="1"/>
  <c r="AE195" i="35" s="1"/>
  <c r="AE196" i="35" s="1"/>
  <c r="AE197" i="35" s="1"/>
  <c r="AE198" i="35" s="1"/>
  <c r="AE199" i="35" s="1"/>
  <c r="AE200" i="35" s="1"/>
  <c r="AE201" i="35" s="1"/>
  <c r="AE202" i="35" s="1"/>
  <c r="AE203" i="35" s="1"/>
  <c r="AE204" i="35" s="1"/>
  <c r="AE205" i="35" s="1"/>
  <c r="AE206" i="35" s="1"/>
  <c r="AE207" i="35" s="1"/>
  <c r="AE208" i="35" s="1"/>
  <c r="AE209" i="35" s="1"/>
  <c r="AE210" i="35" s="1"/>
  <c r="AE211" i="35" s="1"/>
  <c r="AE212" i="35" s="1"/>
  <c r="AE213" i="35" s="1"/>
  <c r="AE214" i="35" s="1"/>
  <c r="AE215" i="35" s="1"/>
  <c r="AE216" i="35" s="1"/>
  <c r="AE217" i="35" s="1"/>
  <c r="AE218" i="35" s="1"/>
  <c r="AE219" i="35" s="1"/>
  <c r="AE220" i="35" s="1"/>
  <c r="AE221" i="35" s="1"/>
  <c r="AE222" i="35" s="1"/>
  <c r="AE223" i="35" s="1"/>
  <c r="AE224" i="35" s="1"/>
  <c r="AE225" i="35" s="1"/>
  <c r="AE226" i="35" s="1"/>
  <c r="AE227" i="35" s="1"/>
  <c r="AE228" i="35" s="1"/>
  <c r="AE229" i="35" s="1"/>
  <c r="AE230" i="35" s="1"/>
  <c r="AE231" i="35" s="1"/>
  <c r="AE232" i="35" s="1"/>
  <c r="AE233" i="35" s="1"/>
  <c r="AE234" i="35" s="1"/>
  <c r="AE235" i="35" s="1"/>
  <c r="AE236" i="35" s="1"/>
  <c r="AE237" i="35" s="1"/>
  <c r="AE238" i="35" s="1"/>
  <c r="AE239" i="35" s="1"/>
  <c r="AE240" i="35" s="1"/>
  <c r="AE241" i="35" s="1"/>
  <c r="AE242" i="35" s="1"/>
  <c r="AE243" i="35" s="1"/>
  <c r="AE244" i="35" s="1"/>
  <c r="AE245" i="35" s="1"/>
  <c r="AE246" i="35" s="1"/>
  <c r="AE247" i="35" s="1"/>
  <c r="AE248" i="35" s="1"/>
  <c r="AE249" i="35" s="1"/>
  <c r="AE250" i="35" s="1"/>
  <c r="AE251" i="35" s="1"/>
  <c r="AE252" i="35" s="1"/>
  <c r="AE253" i="35" s="1"/>
  <c r="AE254" i="35" s="1"/>
  <c r="AE255" i="35" s="1"/>
  <c r="AE256" i="35" s="1"/>
  <c r="AE257" i="35" s="1"/>
  <c r="AE258" i="35" s="1"/>
  <c r="AE259" i="35" s="1"/>
  <c r="AE260" i="35" s="1"/>
  <c r="AE261" i="35" s="1"/>
  <c r="AE262" i="35" s="1"/>
  <c r="AE263" i="35" s="1"/>
  <c r="AE264" i="35" s="1"/>
  <c r="AE265" i="35" s="1"/>
  <c r="T12" i="35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T29" i="35" s="1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T84" i="35" s="1"/>
  <c r="T85" i="35" s="1"/>
  <c r="T86" i="35" s="1"/>
  <c r="T87" i="35" s="1"/>
  <c r="T88" i="35" s="1"/>
  <c r="T89" i="35" s="1"/>
  <c r="T90" i="35" s="1"/>
  <c r="T91" i="35" s="1"/>
  <c r="T92" i="35" s="1"/>
  <c r="T93" i="35" s="1"/>
  <c r="T94" i="35" s="1"/>
  <c r="T95" i="35" s="1"/>
  <c r="T96" i="35" s="1"/>
  <c r="T97" i="35" s="1"/>
  <c r="T98" i="35" s="1"/>
  <c r="T99" i="35" s="1"/>
  <c r="T100" i="35" s="1"/>
  <c r="T101" i="35" s="1"/>
  <c r="T102" i="35" s="1"/>
  <c r="T103" i="35" s="1"/>
  <c r="T104" i="35" s="1"/>
  <c r="T105" i="35" s="1"/>
  <c r="T106" i="35" s="1"/>
  <c r="T107" i="35" s="1"/>
  <c r="T108" i="35" s="1"/>
  <c r="T109" i="35" s="1"/>
  <c r="T110" i="35" s="1"/>
  <c r="T111" i="35" s="1"/>
  <c r="T112" i="35" s="1"/>
  <c r="T113" i="35" s="1"/>
  <c r="T114" i="35" s="1"/>
  <c r="T115" i="35" s="1"/>
  <c r="T116" i="35" s="1"/>
  <c r="T117" i="35" s="1"/>
  <c r="T118" i="35" s="1"/>
  <c r="T119" i="35" s="1"/>
  <c r="T120" i="35" s="1"/>
  <c r="T121" i="35" s="1"/>
  <c r="T122" i="35" s="1"/>
  <c r="T123" i="35" s="1"/>
  <c r="T124" i="35" s="1"/>
  <c r="T125" i="35" s="1"/>
  <c r="T126" i="35" s="1"/>
  <c r="T127" i="35" s="1"/>
  <c r="T128" i="35" s="1"/>
  <c r="T129" i="35" s="1"/>
  <c r="T130" i="35" s="1"/>
  <c r="T131" i="35" s="1"/>
  <c r="T132" i="35" s="1"/>
  <c r="T133" i="35" s="1"/>
  <c r="T134" i="35" s="1"/>
  <c r="T135" i="35" s="1"/>
  <c r="T136" i="35" s="1"/>
  <c r="T137" i="35" s="1"/>
  <c r="T138" i="35" s="1"/>
  <c r="T139" i="35" s="1"/>
  <c r="T140" i="35" s="1"/>
  <c r="T141" i="35" s="1"/>
  <c r="T142" i="35" s="1"/>
  <c r="T143" i="35" s="1"/>
  <c r="T144" i="35" s="1"/>
  <c r="T145" i="35" s="1"/>
  <c r="T146" i="35" s="1"/>
  <c r="T147" i="35" s="1"/>
  <c r="T148" i="35" s="1"/>
  <c r="T149" i="35" s="1"/>
  <c r="T150" i="35" s="1"/>
  <c r="T151" i="35" s="1"/>
  <c r="T152" i="35" s="1"/>
  <c r="T153" i="35" s="1"/>
  <c r="T154" i="35" s="1"/>
  <c r="T155" i="35" s="1"/>
  <c r="T156" i="35" s="1"/>
  <c r="T157" i="35" s="1"/>
  <c r="T158" i="35" s="1"/>
  <c r="T159" i="35" s="1"/>
  <c r="T160" i="35" s="1"/>
  <c r="T161" i="35" s="1"/>
  <c r="T162" i="35" s="1"/>
  <c r="T163" i="35" s="1"/>
  <c r="T164" i="35" s="1"/>
  <c r="T165" i="35" s="1"/>
  <c r="T166" i="35" s="1"/>
  <c r="T167" i="35" s="1"/>
  <c r="T168" i="35" s="1"/>
  <c r="T169" i="35" s="1"/>
  <c r="T170" i="35" s="1"/>
  <c r="T171" i="35" s="1"/>
  <c r="T172" i="35" s="1"/>
  <c r="T173" i="35" s="1"/>
  <c r="T174" i="35" s="1"/>
  <c r="T175" i="35" s="1"/>
  <c r="T176" i="35" s="1"/>
  <c r="T177" i="35" s="1"/>
  <c r="T178" i="35" s="1"/>
  <c r="T179" i="35" s="1"/>
  <c r="T180" i="35" s="1"/>
  <c r="T181" i="35" s="1"/>
  <c r="T182" i="35" s="1"/>
  <c r="T183" i="35" s="1"/>
  <c r="T184" i="35" s="1"/>
  <c r="T185" i="35" s="1"/>
  <c r="T186" i="35" s="1"/>
  <c r="T187" i="35" s="1"/>
  <c r="T188" i="35" s="1"/>
  <c r="T189" i="35" s="1"/>
  <c r="T190" i="35" s="1"/>
  <c r="T191" i="35" s="1"/>
  <c r="T192" i="35" s="1"/>
  <c r="T193" i="35" s="1"/>
  <c r="T194" i="35" s="1"/>
  <c r="T195" i="35" s="1"/>
  <c r="T196" i="35" s="1"/>
  <c r="T197" i="35" s="1"/>
  <c r="T198" i="35" s="1"/>
  <c r="T199" i="35" s="1"/>
  <c r="T200" i="35" s="1"/>
  <c r="T201" i="35" s="1"/>
  <c r="T202" i="35" s="1"/>
  <c r="T203" i="35" s="1"/>
  <c r="T204" i="35" s="1"/>
  <c r="T205" i="35" s="1"/>
  <c r="T206" i="35" s="1"/>
  <c r="T207" i="35" s="1"/>
  <c r="T208" i="35" s="1"/>
  <c r="T209" i="35" s="1"/>
  <c r="T210" i="35" s="1"/>
  <c r="T211" i="35" s="1"/>
  <c r="T212" i="35" s="1"/>
  <c r="T213" i="35" s="1"/>
  <c r="T214" i="35" s="1"/>
  <c r="T215" i="35" s="1"/>
  <c r="T216" i="35" s="1"/>
  <c r="T217" i="35" s="1"/>
  <c r="T218" i="35" s="1"/>
  <c r="P12" i="35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P84" i="35" s="1"/>
  <c r="P85" i="35" s="1"/>
  <c r="P86" i="35" s="1"/>
  <c r="P87" i="35" s="1"/>
  <c r="P88" i="35" s="1"/>
  <c r="P89" i="35" s="1"/>
  <c r="P90" i="35" s="1"/>
  <c r="P91" i="35" s="1"/>
  <c r="P92" i="35" s="1"/>
  <c r="P93" i="35" s="1"/>
  <c r="P94" i="35" s="1"/>
  <c r="P95" i="35" s="1"/>
  <c r="P96" i="35" s="1"/>
  <c r="P97" i="35" s="1"/>
  <c r="P98" i="35" s="1"/>
  <c r="P99" i="35" s="1"/>
  <c r="P100" i="35" s="1"/>
  <c r="P101" i="35" s="1"/>
  <c r="P102" i="35" s="1"/>
  <c r="P103" i="35" s="1"/>
  <c r="P104" i="35" s="1"/>
  <c r="P105" i="35" s="1"/>
  <c r="P106" i="35" s="1"/>
  <c r="P107" i="35" s="1"/>
  <c r="P108" i="35" s="1"/>
  <c r="P109" i="35" s="1"/>
  <c r="P110" i="35" s="1"/>
  <c r="P111" i="35" s="1"/>
  <c r="P112" i="35" s="1"/>
  <c r="P113" i="35" s="1"/>
  <c r="P114" i="35" s="1"/>
  <c r="P115" i="35" s="1"/>
  <c r="P116" i="35" s="1"/>
  <c r="P117" i="35" s="1"/>
  <c r="P118" i="35" s="1"/>
  <c r="P119" i="35" s="1"/>
  <c r="P120" i="35" s="1"/>
  <c r="P121" i="35" s="1"/>
  <c r="P122" i="35" s="1"/>
  <c r="P123" i="35" s="1"/>
  <c r="P124" i="35" s="1"/>
  <c r="P125" i="35" s="1"/>
  <c r="P126" i="35" s="1"/>
  <c r="P127" i="35" s="1"/>
  <c r="P128" i="35" s="1"/>
  <c r="P129" i="35" s="1"/>
  <c r="P130" i="35" s="1"/>
  <c r="P131" i="35" s="1"/>
  <c r="P132" i="35" s="1"/>
  <c r="P133" i="35" s="1"/>
  <c r="P134" i="35" s="1"/>
  <c r="P135" i="35" s="1"/>
  <c r="P136" i="35" s="1"/>
  <c r="P137" i="35" s="1"/>
  <c r="P138" i="35" s="1"/>
  <c r="P139" i="35" s="1"/>
  <c r="P140" i="35" s="1"/>
  <c r="P141" i="35" s="1"/>
  <c r="P142" i="35" s="1"/>
  <c r="P143" i="35" s="1"/>
  <c r="P144" i="35" s="1"/>
  <c r="P145" i="35" s="1"/>
  <c r="P146" i="35" s="1"/>
  <c r="P147" i="35" s="1"/>
  <c r="P148" i="35" s="1"/>
  <c r="P149" i="35" s="1"/>
  <c r="P150" i="35" s="1"/>
  <c r="P151" i="35" s="1"/>
  <c r="P152" i="35" s="1"/>
  <c r="P153" i="35" s="1"/>
  <c r="P154" i="35" s="1"/>
  <c r="P155" i="35" s="1"/>
  <c r="P156" i="35" s="1"/>
  <c r="P157" i="35" s="1"/>
  <c r="P158" i="35" s="1"/>
  <c r="P159" i="35" s="1"/>
  <c r="P160" i="35" s="1"/>
  <c r="P161" i="35" s="1"/>
  <c r="P162" i="35" s="1"/>
  <c r="P163" i="35" s="1"/>
  <c r="P164" i="35" s="1"/>
  <c r="P165" i="35" s="1"/>
  <c r="P166" i="35" s="1"/>
  <c r="P167" i="35" s="1"/>
  <c r="P168" i="35" s="1"/>
  <c r="P169" i="35" s="1"/>
  <c r="P170" i="35" s="1"/>
  <c r="P171" i="35" s="1"/>
  <c r="P172" i="35" s="1"/>
  <c r="P173" i="35" s="1"/>
  <c r="P174" i="35" s="1"/>
  <c r="P175" i="35" s="1"/>
  <c r="P176" i="35" s="1"/>
  <c r="P177" i="35" s="1"/>
  <c r="P178" i="35" s="1"/>
  <c r="P179" i="35" s="1"/>
  <c r="P180" i="35" s="1"/>
  <c r="P181" i="35" s="1"/>
  <c r="P182" i="35" s="1"/>
  <c r="P183" i="35" s="1"/>
  <c r="P184" i="35" s="1"/>
  <c r="P185" i="35" s="1"/>
  <c r="P186" i="35" s="1"/>
  <c r="P187" i="35" s="1"/>
  <c r="P188" i="35" s="1"/>
  <c r="P189" i="35" s="1"/>
  <c r="P190" i="35" s="1"/>
  <c r="P191" i="35" s="1"/>
  <c r="P192" i="35" s="1"/>
  <c r="P193" i="35" s="1"/>
  <c r="P194" i="35" s="1"/>
  <c r="P195" i="35" s="1"/>
  <c r="P196" i="35" s="1"/>
  <c r="P197" i="35" s="1"/>
  <c r="P198" i="35" s="1"/>
  <c r="P199" i="35" s="1"/>
  <c r="P200" i="35" s="1"/>
  <c r="P201" i="35" s="1"/>
  <c r="P202" i="35" s="1"/>
  <c r="P203" i="35" s="1"/>
  <c r="P204" i="35" s="1"/>
  <c r="P205" i="35" s="1"/>
  <c r="P206" i="35" s="1"/>
  <c r="P207" i="35" s="1"/>
  <c r="P208" i="35" s="1"/>
  <c r="P209" i="35" s="1"/>
  <c r="P210" i="35" s="1"/>
  <c r="P211" i="35" s="1"/>
  <c r="P212" i="35" s="1"/>
  <c r="P213" i="35" s="1"/>
  <c r="P214" i="35" s="1"/>
  <c r="P215" i="35" s="1"/>
  <c r="P216" i="35" s="1"/>
  <c r="P217" i="35" s="1"/>
  <c r="P218" i="35" s="1"/>
  <c r="B12" i="35"/>
  <c r="B13" i="35" s="1"/>
  <c r="B14" i="35" s="1"/>
  <c r="B15" i="35" s="1"/>
  <c r="B16" i="35" s="1"/>
  <c r="B17" i="35" s="1"/>
  <c r="B18" i="35" s="1"/>
  <c r="B19" i="35" s="1"/>
  <c r="B20" i="35" s="1"/>
  <c r="B21" i="35" s="1"/>
  <c r="B22" i="35" s="1"/>
  <c r="B23" i="35" s="1"/>
  <c r="B24" i="35" s="1"/>
  <c r="B25" i="35" s="1"/>
  <c r="B26" i="35" s="1"/>
  <c r="B27" i="35" s="1"/>
  <c r="B28" i="35" s="1"/>
  <c r="B29" i="35" s="1"/>
  <c r="B30" i="35" s="1"/>
  <c r="B31" i="35" s="1"/>
  <c r="B32" i="35" s="1"/>
  <c r="B33" i="35" s="1"/>
  <c r="B34" i="35" s="1"/>
  <c r="B35" i="35" s="1"/>
  <c r="B36" i="35" s="1"/>
  <c r="B37" i="35" s="1"/>
  <c r="B38" i="35" s="1"/>
  <c r="B39" i="35" s="1"/>
  <c r="B40" i="35" s="1"/>
  <c r="B41" i="35" s="1"/>
  <c r="B42" i="35" s="1"/>
  <c r="B43" i="35" s="1"/>
  <c r="B44" i="35" s="1"/>
  <c r="B45" i="35" s="1"/>
  <c r="B46" i="35" s="1"/>
  <c r="B47" i="35" s="1"/>
  <c r="B48" i="35" s="1"/>
  <c r="B49" i="35" s="1"/>
  <c r="B50" i="35" s="1"/>
  <c r="B51" i="35" s="1"/>
  <c r="B52" i="35" s="1"/>
  <c r="B53" i="35" s="1"/>
  <c r="B54" i="35" s="1"/>
  <c r="B55" i="35" s="1"/>
  <c r="B56" i="35" s="1"/>
  <c r="B57" i="35" s="1"/>
  <c r="B58" i="35" s="1"/>
  <c r="B59" i="35" s="1"/>
  <c r="B60" i="35" s="1"/>
  <c r="B61" i="35" s="1"/>
  <c r="B62" i="35" s="1"/>
  <c r="B63" i="35" s="1"/>
  <c r="B64" i="35" s="1"/>
  <c r="B65" i="35" s="1"/>
  <c r="B66" i="35" s="1"/>
  <c r="B67" i="35" s="1"/>
  <c r="B68" i="35" s="1"/>
  <c r="B69" i="35" s="1"/>
  <c r="B70" i="35" s="1"/>
  <c r="B71" i="35" s="1"/>
  <c r="B72" i="35" s="1"/>
  <c r="B73" i="35" s="1"/>
  <c r="B74" i="35" s="1"/>
  <c r="B75" i="35" s="1"/>
  <c r="B76" i="35" s="1"/>
  <c r="B77" i="35" s="1"/>
  <c r="B78" i="35" s="1"/>
  <c r="B79" i="35" s="1"/>
  <c r="B80" i="35" s="1"/>
  <c r="B81" i="35" s="1"/>
  <c r="B82" i="35" s="1"/>
  <c r="B83" i="35" s="1"/>
  <c r="B84" i="35" s="1"/>
  <c r="B85" i="35" s="1"/>
  <c r="B86" i="35" s="1"/>
  <c r="B87" i="35" s="1"/>
  <c r="B88" i="35" s="1"/>
  <c r="B89" i="35" s="1"/>
  <c r="B90" i="35" s="1"/>
  <c r="B91" i="35" s="1"/>
  <c r="B92" i="35" s="1"/>
  <c r="B93" i="35" s="1"/>
  <c r="B94" i="35" s="1"/>
  <c r="B95" i="35" s="1"/>
  <c r="B96" i="35" s="1"/>
  <c r="B97" i="35" s="1"/>
  <c r="B98" i="35" s="1"/>
  <c r="B99" i="35" s="1"/>
  <c r="B100" i="35" s="1"/>
  <c r="B101" i="35" s="1"/>
  <c r="B102" i="35" s="1"/>
  <c r="B103" i="35" s="1"/>
  <c r="B104" i="35" s="1"/>
  <c r="B105" i="35" s="1"/>
  <c r="B106" i="35" s="1"/>
  <c r="B107" i="35" s="1"/>
  <c r="B108" i="35" s="1"/>
  <c r="B109" i="35" s="1"/>
  <c r="B110" i="35" s="1"/>
  <c r="B111" i="35" s="1"/>
  <c r="B112" i="35" s="1"/>
  <c r="B113" i="35" s="1"/>
  <c r="B114" i="35" s="1"/>
  <c r="B115" i="35" s="1"/>
  <c r="B116" i="35" s="1"/>
  <c r="B117" i="35" s="1"/>
  <c r="B118" i="35" s="1"/>
  <c r="B119" i="35" s="1"/>
  <c r="B120" i="35" s="1"/>
  <c r="B121" i="35" s="1"/>
  <c r="B122" i="35" s="1"/>
  <c r="B123" i="35" s="1"/>
  <c r="B124" i="35" s="1"/>
  <c r="B125" i="35" s="1"/>
  <c r="B126" i="35" s="1"/>
  <c r="B127" i="35" s="1"/>
  <c r="B128" i="35" s="1"/>
  <c r="B129" i="35" s="1"/>
  <c r="B130" i="35" s="1"/>
  <c r="B131" i="35" s="1"/>
  <c r="B132" i="35" s="1"/>
  <c r="B133" i="35" s="1"/>
  <c r="B134" i="35" s="1"/>
  <c r="B135" i="35" s="1"/>
  <c r="B136" i="35" s="1"/>
  <c r="B137" i="35" s="1"/>
  <c r="B138" i="35" s="1"/>
  <c r="B139" i="35" s="1"/>
  <c r="B140" i="35" s="1"/>
  <c r="B141" i="35" s="1"/>
  <c r="B142" i="35" s="1"/>
  <c r="B143" i="35" s="1"/>
  <c r="B144" i="35" s="1"/>
  <c r="B145" i="35" s="1"/>
  <c r="B146" i="35" s="1"/>
  <c r="B147" i="35" s="1"/>
  <c r="B148" i="35" s="1"/>
  <c r="B149" i="35" s="1"/>
  <c r="B150" i="35" s="1"/>
  <c r="B151" i="35" s="1"/>
  <c r="B152" i="35" s="1"/>
  <c r="B153" i="35" s="1"/>
  <c r="B154" i="35" s="1"/>
  <c r="B155" i="35" s="1"/>
  <c r="B156" i="35" s="1"/>
  <c r="B157" i="35" s="1"/>
  <c r="B158" i="35" s="1"/>
  <c r="B159" i="35" s="1"/>
  <c r="B160" i="35" s="1"/>
  <c r="B161" i="35" s="1"/>
  <c r="B162" i="35" s="1"/>
  <c r="B163" i="35" s="1"/>
  <c r="B164" i="35" s="1"/>
  <c r="B165" i="35" s="1"/>
  <c r="B166" i="35" s="1"/>
  <c r="B167" i="35" s="1"/>
  <c r="B168" i="35" s="1"/>
  <c r="B169" i="35" s="1"/>
  <c r="B170" i="35" s="1"/>
  <c r="B171" i="35" s="1"/>
  <c r="B172" i="35" s="1"/>
  <c r="B173" i="35" s="1"/>
  <c r="B174" i="35" s="1"/>
  <c r="B175" i="35" s="1"/>
  <c r="B176" i="35" s="1"/>
  <c r="B177" i="35" s="1"/>
  <c r="B178" i="35" s="1"/>
  <c r="B179" i="35" s="1"/>
  <c r="B180" i="35" s="1"/>
  <c r="B181" i="35" s="1"/>
  <c r="B182" i="35" s="1"/>
  <c r="B183" i="35" s="1"/>
  <c r="B184" i="35" s="1"/>
  <c r="B185" i="35" s="1"/>
  <c r="B186" i="35" s="1"/>
  <c r="B187" i="35" s="1"/>
  <c r="B188" i="35" s="1"/>
  <c r="B189" i="35" s="1"/>
  <c r="B190" i="35" s="1"/>
  <c r="B191" i="35" s="1"/>
  <c r="B192" i="35" s="1"/>
  <c r="B193" i="35" s="1"/>
  <c r="B194" i="35" s="1"/>
  <c r="B195" i="35" s="1"/>
  <c r="B196" i="35" s="1"/>
  <c r="B197" i="35" s="1"/>
  <c r="B198" i="35" s="1"/>
  <c r="B199" i="35" s="1"/>
  <c r="B200" i="35" s="1"/>
  <c r="B201" i="35" s="1"/>
  <c r="B202" i="35" s="1"/>
  <c r="B203" i="35" s="1"/>
  <c r="B204" i="35" s="1"/>
  <c r="B205" i="35" s="1"/>
  <c r="B206" i="35" s="1"/>
  <c r="B207" i="35" s="1"/>
  <c r="B208" i="35" s="1"/>
  <c r="B209" i="35" s="1"/>
  <c r="B210" i="35" s="1"/>
  <c r="B211" i="35" s="1"/>
  <c r="B212" i="35" s="1"/>
  <c r="B213" i="35" s="1"/>
  <c r="B214" i="35" s="1"/>
  <c r="B215" i="35" s="1"/>
  <c r="B216" i="35" s="1"/>
  <c r="B217" i="35" s="1"/>
  <c r="B218" i="35" s="1"/>
  <c r="B219" i="35" s="1"/>
  <c r="B220" i="35" s="1"/>
  <c r="B221" i="35" s="1"/>
  <c r="B222" i="35" s="1"/>
  <c r="B223" i="35" s="1"/>
  <c r="B224" i="35" s="1"/>
  <c r="B225" i="35" s="1"/>
  <c r="B226" i="35" s="1"/>
  <c r="B227" i="35" s="1"/>
  <c r="B228" i="35" s="1"/>
  <c r="B229" i="35" s="1"/>
  <c r="B230" i="35" s="1"/>
  <c r="B231" i="35" s="1"/>
  <c r="B232" i="35" s="1"/>
  <c r="B233" i="35" s="1"/>
  <c r="B234" i="35" s="1"/>
  <c r="B235" i="35" s="1"/>
  <c r="B236" i="35" s="1"/>
  <c r="B237" i="35" s="1"/>
  <c r="B238" i="35" s="1"/>
  <c r="B239" i="35" s="1"/>
  <c r="B240" i="35" s="1"/>
  <c r="B241" i="35" s="1"/>
  <c r="B242" i="35" s="1"/>
  <c r="B243" i="35" s="1"/>
  <c r="B244" i="35" s="1"/>
  <c r="B245" i="35" s="1"/>
  <c r="B246" i="35" s="1"/>
  <c r="B247" i="35" s="1"/>
  <c r="B248" i="35" s="1"/>
  <c r="B249" i="35" s="1"/>
  <c r="B250" i="35" s="1"/>
  <c r="B251" i="35" s="1"/>
  <c r="B252" i="35" s="1"/>
  <c r="B253" i="35" s="1"/>
  <c r="B254" i="35" s="1"/>
  <c r="B255" i="35" s="1"/>
  <c r="B256" i="35" s="1"/>
  <c r="B257" i="35" s="1"/>
  <c r="B258" i="35" s="1"/>
  <c r="B259" i="35" s="1"/>
  <c r="B260" i="35" s="1"/>
  <c r="B261" i="35" s="1"/>
  <c r="B262" i="35" s="1"/>
  <c r="B263" i="35" s="1"/>
  <c r="AG12" i="35"/>
  <c r="AG13" i="35" s="1"/>
  <c r="AG14" i="35" s="1"/>
  <c r="AG15" i="35" s="1"/>
  <c r="AG16" i="35" s="1"/>
  <c r="AG17" i="35" s="1"/>
  <c r="AG18" i="35" s="1"/>
  <c r="AG19" i="35" s="1"/>
  <c r="AG20" i="35" s="1"/>
  <c r="AG21" i="35" s="1"/>
  <c r="AG22" i="35" s="1"/>
  <c r="AG23" i="35" s="1"/>
  <c r="AG24" i="35" s="1"/>
  <c r="AG25" i="35" s="1"/>
  <c r="AG26" i="35" s="1"/>
  <c r="AG27" i="35" s="1"/>
  <c r="AG28" i="35" s="1"/>
  <c r="AG29" i="35" s="1"/>
  <c r="AG30" i="35" s="1"/>
  <c r="AG31" i="35" s="1"/>
  <c r="AG32" i="35" s="1"/>
  <c r="AG33" i="35" s="1"/>
  <c r="AG34" i="35" s="1"/>
  <c r="AG35" i="35" s="1"/>
  <c r="AG36" i="35" s="1"/>
  <c r="AG37" i="35" s="1"/>
  <c r="AG38" i="35" s="1"/>
  <c r="AG39" i="35" s="1"/>
  <c r="AG40" i="35" s="1"/>
  <c r="AG41" i="35" s="1"/>
  <c r="AG42" i="35" s="1"/>
  <c r="AG43" i="35" s="1"/>
  <c r="AG44" i="35" s="1"/>
  <c r="AG45" i="35" s="1"/>
  <c r="AG46" i="35" s="1"/>
  <c r="AG47" i="35" s="1"/>
  <c r="AG48" i="35" s="1"/>
  <c r="AG49" i="35" s="1"/>
  <c r="AG50" i="35" s="1"/>
  <c r="AG51" i="35" s="1"/>
  <c r="AG52" i="35" s="1"/>
  <c r="AG53" i="35" s="1"/>
  <c r="AG54" i="35" s="1"/>
  <c r="AG55" i="35" s="1"/>
  <c r="AG56" i="35" s="1"/>
  <c r="AG57" i="35" s="1"/>
  <c r="AG58" i="35" s="1"/>
  <c r="AG59" i="35" s="1"/>
  <c r="AG60" i="35" s="1"/>
  <c r="AG61" i="35" s="1"/>
  <c r="AG62" i="35" s="1"/>
  <c r="AG63" i="35" s="1"/>
  <c r="AG64" i="35" s="1"/>
  <c r="AG65" i="35" s="1"/>
  <c r="AG66" i="35" s="1"/>
  <c r="AG67" i="35" s="1"/>
  <c r="AG68" i="35" s="1"/>
  <c r="AG69" i="35" s="1"/>
  <c r="AG70" i="35" s="1"/>
  <c r="AG71" i="35" s="1"/>
  <c r="AG72" i="35" s="1"/>
  <c r="AG73" i="35" s="1"/>
  <c r="AG74" i="35" s="1"/>
  <c r="AG75" i="35" s="1"/>
  <c r="AG76" i="35" s="1"/>
  <c r="AG77" i="35" s="1"/>
  <c r="AG78" i="35" s="1"/>
  <c r="AG79" i="35" s="1"/>
  <c r="AG80" i="35" s="1"/>
  <c r="AG81" i="35" s="1"/>
  <c r="AG82" i="35" s="1"/>
  <c r="AG83" i="35" s="1"/>
  <c r="AG84" i="35" s="1"/>
  <c r="AG85" i="35" s="1"/>
  <c r="AG86" i="35" s="1"/>
  <c r="AG87" i="35" s="1"/>
  <c r="AG88" i="35" s="1"/>
  <c r="AG89" i="35" s="1"/>
  <c r="AG90" i="35" s="1"/>
  <c r="AG91" i="35" s="1"/>
  <c r="AG92" i="35" s="1"/>
  <c r="AG93" i="35" s="1"/>
  <c r="AG94" i="35" s="1"/>
  <c r="AG95" i="35" s="1"/>
  <c r="AG96" i="35" s="1"/>
  <c r="AG97" i="35" s="1"/>
  <c r="AG98" i="35" s="1"/>
  <c r="AG99" i="35" s="1"/>
  <c r="AG100" i="35" s="1"/>
  <c r="AG101" i="35" s="1"/>
  <c r="AG102" i="35" s="1"/>
  <c r="AG103" i="35" s="1"/>
  <c r="AG104" i="35" s="1"/>
  <c r="AG105" i="35" s="1"/>
  <c r="AG106" i="35" s="1"/>
  <c r="AG107" i="35" s="1"/>
  <c r="AG108" i="35" s="1"/>
  <c r="AG109" i="35" s="1"/>
  <c r="AG110" i="35" s="1"/>
  <c r="AG111" i="35" s="1"/>
  <c r="AG112" i="35" s="1"/>
  <c r="AG113" i="35" s="1"/>
  <c r="AG114" i="35" s="1"/>
  <c r="AG115" i="35" s="1"/>
  <c r="AG116" i="35" s="1"/>
  <c r="AG117" i="35" s="1"/>
  <c r="AG118" i="35" s="1"/>
  <c r="AG119" i="35" s="1"/>
  <c r="AG120" i="35" s="1"/>
  <c r="AG121" i="35" s="1"/>
  <c r="AG122" i="35" s="1"/>
  <c r="AG123" i="35" s="1"/>
  <c r="AG124" i="35" s="1"/>
  <c r="AG125" i="35" s="1"/>
  <c r="AG126" i="35" s="1"/>
  <c r="AG127" i="35" s="1"/>
  <c r="AG128" i="35" s="1"/>
  <c r="AG129" i="35" s="1"/>
  <c r="AG130" i="35" s="1"/>
  <c r="AG131" i="35" s="1"/>
  <c r="AG132" i="35" s="1"/>
  <c r="AG133" i="35" s="1"/>
  <c r="AG134" i="35" s="1"/>
  <c r="AG135" i="35" s="1"/>
  <c r="AG136" i="35" s="1"/>
  <c r="AG137" i="35" s="1"/>
  <c r="AG138" i="35" s="1"/>
  <c r="AG139" i="35" s="1"/>
  <c r="AG140" i="35" s="1"/>
  <c r="AG141" i="35" s="1"/>
  <c r="AG142" i="35" s="1"/>
  <c r="AG143" i="35" s="1"/>
  <c r="AG144" i="35" s="1"/>
  <c r="AG145" i="35" s="1"/>
  <c r="AG146" i="35" s="1"/>
  <c r="AG147" i="35" s="1"/>
  <c r="AG148" i="35" s="1"/>
  <c r="AG149" i="35" s="1"/>
  <c r="AG150" i="35" s="1"/>
  <c r="AG151" i="35" s="1"/>
  <c r="AG152" i="35" s="1"/>
  <c r="AG153" i="35" s="1"/>
  <c r="AG154" i="35" s="1"/>
  <c r="AG155" i="35" s="1"/>
  <c r="AG156" i="35" s="1"/>
  <c r="AG157" i="35" s="1"/>
  <c r="AG158" i="35" s="1"/>
  <c r="AG159" i="35" s="1"/>
  <c r="AG160" i="35" s="1"/>
  <c r="AG161" i="35" s="1"/>
  <c r="AG162" i="35" s="1"/>
  <c r="AG163" i="35" s="1"/>
  <c r="AG164" i="35" s="1"/>
  <c r="AG165" i="35" s="1"/>
  <c r="AG166" i="35" s="1"/>
  <c r="AG167" i="35" s="1"/>
  <c r="AG168" i="35" s="1"/>
  <c r="AG169" i="35" s="1"/>
  <c r="AG170" i="35" s="1"/>
  <c r="AG171" i="35" s="1"/>
  <c r="AG172" i="35" s="1"/>
  <c r="AG173" i="35" s="1"/>
  <c r="AG174" i="35" s="1"/>
  <c r="AG175" i="35" s="1"/>
  <c r="AG176" i="35" s="1"/>
  <c r="AG177" i="35" s="1"/>
  <c r="AG178" i="35" s="1"/>
  <c r="AG179" i="35" s="1"/>
  <c r="AG180" i="35" s="1"/>
  <c r="AG181" i="35" s="1"/>
  <c r="AG182" i="35" s="1"/>
  <c r="AG183" i="35" s="1"/>
  <c r="AG184" i="35" s="1"/>
  <c r="AG185" i="35" s="1"/>
  <c r="AG186" i="35" s="1"/>
  <c r="AG187" i="35" s="1"/>
  <c r="AG188" i="35" s="1"/>
  <c r="AG189" i="35" s="1"/>
  <c r="AG190" i="35" s="1"/>
  <c r="AG191" i="35" s="1"/>
  <c r="AG192" i="35" s="1"/>
  <c r="AG193" i="35" s="1"/>
  <c r="AG194" i="35" s="1"/>
  <c r="AG195" i="35" s="1"/>
  <c r="AG196" i="35" s="1"/>
  <c r="AG197" i="35" s="1"/>
  <c r="AG198" i="35" s="1"/>
  <c r="AG199" i="35" s="1"/>
  <c r="AG200" i="35" s="1"/>
  <c r="AG201" i="35" s="1"/>
  <c r="AG202" i="35" s="1"/>
  <c r="AG203" i="35" s="1"/>
  <c r="AG204" i="35" s="1"/>
  <c r="AG205" i="35" s="1"/>
  <c r="AG206" i="35" s="1"/>
  <c r="AG207" i="35" s="1"/>
  <c r="AG208" i="35" s="1"/>
  <c r="AG209" i="35" s="1"/>
  <c r="AG210" i="35" s="1"/>
  <c r="AG211" i="35" s="1"/>
  <c r="AG212" i="35" s="1"/>
  <c r="AG213" i="35" s="1"/>
  <c r="AG214" i="35" s="1"/>
  <c r="AG215" i="35" s="1"/>
  <c r="AG216" i="35" s="1"/>
  <c r="AG217" i="35" s="1"/>
  <c r="AG218" i="35" s="1"/>
  <c r="AG219" i="35" s="1"/>
  <c r="AG220" i="35" s="1"/>
  <c r="AG221" i="35" s="1"/>
  <c r="AG222" i="35" s="1"/>
  <c r="AG223" i="35" s="1"/>
  <c r="AG224" i="35" s="1"/>
  <c r="AG225" i="35" s="1"/>
  <c r="AG226" i="35" s="1"/>
  <c r="AG227" i="35" s="1"/>
  <c r="AG228" i="35" s="1"/>
  <c r="AG229" i="35" s="1"/>
  <c r="AG230" i="35" s="1"/>
  <c r="AG231" i="35" s="1"/>
  <c r="AG232" i="35" s="1"/>
  <c r="AG233" i="35" s="1"/>
  <c r="AG234" i="35" s="1"/>
  <c r="AG235" i="35" s="1"/>
  <c r="AG236" i="35" s="1"/>
  <c r="AG237" i="35" s="1"/>
  <c r="AG238" i="35" s="1"/>
  <c r="AG239" i="35" s="1"/>
  <c r="AG240" i="35" s="1"/>
  <c r="AG241" i="35" s="1"/>
  <c r="AG242" i="35" s="1"/>
  <c r="AG243" i="35" s="1"/>
  <c r="AG244" i="35" s="1"/>
  <c r="AG245" i="35" s="1"/>
  <c r="AG246" i="35" s="1"/>
  <c r="AG247" i="35" s="1"/>
  <c r="AG248" i="35" s="1"/>
  <c r="AG249" i="35" s="1"/>
  <c r="AG250" i="35" s="1"/>
  <c r="AG251" i="35" s="1"/>
  <c r="AG252" i="35" s="1"/>
  <c r="AG253" i="35" s="1"/>
  <c r="AG254" i="35" s="1"/>
  <c r="AG255" i="35" s="1"/>
  <c r="AG256" i="35" s="1"/>
  <c r="AG257" i="35" s="1"/>
  <c r="AG258" i="35" s="1"/>
  <c r="AG259" i="35" s="1"/>
  <c r="AG260" i="35" s="1"/>
  <c r="AG261" i="35" s="1"/>
  <c r="AG262" i="35" s="1"/>
  <c r="AG263" i="35" s="1"/>
  <c r="AG264" i="35" s="1"/>
  <c r="AG265" i="35" s="1"/>
  <c r="AH12" i="35"/>
  <c r="AH13" i="35" s="1"/>
  <c r="AH14" i="35" s="1"/>
  <c r="AH15" i="35" s="1"/>
  <c r="AH16" i="35" s="1"/>
  <c r="AH17" i="35" s="1"/>
  <c r="AH18" i="35" s="1"/>
  <c r="AH19" i="35" s="1"/>
  <c r="AH20" i="35" s="1"/>
  <c r="AH21" i="35" s="1"/>
  <c r="AH22" i="35" s="1"/>
  <c r="AH23" i="35" s="1"/>
  <c r="AH24" i="35" s="1"/>
  <c r="AH25" i="35" s="1"/>
  <c r="AH26" i="35" s="1"/>
  <c r="AH27" i="35" s="1"/>
  <c r="AH28" i="35" s="1"/>
  <c r="AH29" i="35" s="1"/>
  <c r="AH30" i="35" s="1"/>
  <c r="AH31" i="35" s="1"/>
  <c r="AH32" i="35" s="1"/>
  <c r="AH33" i="35" s="1"/>
  <c r="AH34" i="35" s="1"/>
  <c r="AH35" i="35" s="1"/>
  <c r="AH36" i="35" s="1"/>
  <c r="AH37" i="35" s="1"/>
  <c r="AH38" i="35" s="1"/>
  <c r="AH39" i="35" s="1"/>
  <c r="AH40" i="35" s="1"/>
  <c r="AH41" i="35" s="1"/>
  <c r="AH42" i="35" s="1"/>
  <c r="AH43" i="35" s="1"/>
  <c r="AH44" i="35" s="1"/>
  <c r="AH45" i="35" s="1"/>
  <c r="AH46" i="35" s="1"/>
  <c r="AH47" i="35" s="1"/>
  <c r="AH48" i="35" s="1"/>
  <c r="AH49" i="35" s="1"/>
  <c r="AH50" i="35" s="1"/>
  <c r="AH51" i="35" s="1"/>
  <c r="AH52" i="35" s="1"/>
  <c r="AH53" i="35" s="1"/>
  <c r="AH54" i="35" s="1"/>
  <c r="AH55" i="35" s="1"/>
  <c r="AH56" i="35" s="1"/>
  <c r="AH57" i="35" s="1"/>
  <c r="AH58" i="35" s="1"/>
  <c r="AH59" i="35" s="1"/>
  <c r="AH60" i="35" s="1"/>
  <c r="AH61" i="35" s="1"/>
  <c r="AH62" i="35" s="1"/>
  <c r="AH63" i="35" s="1"/>
  <c r="AH64" i="35" s="1"/>
  <c r="AH65" i="35" s="1"/>
  <c r="AH66" i="35" s="1"/>
  <c r="AH67" i="35" s="1"/>
  <c r="AH68" i="35" s="1"/>
  <c r="AH69" i="35" s="1"/>
  <c r="AH70" i="35" s="1"/>
  <c r="AH71" i="35" s="1"/>
  <c r="AH72" i="35" s="1"/>
  <c r="AH73" i="35" s="1"/>
  <c r="AH74" i="35" s="1"/>
  <c r="AH75" i="35" s="1"/>
  <c r="AH76" i="35" s="1"/>
  <c r="AH77" i="35" s="1"/>
  <c r="AH78" i="35" s="1"/>
  <c r="AH79" i="35" s="1"/>
  <c r="AH80" i="35" s="1"/>
  <c r="AH81" i="35" s="1"/>
  <c r="AH82" i="35" s="1"/>
  <c r="AH83" i="35" s="1"/>
  <c r="AH84" i="35" s="1"/>
  <c r="AH85" i="35" s="1"/>
  <c r="AH86" i="35" s="1"/>
  <c r="AH87" i="35" s="1"/>
  <c r="AH88" i="35" s="1"/>
  <c r="AH89" i="35" s="1"/>
  <c r="AH90" i="35" s="1"/>
  <c r="AH91" i="35" s="1"/>
  <c r="AH92" i="35" s="1"/>
  <c r="AH93" i="35" s="1"/>
  <c r="AH94" i="35" s="1"/>
  <c r="AH95" i="35" s="1"/>
  <c r="AH96" i="35" s="1"/>
  <c r="AH97" i="35" s="1"/>
  <c r="AH98" i="35" s="1"/>
  <c r="AH99" i="35" s="1"/>
  <c r="AH100" i="35" s="1"/>
  <c r="AH101" i="35" s="1"/>
  <c r="AH102" i="35" s="1"/>
  <c r="AH103" i="35" s="1"/>
  <c r="AH104" i="35" s="1"/>
  <c r="AH105" i="35" s="1"/>
  <c r="AH106" i="35" s="1"/>
  <c r="AH107" i="35" s="1"/>
  <c r="AH108" i="35" s="1"/>
  <c r="AH109" i="35" s="1"/>
  <c r="AH110" i="35" s="1"/>
  <c r="AH111" i="35" s="1"/>
  <c r="AH112" i="35" s="1"/>
  <c r="AH113" i="35" s="1"/>
  <c r="AH114" i="35" s="1"/>
  <c r="AH115" i="35" s="1"/>
  <c r="AH116" i="35" s="1"/>
  <c r="AH117" i="35" s="1"/>
  <c r="AH118" i="35" s="1"/>
  <c r="AH119" i="35" s="1"/>
  <c r="AH120" i="35" s="1"/>
  <c r="AH121" i="35" s="1"/>
  <c r="AH122" i="35" s="1"/>
  <c r="AH123" i="35" s="1"/>
  <c r="AH124" i="35" s="1"/>
  <c r="AH125" i="35" s="1"/>
  <c r="AH126" i="35" s="1"/>
  <c r="AH127" i="35" s="1"/>
  <c r="AH128" i="35" s="1"/>
  <c r="AH129" i="35" s="1"/>
  <c r="AH130" i="35" s="1"/>
  <c r="AH131" i="35" s="1"/>
  <c r="AH132" i="35" s="1"/>
  <c r="AH133" i="35" s="1"/>
  <c r="AH134" i="35" s="1"/>
  <c r="AH135" i="35" s="1"/>
  <c r="AH136" i="35" s="1"/>
  <c r="AH137" i="35" s="1"/>
  <c r="AH138" i="35" s="1"/>
  <c r="AH139" i="35" s="1"/>
  <c r="AH140" i="35" s="1"/>
  <c r="AH141" i="35" s="1"/>
  <c r="AH142" i="35" s="1"/>
  <c r="AH143" i="35" s="1"/>
  <c r="AH144" i="35" s="1"/>
  <c r="AH145" i="35" s="1"/>
  <c r="AH146" i="35" s="1"/>
  <c r="AH147" i="35" s="1"/>
  <c r="AH148" i="35" s="1"/>
  <c r="AH149" i="35" s="1"/>
  <c r="AH150" i="35" s="1"/>
  <c r="AH151" i="35" s="1"/>
  <c r="AH152" i="35" s="1"/>
  <c r="AH153" i="35" s="1"/>
  <c r="AH154" i="35" s="1"/>
  <c r="AH155" i="35" s="1"/>
  <c r="AH156" i="35" s="1"/>
  <c r="AH157" i="35" s="1"/>
  <c r="AH158" i="35" s="1"/>
  <c r="AH159" i="35" s="1"/>
  <c r="AH160" i="35" s="1"/>
  <c r="AH161" i="35" s="1"/>
  <c r="AH162" i="35" s="1"/>
  <c r="AH163" i="35" s="1"/>
  <c r="AH164" i="35" s="1"/>
  <c r="AH165" i="35" s="1"/>
  <c r="AH166" i="35" s="1"/>
  <c r="AH167" i="35" s="1"/>
  <c r="AH168" i="35" s="1"/>
  <c r="AH169" i="35" s="1"/>
  <c r="AH170" i="35" s="1"/>
  <c r="AH171" i="35" s="1"/>
  <c r="AH172" i="35" s="1"/>
  <c r="AH173" i="35" s="1"/>
  <c r="AH174" i="35" s="1"/>
  <c r="AH175" i="35" s="1"/>
  <c r="AH176" i="35" s="1"/>
  <c r="AH177" i="35" s="1"/>
  <c r="AH178" i="35" s="1"/>
  <c r="AH179" i="35" s="1"/>
  <c r="AH180" i="35" s="1"/>
  <c r="AH181" i="35" s="1"/>
  <c r="AH182" i="35" s="1"/>
  <c r="AH183" i="35" s="1"/>
  <c r="AH184" i="35" s="1"/>
  <c r="AH185" i="35" s="1"/>
  <c r="AH186" i="35" s="1"/>
  <c r="AH187" i="35" s="1"/>
  <c r="AH188" i="35" s="1"/>
  <c r="AH189" i="35" s="1"/>
  <c r="AH190" i="35" s="1"/>
  <c r="AH191" i="35" s="1"/>
  <c r="AH192" i="35" s="1"/>
  <c r="AH193" i="35" s="1"/>
  <c r="AH194" i="35" s="1"/>
  <c r="AH195" i="35" s="1"/>
  <c r="AH196" i="35" s="1"/>
  <c r="AH197" i="35" s="1"/>
  <c r="AH198" i="35" s="1"/>
  <c r="AH199" i="35" s="1"/>
  <c r="AH200" i="35" s="1"/>
  <c r="AH201" i="35" s="1"/>
  <c r="AH202" i="35" s="1"/>
  <c r="AH203" i="35" s="1"/>
  <c r="AH204" i="35" s="1"/>
  <c r="AH205" i="35" s="1"/>
  <c r="AH206" i="35" s="1"/>
  <c r="AH207" i="35" s="1"/>
  <c r="AH208" i="35" s="1"/>
  <c r="AH209" i="35" s="1"/>
  <c r="AH210" i="35" s="1"/>
  <c r="AH211" i="35" s="1"/>
  <c r="AH212" i="35" s="1"/>
  <c r="AH213" i="35" s="1"/>
  <c r="AH214" i="35" s="1"/>
  <c r="AH215" i="35" s="1"/>
  <c r="AH216" i="35" s="1"/>
  <c r="AH217" i="35" s="1"/>
  <c r="AH218" i="35" s="1"/>
  <c r="AH219" i="35" s="1"/>
  <c r="AH220" i="35" s="1"/>
  <c r="AH221" i="35" s="1"/>
  <c r="AH222" i="35" s="1"/>
  <c r="AH223" i="35" s="1"/>
  <c r="AH224" i="35" s="1"/>
  <c r="AH225" i="35" s="1"/>
  <c r="AH226" i="35" s="1"/>
  <c r="AH227" i="35" s="1"/>
  <c r="AH228" i="35" s="1"/>
  <c r="AH229" i="35" s="1"/>
  <c r="AH230" i="35" s="1"/>
  <c r="AH231" i="35" s="1"/>
  <c r="AH232" i="35" s="1"/>
  <c r="AH233" i="35" s="1"/>
  <c r="AH234" i="35" s="1"/>
  <c r="AH235" i="35" s="1"/>
  <c r="AH236" i="35" s="1"/>
  <c r="AH237" i="35" s="1"/>
  <c r="AH238" i="35" s="1"/>
  <c r="AH239" i="35" s="1"/>
  <c r="AH240" i="35" s="1"/>
  <c r="AH241" i="35" s="1"/>
  <c r="AH242" i="35" s="1"/>
  <c r="AH243" i="35" s="1"/>
  <c r="AH244" i="35" s="1"/>
  <c r="AH245" i="35" s="1"/>
  <c r="AH246" i="35" s="1"/>
  <c r="AH247" i="35" s="1"/>
  <c r="AH248" i="35" s="1"/>
  <c r="AH249" i="35" s="1"/>
  <c r="AH250" i="35" s="1"/>
  <c r="AH251" i="35" s="1"/>
  <c r="AH252" i="35" s="1"/>
  <c r="AH253" i="35" s="1"/>
  <c r="AH254" i="35" s="1"/>
  <c r="AH255" i="35" s="1"/>
  <c r="AH256" i="35" s="1"/>
  <c r="AH257" i="35" s="1"/>
  <c r="AH258" i="35" s="1"/>
  <c r="AH259" i="35" s="1"/>
  <c r="AH260" i="35" s="1"/>
  <c r="AH261" i="35" s="1"/>
  <c r="AH262" i="35" s="1"/>
  <c r="AH263" i="35" s="1"/>
  <c r="AH264" i="35" s="1"/>
  <c r="AH265" i="35" s="1"/>
  <c r="AF12" i="35"/>
  <c r="AF13" i="35" s="1"/>
  <c r="AF14" i="35" s="1"/>
  <c r="AF15" i="35" s="1"/>
  <c r="AF16" i="35" s="1"/>
  <c r="AF17" i="35" s="1"/>
  <c r="AF18" i="35" s="1"/>
  <c r="AF19" i="35" s="1"/>
  <c r="AF20" i="35" s="1"/>
  <c r="AF21" i="35" s="1"/>
  <c r="AF22" i="35" s="1"/>
  <c r="AF23" i="35" s="1"/>
  <c r="AF24" i="35" s="1"/>
  <c r="AF25" i="35" s="1"/>
  <c r="AF26" i="35" s="1"/>
  <c r="AF27" i="35" s="1"/>
  <c r="AF28" i="35" s="1"/>
  <c r="AF29" i="35" s="1"/>
  <c r="AF30" i="35" s="1"/>
  <c r="AF31" i="35" s="1"/>
  <c r="AF32" i="35" s="1"/>
  <c r="AF33" i="35" s="1"/>
  <c r="AF34" i="35" s="1"/>
  <c r="AF35" i="35" s="1"/>
  <c r="AF36" i="35" s="1"/>
  <c r="AF37" i="35" s="1"/>
  <c r="AF38" i="35" s="1"/>
  <c r="AF39" i="35" s="1"/>
  <c r="AF40" i="35" s="1"/>
  <c r="AF41" i="35" s="1"/>
  <c r="AF42" i="35" s="1"/>
  <c r="AF43" i="35" s="1"/>
  <c r="AF44" i="35" s="1"/>
  <c r="AF45" i="35" s="1"/>
  <c r="AF46" i="35" s="1"/>
  <c r="AF47" i="35" s="1"/>
  <c r="AF48" i="35" s="1"/>
  <c r="AF49" i="35" s="1"/>
  <c r="AF50" i="35" s="1"/>
  <c r="AF51" i="35" s="1"/>
  <c r="AF52" i="35" s="1"/>
  <c r="AF53" i="35" s="1"/>
  <c r="AF54" i="35" s="1"/>
  <c r="AF55" i="35" s="1"/>
  <c r="AF56" i="35" s="1"/>
  <c r="AF57" i="35" s="1"/>
  <c r="AF58" i="35" s="1"/>
  <c r="AF59" i="35" s="1"/>
  <c r="AF60" i="35" s="1"/>
  <c r="AF61" i="35" s="1"/>
  <c r="AF62" i="35" s="1"/>
  <c r="AF63" i="35" s="1"/>
  <c r="AF64" i="35" s="1"/>
  <c r="AF65" i="35" s="1"/>
  <c r="AF66" i="35" s="1"/>
  <c r="AF67" i="35" s="1"/>
  <c r="AF68" i="35" s="1"/>
  <c r="AF69" i="35" s="1"/>
  <c r="AF70" i="35" s="1"/>
  <c r="AF71" i="35" s="1"/>
  <c r="AF72" i="35" s="1"/>
  <c r="AF73" i="35" s="1"/>
  <c r="AF74" i="35" s="1"/>
  <c r="AF75" i="35" s="1"/>
  <c r="AF76" i="35" s="1"/>
  <c r="AF77" i="35" s="1"/>
  <c r="AF78" i="35" s="1"/>
  <c r="AF79" i="35" s="1"/>
  <c r="AF80" i="35" s="1"/>
  <c r="AF81" i="35" s="1"/>
  <c r="AF82" i="35" s="1"/>
  <c r="AF83" i="35" s="1"/>
  <c r="AF84" i="35" s="1"/>
  <c r="AF85" i="35" s="1"/>
  <c r="AF86" i="35" s="1"/>
  <c r="AF87" i="35" s="1"/>
  <c r="AF88" i="35" s="1"/>
  <c r="AF89" i="35" s="1"/>
  <c r="AF90" i="35" s="1"/>
  <c r="AF91" i="35" s="1"/>
  <c r="AF92" i="35" s="1"/>
  <c r="AF93" i="35" s="1"/>
  <c r="AF94" i="35" s="1"/>
  <c r="AF95" i="35" s="1"/>
  <c r="AF96" i="35" s="1"/>
  <c r="AF97" i="35" s="1"/>
  <c r="AF98" i="35" s="1"/>
  <c r="AF99" i="35" s="1"/>
  <c r="AF100" i="35" s="1"/>
  <c r="AF101" i="35" s="1"/>
  <c r="AF102" i="35" s="1"/>
  <c r="AF103" i="35" s="1"/>
  <c r="AF104" i="35" s="1"/>
  <c r="AF105" i="35" s="1"/>
  <c r="AF106" i="35" s="1"/>
  <c r="AF107" i="35" s="1"/>
  <c r="AF108" i="35" s="1"/>
  <c r="AF109" i="35" s="1"/>
  <c r="AF110" i="35" s="1"/>
  <c r="AF111" i="35" s="1"/>
  <c r="AF112" i="35" s="1"/>
  <c r="AF113" i="35" s="1"/>
  <c r="AF114" i="35" s="1"/>
  <c r="AF115" i="35" s="1"/>
  <c r="AF116" i="35" s="1"/>
  <c r="AF117" i="35" s="1"/>
  <c r="AF118" i="35" s="1"/>
  <c r="AF119" i="35" s="1"/>
  <c r="AF120" i="35" s="1"/>
  <c r="AF121" i="35" s="1"/>
  <c r="AF122" i="35" s="1"/>
  <c r="AF123" i="35" s="1"/>
  <c r="AF124" i="35" s="1"/>
  <c r="AF125" i="35" s="1"/>
  <c r="AF126" i="35" s="1"/>
  <c r="AF127" i="35" s="1"/>
  <c r="AF128" i="35" s="1"/>
  <c r="AF129" i="35" s="1"/>
  <c r="AF130" i="35" s="1"/>
  <c r="AF131" i="35" s="1"/>
  <c r="AF132" i="35" s="1"/>
  <c r="AF133" i="35" s="1"/>
  <c r="AF134" i="35" s="1"/>
  <c r="AF135" i="35" s="1"/>
  <c r="AF136" i="35" s="1"/>
  <c r="AF137" i="35" s="1"/>
  <c r="AF138" i="35" s="1"/>
  <c r="AF139" i="35" s="1"/>
  <c r="AF140" i="35" s="1"/>
  <c r="AF141" i="35" s="1"/>
  <c r="AF142" i="35" s="1"/>
  <c r="AF143" i="35" s="1"/>
  <c r="AF144" i="35" s="1"/>
  <c r="AF145" i="35" s="1"/>
  <c r="AF146" i="35" s="1"/>
  <c r="AF147" i="35" s="1"/>
  <c r="AF148" i="35" s="1"/>
  <c r="AF149" i="35" s="1"/>
  <c r="AF150" i="35" s="1"/>
  <c r="AF151" i="35" s="1"/>
  <c r="AF152" i="35" s="1"/>
  <c r="AF153" i="35" s="1"/>
  <c r="AF154" i="35" s="1"/>
  <c r="AF155" i="35" s="1"/>
  <c r="AF156" i="35" s="1"/>
  <c r="AF157" i="35" s="1"/>
  <c r="AF158" i="35" s="1"/>
  <c r="AF159" i="35" s="1"/>
  <c r="AF160" i="35" s="1"/>
  <c r="AF161" i="35" s="1"/>
  <c r="AF162" i="35" s="1"/>
  <c r="AF163" i="35" s="1"/>
  <c r="AF164" i="35" s="1"/>
  <c r="AF165" i="35" s="1"/>
  <c r="AF166" i="35" s="1"/>
  <c r="AF167" i="35" s="1"/>
  <c r="AF168" i="35" s="1"/>
  <c r="AF169" i="35" s="1"/>
  <c r="AF170" i="35" s="1"/>
  <c r="AF171" i="35" s="1"/>
  <c r="AF172" i="35" s="1"/>
  <c r="AF173" i="35" s="1"/>
  <c r="AF174" i="35" s="1"/>
  <c r="AF175" i="35" s="1"/>
  <c r="AF176" i="35" s="1"/>
  <c r="AF177" i="35" s="1"/>
  <c r="AF178" i="35" s="1"/>
  <c r="AF179" i="35" s="1"/>
  <c r="AF180" i="35" s="1"/>
  <c r="AF181" i="35" s="1"/>
  <c r="AF182" i="35" s="1"/>
  <c r="AF183" i="35" s="1"/>
  <c r="AF184" i="35" s="1"/>
  <c r="AF185" i="35" s="1"/>
  <c r="AF186" i="35" s="1"/>
  <c r="AF187" i="35" s="1"/>
  <c r="AF188" i="35" s="1"/>
  <c r="AF189" i="35" s="1"/>
  <c r="AF190" i="35" s="1"/>
  <c r="AF191" i="35" s="1"/>
  <c r="AF192" i="35" s="1"/>
  <c r="AF193" i="35" s="1"/>
  <c r="AF194" i="35" s="1"/>
  <c r="AF195" i="35" s="1"/>
  <c r="AF196" i="35" s="1"/>
  <c r="AF197" i="35" s="1"/>
  <c r="AF198" i="35" s="1"/>
  <c r="AF199" i="35" s="1"/>
  <c r="AF200" i="35" s="1"/>
  <c r="AF201" i="35" s="1"/>
  <c r="AF202" i="35" s="1"/>
  <c r="AF203" i="35" s="1"/>
  <c r="AF204" i="35" s="1"/>
  <c r="AF205" i="35" s="1"/>
  <c r="AF206" i="35" s="1"/>
  <c r="AF207" i="35" s="1"/>
  <c r="AF208" i="35" s="1"/>
  <c r="AF209" i="35" s="1"/>
  <c r="AF210" i="35" s="1"/>
  <c r="AF211" i="35" s="1"/>
  <c r="AF212" i="35" s="1"/>
  <c r="AF213" i="35" s="1"/>
  <c r="AF214" i="35" s="1"/>
  <c r="AF215" i="35" s="1"/>
  <c r="AF216" i="35" s="1"/>
  <c r="AF217" i="35" s="1"/>
  <c r="AF218" i="35" s="1"/>
  <c r="AF219" i="35" s="1"/>
  <c r="AF220" i="35" s="1"/>
  <c r="AF221" i="35" s="1"/>
  <c r="AF222" i="35" s="1"/>
  <c r="AF223" i="35" s="1"/>
  <c r="AF224" i="35" s="1"/>
  <c r="AF225" i="35" s="1"/>
  <c r="AF226" i="35" s="1"/>
  <c r="AF227" i="35" s="1"/>
  <c r="AF228" i="35" s="1"/>
  <c r="AF229" i="35" s="1"/>
  <c r="AF230" i="35" s="1"/>
  <c r="AF231" i="35" s="1"/>
  <c r="AF232" i="35" s="1"/>
  <c r="AF233" i="35" s="1"/>
  <c r="AF234" i="35" s="1"/>
  <c r="AF235" i="35" s="1"/>
  <c r="AF236" i="35" s="1"/>
  <c r="AF237" i="35" s="1"/>
  <c r="AF238" i="35" s="1"/>
  <c r="AF239" i="35" s="1"/>
  <c r="AF240" i="35" s="1"/>
  <c r="AF241" i="35" s="1"/>
  <c r="AF242" i="35" s="1"/>
  <c r="AF243" i="35" s="1"/>
  <c r="AF244" i="35" s="1"/>
  <c r="AF245" i="35" s="1"/>
  <c r="AF246" i="35" s="1"/>
  <c r="AF247" i="35" s="1"/>
  <c r="AF248" i="35" s="1"/>
  <c r="AF249" i="35" s="1"/>
  <c r="AF250" i="35" s="1"/>
  <c r="AF251" i="35" s="1"/>
  <c r="AF252" i="35" s="1"/>
  <c r="AF253" i="35" s="1"/>
  <c r="AF254" i="35" s="1"/>
  <c r="AF255" i="35" s="1"/>
  <c r="AF256" i="35" s="1"/>
  <c r="AF257" i="35" s="1"/>
  <c r="AF258" i="35" s="1"/>
  <c r="AF259" i="35" s="1"/>
  <c r="AF260" i="35" s="1"/>
  <c r="AF261" i="35" s="1"/>
  <c r="AF262" i="35" s="1"/>
  <c r="AF263" i="35" s="1"/>
  <c r="AF264" i="35" s="1"/>
  <c r="AF265" i="35" s="1"/>
  <c r="AJ12" i="35"/>
  <c r="AJ13" i="35" s="1"/>
  <c r="AJ14" i="35" s="1"/>
  <c r="AJ15" i="35" s="1"/>
  <c r="AJ16" i="35" s="1"/>
  <c r="AJ17" i="35" s="1"/>
  <c r="AJ18" i="35" s="1"/>
  <c r="AJ19" i="35" s="1"/>
  <c r="AJ20" i="35" s="1"/>
  <c r="AJ21" i="35" s="1"/>
  <c r="AJ22" i="35" s="1"/>
  <c r="AJ23" i="35" s="1"/>
  <c r="AJ24" i="35" s="1"/>
  <c r="AJ25" i="35" s="1"/>
  <c r="AJ26" i="35" s="1"/>
  <c r="AJ27" i="35" s="1"/>
  <c r="AJ28" i="35" s="1"/>
  <c r="AJ29" i="35" s="1"/>
  <c r="AJ30" i="35" s="1"/>
  <c r="AJ31" i="35" s="1"/>
  <c r="AJ32" i="35" s="1"/>
  <c r="AJ33" i="35" s="1"/>
  <c r="AJ34" i="35" s="1"/>
  <c r="AJ35" i="35" s="1"/>
  <c r="AJ36" i="35" s="1"/>
  <c r="AJ37" i="35" s="1"/>
  <c r="AJ38" i="35" s="1"/>
  <c r="AJ39" i="35" s="1"/>
  <c r="AJ40" i="35" s="1"/>
  <c r="AJ41" i="35" s="1"/>
  <c r="AJ42" i="35" s="1"/>
  <c r="AJ43" i="35" s="1"/>
  <c r="AJ44" i="35" s="1"/>
  <c r="AJ45" i="35" s="1"/>
  <c r="AJ46" i="35" s="1"/>
  <c r="AJ47" i="35" s="1"/>
  <c r="AJ48" i="35" s="1"/>
  <c r="AJ49" i="35" s="1"/>
  <c r="AJ50" i="35" s="1"/>
  <c r="AJ51" i="35" s="1"/>
  <c r="AJ52" i="35" s="1"/>
  <c r="AJ53" i="35" s="1"/>
  <c r="AJ54" i="35" s="1"/>
  <c r="AJ55" i="35" s="1"/>
  <c r="AJ56" i="35" s="1"/>
  <c r="AJ57" i="35" s="1"/>
  <c r="AJ58" i="35" s="1"/>
  <c r="AJ59" i="35" s="1"/>
  <c r="AJ60" i="35" s="1"/>
  <c r="AJ61" i="35" s="1"/>
  <c r="AJ62" i="35" s="1"/>
  <c r="AJ63" i="35" s="1"/>
  <c r="AJ64" i="35" s="1"/>
  <c r="AJ65" i="35" s="1"/>
  <c r="AJ66" i="35" s="1"/>
  <c r="AJ67" i="35" s="1"/>
  <c r="AJ68" i="35" s="1"/>
  <c r="AJ69" i="35" s="1"/>
  <c r="AJ70" i="35" s="1"/>
  <c r="AJ71" i="35" s="1"/>
  <c r="AJ72" i="35" s="1"/>
  <c r="AJ73" i="35" s="1"/>
  <c r="AJ74" i="35" s="1"/>
  <c r="AJ75" i="35" s="1"/>
  <c r="AJ76" i="35" s="1"/>
  <c r="AJ77" i="35" s="1"/>
  <c r="AJ78" i="35" s="1"/>
  <c r="AJ79" i="35" s="1"/>
  <c r="AJ80" i="35" s="1"/>
  <c r="AJ81" i="35" s="1"/>
  <c r="AJ82" i="35" s="1"/>
  <c r="AJ83" i="35" s="1"/>
  <c r="AJ84" i="35" s="1"/>
  <c r="AJ85" i="35" s="1"/>
  <c r="AJ86" i="35" s="1"/>
  <c r="AJ87" i="35" s="1"/>
  <c r="AJ88" i="35" s="1"/>
  <c r="AJ89" i="35" s="1"/>
  <c r="AJ90" i="35" s="1"/>
  <c r="AJ91" i="35" s="1"/>
  <c r="AJ92" i="35" s="1"/>
  <c r="AJ93" i="35" s="1"/>
  <c r="AJ94" i="35" s="1"/>
  <c r="AJ95" i="35" s="1"/>
  <c r="AJ96" i="35" s="1"/>
  <c r="AJ97" i="35" s="1"/>
  <c r="AJ98" i="35" s="1"/>
  <c r="AJ99" i="35" s="1"/>
  <c r="AJ100" i="35" s="1"/>
  <c r="AJ101" i="35" s="1"/>
  <c r="AJ102" i="35" s="1"/>
  <c r="AJ103" i="35" s="1"/>
  <c r="AJ104" i="35" s="1"/>
  <c r="AJ105" i="35" s="1"/>
  <c r="AJ106" i="35" s="1"/>
  <c r="AJ107" i="35" s="1"/>
  <c r="AJ108" i="35" s="1"/>
  <c r="AJ109" i="35" s="1"/>
  <c r="AJ110" i="35" s="1"/>
  <c r="AJ111" i="35" s="1"/>
  <c r="AJ112" i="35" s="1"/>
  <c r="AJ113" i="35" s="1"/>
  <c r="AJ114" i="35" s="1"/>
  <c r="AJ115" i="35" s="1"/>
  <c r="AJ116" i="35" s="1"/>
  <c r="AJ117" i="35" s="1"/>
  <c r="AJ118" i="35" s="1"/>
  <c r="AJ119" i="35" s="1"/>
  <c r="AJ120" i="35" s="1"/>
  <c r="AJ121" i="35" s="1"/>
  <c r="AJ122" i="35" s="1"/>
  <c r="AJ123" i="35" s="1"/>
  <c r="AJ124" i="35" s="1"/>
  <c r="AJ125" i="35" s="1"/>
  <c r="AJ126" i="35" s="1"/>
  <c r="AJ127" i="35" s="1"/>
  <c r="AJ128" i="35" s="1"/>
  <c r="AJ129" i="35" s="1"/>
  <c r="AJ130" i="35" s="1"/>
  <c r="AJ131" i="35" s="1"/>
  <c r="AJ132" i="35" s="1"/>
  <c r="AJ133" i="35" s="1"/>
  <c r="AJ134" i="35" s="1"/>
  <c r="AJ135" i="35" s="1"/>
  <c r="AJ136" i="35" s="1"/>
  <c r="AJ137" i="35" s="1"/>
  <c r="AJ138" i="35" s="1"/>
  <c r="AJ139" i="35" s="1"/>
  <c r="AJ140" i="35" s="1"/>
  <c r="AJ141" i="35" s="1"/>
  <c r="AJ142" i="35" s="1"/>
  <c r="AJ143" i="35" s="1"/>
  <c r="AJ144" i="35" s="1"/>
  <c r="AJ145" i="35" s="1"/>
  <c r="AJ146" i="35" s="1"/>
  <c r="AJ147" i="35" s="1"/>
  <c r="AJ148" i="35" s="1"/>
  <c r="AJ149" i="35" s="1"/>
  <c r="AJ150" i="35" s="1"/>
  <c r="AJ151" i="35" s="1"/>
  <c r="AJ152" i="35" s="1"/>
  <c r="AJ153" i="35" s="1"/>
  <c r="AJ154" i="35" s="1"/>
  <c r="AJ155" i="35" s="1"/>
  <c r="AJ156" i="35" s="1"/>
  <c r="AJ157" i="35" s="1"/>
  <c r="AJ158" i="35" s="1"/>
  <c r="AJ159" i="35" s="1"/>
  <c r="AJ160" i="35" s="1"/>
  <c r="AJ161" i="35" s="1"/>
  <c r="AJ162" i="35" s="1"/>
  <c r="AJ163" i="35" s="1"/>
  <c r="AJ164" i="35" s="1"/>
  <c r="AJ165" i="35" s="1"/>
  <c r="AJ166" i="35" s="1"/>
  <c r="AJ167" i="35" s="1"/>
  <c r="AJ168" i="35" s="1"/>
  <c r="AJ169" i="35" s="1"/>
  <c r="AJ170" i="35" s="1"/>
  <c r="AJ171" i="35" s="1"/>
  <c r="AJ172" i="35" s="1"/>
  <c r="AJ173" i="35" s="1"/>
  <c r="AJ174" i="35" s="1"/>
  <c r="AJ175" i="35" s="1"/>
  <c r="AJ176" i="35" s="1"/>
  <c r="AJ177" i="35" s="1"/>
  <c r="AJ178" i="35" s="1"/>
  <c r="AJ179" i="35" s="1"/>
  <c r="AJ180" i="35" s="1"/>
  <c r="AJ181" i="35" s="1"/>
  <c r="AJ182" i="35" s="1"/>
  <c r="AJ183" i="35" s="1"/>
  <c r="AJ184" i="35" s="1"/>
  <c r="AJ185" i="35" s="1"/>
  <c r="AJ186" i="35" s="1"/>
  <c r="AJ187" i="35" s="1"/>
  <c r="AJ188" i="35" s="1"/>
  <c r="AJ189" i="35" s="1"/>
  <c r="AJ190" i="35" s="1"/>
  <c r="AJ191" i="35" s="1"/>
  <c r="AJ192" i="35" s="1"/>
  <c r="AJ193" i="35" s="1"/>
  <c r="AJ194" i="35" s="1"/>
  <c r="AJ195" i="35" s="1"/>
  <c r="AJ196" i="35" s="1"/>
  <c r="AJ197" i="35" s="1"/>
  <c r="AJ198" i="35" s="1"/>
  <c r="AJ199" i="35" s="1"/>
  <c r="AJ200" i="35" s="1"/>
  <c r="AJ201" i="35" s="1"/>
  <c r="AJ202" i="35" s="1"/>
  <c r="AJ203" i="35" s="1"/>
  <c r="AJ204" i="35" s="1"/>
  <c r="AJ205" i="35" s="1"/>
  <c r="AJ206" i="35" s="1"/>
  <c r="AJ207" i="35" s="1"/>
  <c r="AJ208" i="35" s="1"/>
  <c r="AJ209" i="35" s="1"/>
  <c r="AJ210" i="35" s="1"/>
  <c r="AJ211" i="35" s="1"/>
  <c r="AJ212" i="35" s="1"/>
  <c r="AJ213" i="35" s="1"/>
  <c r="AJ214" i="35" s="1"/>
  <c r="AJ215" i="35" s="1"/>
  <c r="AJ216" i="35" s="1"/>
  <c r="AJ217" i="35" s="1"/>
  <c r="AJ218" i="35" s="1"/>
  <c r="AJ219" i="35" s="1"/>
  <c r="AJ220" i="35" s="1"/>
  <c r="AJ221" i="35" s="1"/>
  <c r="AJ222" i="35" s="1"/>
  <c r="AJ223" i="35" s="1"/>
  <c r="AJ224" i="35" s="1"/>
  <c r="AJ225" i="35" s="1"/>
  <c r="AJ226" i="35" s="1"/>
  <c r="AJ227" i="35" s="1"/>
  <c r="AJ228" i="35" s="1"/>
  <c r="AJ229" i="35" s="1"/>
  <c r="AJ230" i="35" s="1"/>
  <c r="AJ231" i="35" s="1"/>
  <c r="AJ232" i="35" s="1"/>
  <c r="AJ233" i="35" s="1"/>
  <c r="AJ234" i="35" s="1"/>
  <c r="AJ235" i="35" s="1"/>
  <c r="AJ236" i="35" s="1"/>
  <c r="AJ237" i="35" s="1"/>
  <c r="AJ238" i="35" s="1"/>
  <c r="AJ239" i="35" s="1"/>
  <c r="AJ240" i="35" s="1"/>
  <c r="AJ241" i="35" s="1"/>
  <c r="AJ242" i="35" s="1"/>
  <c r="AJ243" i="35" s="1"/>
  <c r="AJ244" i="35" s="1"/>
  <c r="AJ245" i="35" s="1"/>
  <c r="AJ246" i="35" s="1"/>
  <c r="AJ247" i="35" s="1"/>
  <c r="AJ248" i="35" s="1"/>
  <c r="AJ249" i="35" s="1"/>
  <c r="AJ250" i="35" s="1"/>
  <c r="AJ251" i="35" s="1"/>
  <c r="AJ252" i="35" s="1"/>
  <c r="AJ253" i="35" s="1"/>
  <c r="AJ254" i="35" s="1"/>
  <c r="AJ255" i="35" s="1"/>
  <c r="AJ256" i="35" s="1"/>
  <c r="AJ257" i="35" s="1"/>
  <c r="AJ258" i="35" s="1"/>
  <c r="AJ259" i="35" s="1"/>
  <c r="AJ260" i="35" s="1"/>
  <c r="AJ261" i="35" s="1"/>
  <c r="AJ262" i="35" s="1"/>
  <c r="AJ263" i="35" s="1"/>
  <c r="AJ264" i="35" s="1"/>
  <c r="AJ265" i="35" s="1"/>
  <c r="W12" i="35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W84" i="35" s="1"/>
  <c r="W85" i="35" s="1"/>
  <c r="W86" i="35" s="1"/>
  <c r="W87" i="35" s="1"/>
  <c r="W88" i="35" s="1"/>
  <c r="W89" i="35" s="1"/>
  <c r="W90" i="35" s="1"/>
  <c r="W91" i="35" s="1"/>
  <c r="W92" i="35" s="1"/>
  <c r="W93" i="35" s="1"/>
  <c r="W94" i="35" s="1"/>
  <c r="W95" i="35" s="1"/>
  <c r="W96" i="35" s="1"/>
  <c r="W97" i="35" s="1"/>
  <c r="W98" i="35" s="1"/>
  <c r="W99" i="35" s="1"/>
  <c r="W100" i="35" s="1"/>
  <c r="W101" i="35" s="1"/>
  <c r="W102" i="35" s="1"/>
  <c r="W103" i="35" s="1"/>
  <c r="W104" i="35" s="1"/>
  <c r="W105" i="35" s="1"/>
  <c r="W106" i="35" s="1"/>
  <c r="W107" i="35" s="1"/>
  <c r="W108" i="35" s="1"/>
  <c r="W109" i="35" s="1"/>
  <c r="W110" i="35" s="1"/>
  <c r="W111" i="35" s="1"/>
  <c r="W112" i="35" s="1"/>
  <c r="W113" i="35" s="1"/>
  <c r="W114" i="35" s="1"/>
  <c r="W115" i="35" s="1"/>
  <c r="W116" i="35" s="1"/>
  <c r="W117" i="35" s="1"/>
  <c r="W118" i="35" s="1"/>
  <c r="W119" i="35" s="1"/>
  <c r="W120" i="35" s="1"/>
  <c r="W121" i="35" s="1"/>
  <c r="W122" i="35" s="1"/>
  <c r="W123" i="35" s="1"/>
  <c r="W124" i="35" s="1"/>
  <c r="W125" i="35" s="1"/>
  <c r="W126" i="35" s="1"/>
  <c r="W127" i="35" s="1"/>
  <c r="W128" i="35" s="1"/>
  <c r="W129" i="35" s="1"/>
  <c r="W130" i="35" s="1"/>
  <c r="W131" i="35" s="1"/>
  <c r="W132" i="35" s="1"/>
  <c r="W133" i="35" s="1"/>
  <c r="W134" i="35" s="1"/>
  <c r="W135" i="35" s="1"/>
  <c r="W136" i="35" s="1"/>
  <c r="W137" i="35" s="1"/>
  <c r="W138" i="35" s="1"/>
  <c r="W139" i="35" s="1"/>
  <c r="W140" i="35" s="1"/>
  <c r="W141" i="35" s="1"/>
  <c r="W142" i="35" s="1"/>
  <c r="W143" i="35" s="1"/>
  <c r="W144" i="35" s="1"/>
  <c r="W145" i="35" s="1"/>
  <c r="W146" i="35" s="1"/>
  <c r="W147" i="35" s="1"/>
  <c r="W148" i="35" s="1"/>
  <c r="W149" i="35" s="1"/>
  <c r="W150" i="35" s="1"/>
  <c r="W151" i="35" s="1"/>
  <c r="W152" i="35" s="1"/>
  <c r="W153" i="35" s="1"/>
  <c r="W154" i="35" s="1"/>
  <c r="W155" i="35" s="1"/>
  <c r="W156" i="35" s="1"/>
  <c r="W157" i="35" s="1"/>
  <c r="W158" i="35" s="1"/>
  <c r="W159" i="35" s="1"/>
  <c r="W160" i="35" s="1"/>
  <c r="W161" i="35" s="1"/>
  <c r="W162" i="35" s="1"/>
  <c r="W163" i="35" s="1"/>
  <c r="W164" i="35" s="1"/>
  <c r="W165" i="35" s="1"/>
  <c r="W166" i="35" s="1"/>
  <c r="W167" i="35" s="1"/>
  <c r="W168" i="35" s="1"/>
  <c r="W169" i="35" s="1"/>
  <c r="W170" i="35" s="1"/>
  <c r="W171" i="35" s="1"/>
  <c r="W172" i="35" s="1"/>
  <c r="W173" i="35" s="1"/>
  <c r="W174" i="35" s="1"/>
  <c r="W175" i="35" s="1"/>
  <c r="W176" i="35" s="1"/>
  <c r="W177" i="35" s="1"/>
  <c r="W178" i="35" s="1"/>
  <c r="W179" i="35" s="1"/>
  <c r="W180" i="35" s="1"/>
  <c r="W181" i="35" s="1"/>
  <c r="W182" i="35" s="1"/>
  <c r="W183" i="35" s="1"/>
  <c r="W184" i="35" s="1"/>
  <c r="W185" i="35" s="1"/>
  <c r="W186" i="35" s="1"/>
  <c r="W187" i="35" s="1"/>
  <c r="W188" i="35" s="1"/>
  <c r="W189" i="35" s="1"/>
  <c r="W190" i="35" s="1"/>
  <c r="W191" i="35" s="1"/>
  <c r="W192" i="35" s="1"/>
  <c r="W193" i="35" s="1"/>
  <c r="W194" i="35" s="1"/>
  <c r="W195" i="35" s="1"/>
  <c r="W196" i="35" s="1"/>
  <c r="W197" i="35" s="1"/>
  <c r="W198" i="35" s="1"/>
  <c r="W199" i="35" s="1"/>
  <c r="W200" i="35" s="1"/>
  <c r="W201" i="35" s="1"/>
  <c r="W202" i="35" s="1"/>
  <c r="W203" i="35" s="1"/>
  <c r="W204" i="35" s="1"/>
  <c r="W205" i="35" s="1"/>
  <c r="W206" i="35" s="1"/>
  <c r="W207" i="35" s="1"/>
  <c r="W208" i="35" s="1"/>
  <c r="W209" i="35" s="1"/>
  <c r="W210" i="35" s="1"/>
  <c r="W211" i="35" s="1"/>
  <c r="W212" i="35" s="1"/>
  <c r="W213" i="35" s="1"/>
  <c r="W214" i="35" s="1"/>
  <c r="W215" i="35" s="1"/>
  <c r="W216" i="35" s="1"/>
  <c r="W217" i="35" s="1"/>
  <c r="W218" i="35" s="1"/>
  <c r="W219" i="35" s="1"/>
  <c r="W220" i="35" s="1"/>
  <c r="W221" i="35" s="1"/>
  <c r="W222" i="35" s="1"/>
  <c r="W223" i="35" s="1"/>
  <c r="W224" i="35" s="1"/>
  <c r="W225" i="35" s="1"/>
  <c r="W226" i="35" s="1"/>
  <c r="W227" i="35" s="1"/>
  <c r="W228" i="35" s="1"/>
  <c r="W229" i="35" s="1"/>
  <c r="W230" i="35" s="1"/>
  <c r="W231" i="35" s="1"/>
  <c r="W232" i="35" s="1"/>
  <c r="W233" i="35" s="1"/>
  <c r="W234" i="35" s="1"/>
  <c r="W235" i="35" s="1"/>
  <c r="W236" i="35" s="1"/>
  <c r="W237" i="35" s="1"/>
  <c r="W238" i="35" s="1"/>
  <c r="W239" i="35" s="1"/>
  <c r="W240" i="35" s="1"/>
  <c r="W241" i="35" s="1"/>
  <c r="W242" i="35" s="1"/>
  <c r="W243" i="35" s="1"/>
  <c r="W244" i="35" s="1"/>
  <c r="W245" i="35" s="1"/>
  <c r="W246" i="35" s="1"/>
  <c r="W247" i="35" s="1"/>
  <c r="W248" i="35" s="1"/>
  <c r="W249" i="35" s="1"/>
  <c r="W250" i="35" s="1"/>
  <c r="W251" i="35" s="1"/>
  <c r="W252" i="35" s="1"/>
  <c r="W253" i="35" s="1"/>
  <c r="W254" i="35" s="1"/>
  <c r="W255" i="35" s="1"/>
  <c r="W256" i="35" s="1"/>
  <c r="W257" i="35" s="1"/>
  <c r="W258" i="35" s="1"/>
  <c r="W259" i="35" s="1"/>
  <c r="W260" i="35" s="1"/>
  <c r="W261" i="35" s="1"/>
  <c r="W262" i="35" s="1"/>
  <c r="W263" i="35" s="1"/>
  <c r="W264" i="35" s="1"/>
  <c r="X12" i="35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X84" i="35" s="1"/>
  <c r="X85" i="35" s="1"/>
  <c r="X86" i="35" s="1"/>
  <c r="X87" i="35" s="1"/>
  <c r="X88" i="35" s="1"/>
  <c r="X89" i="35" s="1"/>
  <c r="X90" i="35" s="1"/>
  <c r="X91" i="35" s="1"/>
  <c r="X92" i="35" s="1"/>
  <c r="X93" i="35" s="1"/>
  <c r="X94" i="35" s="1"/>
  <c r="X95" i="35" s="1"/>
  <c r="X96" i="35" s="1"/>
  <c r="X97" i="35" s="1"/>
  <c r="X98" i="35" s="1"/>
  <c r="X99" i="35" s="1"/>
  <c r="X100" i="35" s="1"/>
  <c r="X101" i="35" s="1"/>
  <c r="X102" i="35" s="1"/>
  <c r="X103" i="35" s="1"/>
  <c r="X104" i="35" s="1"/>
  <c r="X105" i="35" s="1"/>
  <c r="X106" i="35" s="1"/>
  <c r="X107" i="35" s="1"/>
  <c r="X108" i="35" s="1"/>
  <c r="X109" i="35" s="1"/>
  <c r="X110" i="35" s="1"/>
  <c r="X111" i="35" s="1"/>
  <c r="X112" i="35" s="1"/>
  <c r="X113" i="35" s="1"/>
  <c r="X114" i="35" s="1"/>
  <c r="X115" i="35" s="1"/>
  <c r="X116" i="35" s="1"/>
  <c r="X117" i="35" s="1"/>
  <c r="X118" i="35" s="1"/>
  <c r="X119" i="35" s="1"/>
  <c r="X120" i="35" s="1"/>
  <c r="X121" i="35" s="1"/>
  <c r="X122" i="35" s="1"/>
  <c r="X123" i="35" s="1"/>
  <c r="X124" i="35" s="1"/>
  <c r="X125" i="35" s="1"/>
  <c r="X126" i="35" s="1"/>
  <c r="X127" i="35" s="1"/>
  <c r="X128" i="35" s="1"/>
  <c r="X129" i="35" s="1"/>
  <c r="X130" i="35" s="1"/>
  <c r="X131" i="35" s="1"/>
  <c r="X132" i="35" s="1"/>
  <c r="X133" i="35" s="1"/>
  <c r="X134" i="35" s="1"/>
  <c r="X135" i="35" s="1"/>
  <c r="X136" i="35" s="1"/>
  <c r="X137" i="35" s="1"/>
  <c r="X138" i="35" s="1"/>
  <c r="X139" i="35" s="1"/>
  <c r="X140" i="35" s="1"/>
  <c r="X141" i="35" s="1"/>
  <c r="X142" i="35" s="1"/>
  <c r="X143" i="35" s="1"/>
  <c r="X144" i="35" s="1"/>
  <c r="X145" i="35" s="1"/>
  <c r="X146" i="35" s="1"/>
  <c r="X147" i="35" s="1"/>
  <c r="X148" i="35" s="1"/>
  <c r="X149" i="35" s="1"/>
  <c r="X150" i="35" s="1"/>
  <c r="X151" i="35" s="1"/>
  <c r="X152" i="35" s="1"/>
  <c r="X153" i="35" s="1"/>
  <c r="X154" i="35" s="1"/>
  <c r="X155" i="35" s="1"/>
  <c r="X156" i="35" s="1"/>
  <c r="X157" i="35" s="1"/>
  <c r="X158" i="35" s="1"/>
  <c r="X159" i="35" s="1"/>
  <c r="X160" i="35" s="1"/>
  <c r="X161" i="35" s="1"/>
  <c r="X162" i="35" s="1"/>
  <c r="X163" i="35" s="1"/>
  <c r="X164" i="35" s="1"/>
  <c r="X165" i="35" s="1"/>
  <c r="X166" i="35" s="1"/>
  <c r="X167" i="35" s="1"/>
  <c r="X168" i="35" s="1"/>
  <c r="X169" i="35" s="1"/>
  <c r="X170" i="35" s="1"/>
  <c r="X171" i="35" s="1"/>
  <c r="X172" i="35" s="1"/>
  <c r="X173" i="35" s="1"/>
  <c r="X174" i="35" s="1"/>
  <c r="X175" i="35" s="1"/>
  <c r="X176" i="35" s="1"/>
  <c r="X177" i="35" s="1"/>
  <c r="X178" i="35" s="1"/>
  <c r="X179" i="35" s="1"/>
  <c r="X180" i="35" s="1"/>
  <c r="X181" i="35" s="1"/>
  <c r="X182" i="35" s="1"/>
  <c r="X183" i="35" s="1"/>
  <c r="X184" i="35" s="1"/>
  <c r="X185" i="35" s="1"/>
  <c r="X186" i="35" s="1"/>
  <c r="X187" i="35" s="1"/>
  <c r="X188" i="35" s="1"/>
  <c r="X189" i="35" s="1"/>
  <c r="X190" i="35" s="1"/>
  <c r="X191" i="35" s="1"/>
  <c r="X192" i="35" s="1"/>
  <c r="X193" i="35" s="1"/>
  <c r="X194" i="35" s="1"/>
  <c r="X195" i="35" s="1"/>
  <c r="X196" i="35" s="1"/>
  <c r="X197" i="35" s="1"/>
  <c r="X198" i="35" s="1"/>
  <c r="X199" i="35" s="1"/>
  <c r="X200" i="35" s="1"/>
  <c r="X201" i="35" s="1"/>
  <c r="X202" i="35" s="1"/>
  <c r="X203" i="35" s="1"/>
  <c r="X204" i="35" s="1"/>
  <c r="X205" i="35" s="1"/>
  <c r="X206" i="35" s="1"/>
  <c r="X207" i="35" s="1"/>
  <c r="X208" i="35" s="1"/>
  <c r="X209" i="35" s="1"/>
  <c r="X210" i="35" s="1"/>
  <c r="X211" i="35" s="1"/>
  <c r="X212" i="35" s="1"/>
  <c r="X213" i="35" s="1"/>
  <c r="X214" i="35" s="1"/>
  <c r="X215" i="35" s="1"/>
  <c r="X216" i="35" s="1"/>
  <c r="X217" i="35" s="1"/>
  <c r="X218" i="35" s="1"/>
  <c r="X219" i="35" s="1"/>
  <c r="X220" i="35" s="1"/>
  <c r="X221" i="35" s="1"/>
  <c r="X222" i="35" s="1"/>
  <c r="X223" i="35" s="1"/>
  <c r="X224" i="35" s="1"/>
  <c r="X225" i="35" s="1"/>
  <c r="X226" i="35" s="1"/>
  <c r="X227" i="35" s="1"/>
  <c r="X228" i="35" s="1"/>
  <c r="X229" i="35" s="1"/>
  <c r="X230" i="35" s="1"/>
  <c r="X231" i="35" s="1"/>
  <c r="X232" i="35" s="1"/>
  <c r="X233" i="35" s="1"/>
  <c r="X234" i="35" s="1"/>
  <c r="X235" i="35" s="1"/>
  <c r="X236" i="35" s="1"/>
  <c r="X237" i="35" s="1"/>
  <c r="X238" i="35" s="1"/>
  <c r="X239" i="35" s="1"/>
  <c r="X240" i="35" s="1"/>
  <c r="X241" i="35" s="1"/>
  <c r="X242" i="35" s="1"/>
  <c r="V12" i="35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V84" i="35" s="1"/>
  <c r="V85" i="35" s="1"/>
  <c r="V86" i="35" s="1"/>
  <c r="V87" i="35" s="1"/>
  <c r="V88" i="35" s="1"/>
  <c r="V89" i="35" s="1"/>
  <c r="V90" i="35" s="1"/>
  <c r="V91" i="35" s="1"/>
  <c r="V92" i="35" s="1"/>
  <c r="V93" i="35" s="1"/>
  <c r="V94" i="35" s="1"/>
  <c r="V95" i="35" s="1"/>
  <c r="V96" i="35" s="1"/>
  <c r="V97" i="35" s="1"/>
  <c r="V98" i="35" s="1"/>
  <c r="V99" i="35" s="1"/>
  <c r="V100" i="35" s="1"/>
  <c r="V101" i="35" s="1"/>
  <c r="V102" i="35" s="1"/>
  <c r="V103" i="35" s="1"/>
  <c r="V104" i="35" s="1"/>
  <c r="V105" i="35" s="1"/>
  <c r="V106" i="35" s="1"/>
  <c r="V107" i="35" s="1"/>
  <c r="V108" i="35" s="1"/>
  <c r="V109" i="35" s="1"/>
  <c r="V110" i="35" s="1"/>
  <c r="V111" i="35" s="1"/>
  <c r="V112" i="35" s="1"/>
  <c r="V113" i="35" s="1"/>
  <c r="V114" i="35" s="1"/>
  <c r="V115" i="35" s="1"/>
  <c r="V116" i="35" s="1"/>
  <c r="V117" i="35" s="1"/>
  <c r="V118" i="35" s="1"/>
  <c r="V119" i="35" s="1"/>
  <c r="V120" i="35" s="1"/>
  <c r="V121" i="35" s="1"/>
  <c r="V122" i="35" s="1"/>
  <c r="V123" i="35" s="1"/>
  <c r="V124" i="35" s="1"/>
  <c r="V125" i="35" s="1"/>
  <c r="V126" i="35" s="1"/>
  <c r="V127" i="35" s="1"/>
  <c r="V128" i="35" s="1"/>
  <c r="V129" i="35" s="1"/>
  <c r="V130" i="35" s="1"/>
  <c r="V131" i="35" s="1"/>
  <c r="V132" i="35" s="1"/>
  <c r="V133" i="35" s="1"/>
  <c r="V134" i="35" s="1"/>
  <c r="V135" i="35" s="1"/>
  <c r="V136" i="35" s="1"/>
  <c r="V137" i="35" s="1"/>
  <c r="V138" i="35" s="1"/>
  <c r="V139" i="35" s="1"/>
  <c r="V140" i="35" s="1"/>
  <c r="V141" i="35" s="1"/>
  <c r="V142" i="35" s="1"/>
  <c r="V143" i="35" s="1"/>
  <c r="V144" i="35" s="1"/>
  <c r="V145" i="35" s="1"/>
  <c r="V146" i="35" s="1"/>
  <c r="V147" i="35" s="1"/>
  <c r="V148" i="35" s="1"/>
  <c r="V149" i="35" s="1"/>
  <c r="V150" i="35" s="1"/>
  <c r="V151" i="35" s="1"/>
  <c r="V152" i="35" s="1"/>
  <c r="V153" i="35" s="1"/>
  <c r="V154" i="35" s="1"/>
  <c r="V155" i="35" s="1"/>
  <c r="V156" i="35" s="1"/>
  <c r="V157" i="35" s="1"/>
  <c r="V158" i="35" s="1"/>
  <c r="V159" i="35" s="1"/>
  <c r="V160" i="35" s="1"/>
  <c r="V161" i="35" s="1"/>
  <c r="V162" i="35" s="1"/>
  <c r="V163" i="35" s="1"/>
  <c r="V164" i="35" s="1"/>
  <c r="V165" i="35" s="1"/>
  <c r="V166" i="35" s="1"/>
  <c r="V167" i="35" s="1"/>
  <c r="V168" i="35" s="1"/>
  <c r="V169" i="35" s="1"/>
  <c r="V170" i="35" s="1"/>
  <c r="V171" i="35" s="1"/>
  <c r="V172" i="35" s="1"/>
  <c r="V173" i="35" s="1"/>
  <c r="V174" i="35" s="1"/>
  <c r="V175" i="35" s="1"/>
  <c r="V176" i="35" s="1"/>
  <c r="V177" i="35" s="1"/>
  <c r="V178" i="35" s="1"/>
  <c r="V179" i="35" s="1"/>
  <c r="V180" i="35" s="1"/>
  <c r="V181" i="35" s="1"/>
  <c r="V182" i="35" s="1"/>
  <c r="V183" i="35" s="1"/>
  <c r="V184" i="35" s="1"/>
  <c r="V185" i="35" s="1"/>
  <c r="V186" i="35" s="1"/>
  <c r="V187" i="35" s="1"/>
  <c r="V188" i="35" s="1"/>
  <c r="V189" i="35" s="1"/>
  <c r="V190" i="35" s="1"/>
  <c r="V191" i="35" s="1"/>
  <c r="V192" i="35" s="1"/>
  <c r="V193" i="35" s="1"/>
  <c r="V194" i="35" s="1"/>
  <c r="V195" i="35" s="1"/>
  <c r="V196" i="35" s="1"/>
  <c r="V197" i="35" s="1"/>
  <c r="V198" i="35" s="1"/>
  <c r="V199" i="35" s="1"/>
  <c r="V200" i="35" s="1"/>
  <c r="V201" i="35" s="1"/>
  <c r="V202" i="35" s="1"/>
  <c r="V203" i="35" s="1"/>
  <c r="V204" i="35" s="1"/>
  <c r="V205" i="35" s="1"/>
  <c r="V206" i="35" s="1"/>
  <c r="V207" i="35" s="1"/>
  <c r="V208" i="35" s="1"/>
  <c r="V209" i="35" s="1"/>
  <c r="V210" i="35" s="1"/>
  <c r="V211" i="35" s="1"/>
  <c r="V212" i="35" s="1"/>
  <c r="V213" i="35" s="1"/>
  <c r="V214" i="35" s="1"/>
  <c r="V215" i="35" s="1"/>
  <c r="V216" i="35" s="1"/>
  <c r="V217" i="35" s="1"/>
  <c r="V218" i="35" s="1"/>
  <c r="V219" i="35" s="1"/>
  <c r="V220" i="35" s="1"/>
  <c r="V221" i="35" s="1"/>
  <c r="V222" i="35" s="1"/>
  <c r="V223" i="35" s="1"/>
  <c r="V224" i="35" s="1"/>
  <c r="V225" i="35" s="1"/>
  <c r="V226" i="35" s="1"/>
  <c r="V227" i="35" s="1"/>
  <c r="V228" i="35" s="1"/>
  <c r="V229" i="35" s="1"/>
  <c r="V230" i="35" s="1"/>
  <c r="V231" i="35" s="1"/>
  <c r="V232" i="35" s="1"/>
  <c r="V233" i="35" s="1"/>
  <c r="V234" i="35" s="1"/>
  <c r="V235" i="35" s="1"/>
  <c r="V236" i="35" s="1"/>
  <c r="V237" i="35" s="1"/>
  <c r="V238" i="35" s="1"/>
  <c r="V239" i="35" s="1"/>
  <c r="V240" i="35" s="1"/>
  <c r="V241" i="35" s="1"/>
  <c r="V242" i="35" s="1"/>
  <c r="V243" i="35" s="1"/>
  <c r="V244" i="35" s="1"/>
  <c r="V245" i="35" s="1"/>
  <c r="V246" i="35" s="1"/>
  <c r="V247" i="35" s="1"/>
  <c r="V248" i="35" s="1"/>
  <c r="V249" i="35" s="1"/>
  <c r="V250" i="35" s="1"/>
  <c r="V251" i="35" s="1"/>
  <c r="V252" i="35" s="1"/>
  <c r="V253" i="35" s="1"/>
  <c r="V254" i="35" s="1"/>
  <c r="V255" i="35" s="1"/>
  <c r="V256" i="35" s="1"/>
  <c r="V257" i="35" s="1"/>
  <c r="V258" i="35" s="1"/>
  <c r="V259" i="35" s="1"/>
  <c r="V260" i="35" s="1"/>
  <c r="V261" i="35" s="1"/>
  <c r="V262" i="35" s="1"/>
  <c r="V263" i="35" s="1"/>
  <c r="V264" i="35" s="1"/>
  <c r="V265" i="35" l="1"/>
  <c r="L265" i="35" s="1"/>
  <c r="G265" i="35" s="1"/>
  <c r="L264" i="35"/>
  <c r="G264" i="35" s="1"/>
  <c r="W265" i="35"/>
  <c r="M265" i="35" s="1"/>
  <c r="H265" i="35" s="1"/>
  <c r="M264" i="35"/>
  <c r="H264" i="35" s="1"/>
  <c r="X243" i="35"/>
  <c r="X244" i="35" s="1"/>
  <c r="X245" i="35" s="1"/>
  <c r="X246" i="35" s="1"/>
  <c r="X247" i="35" s="1"/>
  <c r="X248" i="35" s="1"/>
  <c r="X249" i="35" s="1"/>
  <c r="X250" i="35" s="1"/>
  <c r="X251" i="35" s="1"/>
  <c r="X252" i="35" s="1"/>
  <c r="X253" i="35" s="1"/>
  <c r="X254" i="35" s="1"/>
  <c r="X255" i="35" s="1"/>
  <c r="X256" i="35" s="1"/>
  <c r="X257" i="35" s="1"/>
  <c r="X258" i="35" s="1"/>
  <c r="X259" i="35" s="1"/>
  <c r="X260" i="35" s="1"/>
  <c r="X261" i="35" s="1"/>
  <c r="X262" i="35" s="1"/>
  <c r="X263" i="35" s="1"/>
  <c r="X264" i="35" s="1"/>
  <c r="T219" i="35"/>
  <c r="P219" i="35"/>
  <c r="L20" i="61"/>
  <c r="M20" i="61"/>
  <c r="N20" i="61"/>
  <c r="D12" i="61"/>
  <c r="E12" i="61" s="1"/>
  <c r="D13" i="61"/>
  <c r="E13" i="61" s="1"/>
  <c r="D14" i="61"/>
  <c r="E14" i="61" s="1"/>
  <c r="D15" i="61"/>
  <c r="E15" i="61" s="1"/>
  <c r="D16" i="61"/>
  <c r="E16" i="61" s="1"/>
  <c r="D17" i="61"/>
  <c r="E17" i="61" s="1"/>
  <c r="D18" i="61"/>
  <c r="E18" i="61" s="1"/>
  <c r="D19" i="61"/>
  <c r="E19" i="61" s="1"/>
  <c r="D20" i="61"/>
  <c r="E20" i="61" s="1"/>
  <c r="D21" i="61"/>
  <c r="E21" i="61" s="1"/>
  <c r="D22" i="61"/>
  <c r="E22" i="61" s="1"/>
  <c r="D23" i="61"/>
  <c r="E23" i="61" s="1"/>
  <c r="D24" i="61"/>
  <c r="E24" i="61" s="1"/>
  <c r="D25" i="61"/>
  <c r="E25" i="61" s="1"/>
  <c r="D26" i="61"/>
  <c r="E26" i="61" s="1"/>
  <c r="D27" i="61"/>
  <c r="E27" i="61" s="1"/>
  <c r="D28" i="61"/>
  <c r="E28" i="61" s="1"/>
  <c r="D29" i="61"/>
  <c r="E29" i="61" s="1"/>
  <c r="B11" i="61"/>
  <c r="B10" i="61"/>
  <c r="S10" i="61" s="1"/>
  <c r="X265" i="35" l="1"/>
  <c r="N265" i="35" s="1"/>
  <c r="I265" i="35" s="1"/>
  <c r="N264" i="35"/>
  <c r="I264" i="35" s="1"/>
  <c r="P220" i="35"/>
  <c r="T220" i="35"/>
  <c r="T10" i="61"/>
  <c r="D10" i="61"/>
  <c r="E10" i="61" s="1"/>
  <c r="L10" i="61"/>
  <c r="N10" i="61"/>
  <c r="M10" i="61"/>
  <c r="D11" i="61"/>
  <c r="E11" i="61" s="1"/>
  <c r="T221" i="35" l="1"/>
  <c r="P221" i="35"/>
  <c r="Q12" i="35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Q84" i="35" s="1"/>
  <c r="Q85" i="35" s="1"/>
  <c r="Q86" i="35" s="1"/>
  <c r="Q87" i="35" s="1"/>
  <c r="Q88" i="35" s="1"/>
  <c r="Q89" i="35" s="1"/>
  <c r="Q90" i="35" s="1"/>
  <c r="Q91" i="35" s="1"/>
  <c r="Q92" i="35" s="1"/>
  <c r="Q93" i="35" s="1"/>
  <c r="Q94" i="35" s="1"/>
  <c r="Q95" i="35" s="1"/>
  <c r="Q96" i="35" s="1"/>
  <c r="Q97" i="35" s="1"/>
  <c r="Q98" i="35" s="1"/>
  <c r="Q99" i="35" s="1"/>
  <c r="Q100" i="35" s="1"/>
  <c r="Q101" i="35" s="1"/>
  <c r="Q102" i="35" s="1"/>
  <c r="Q103" i="35" s="1"/>
  <c r="Q104" i="35" s="1"/>
  <c r="Q105" i="35" s="1"/>
  <c r="Q106" i="35" s="1"/>
  <c r="Q107" i="35" s="1"/>
  <c r="Q108" i="35" s="1"/>
  <c r="Q109" i="35" s="1"/>
  <c r="Q110" i="35" s="1"/>
  <c r="Q111" i="35" s="1"/>
  <c r="Q112" i="35" s="1"/>
  <c r="Q113" i="35" s="1"/>
  <c r="Q114" i="35" s="1"/>
  <c r="Q115" i="35" s="1"/>
  <c r="Q116" i="35" s="1"/>
  <c r="Q117" i="35" s="1"/>
  <c r="Q118" i="35" s="1"/>
  <c r="Q119" i="35" s="1"/>
  <c r="Q120" i="35" s="1"/>
  <c r="Q121" i="35" s="1"/>
  <c r="Q122" i="35" s="1"/>
  <c r="Q123" i="35" s="1"/>
  <c r="Q124" i="35" s="1"/>
  <c r="Q125" i="35" s="1"/>
  <c r="Q126" i="35" s="1"/>
  <c r="Q127" i="35" s="1"/>
  <c r="Q128" i="35" s="1"/>
  <c r="Q129" i="35" s="1"/>
  <c r="Q130" i="35" s="1"/>
  <c r="Q131" i="35" s="1"/>
  <c r="Q132" i="35" s="1"/>
  <c r="Q133" i="35" s="1"/>
  <c r="Q134" i="35" s="1"/>
  <c r="Q135" i="35" s="1"/>
  <c r="Q136" i="35" s="1"/>
  <c r="Q137" i="35" s="1"/>
  <c r="Q138" i="35" s="1"/>
  <c r="Q139" i="35" s="1"/>
  <c r="Q140" i="35" s="1"/>
  <c r="Q141" i="35" s="1"/>
  <c r="Q142" i="35" s="1"/>
  <c r="Q143" i="35" s="1"/>
  <c r="Q144" i="35" s="1"/>
  <c r="Q145" i="35" s="1"/>
  <c r="Q146" i="35" s="1"/>
  <c r="Q147" i="35" s="1"/>
  <c r="Q148" i="35" s="1"/>
  <c r="Q149" i="35" s="1"/>
  <c r="Q150" i="35" s="1"/>
  <c r="Q151" i="35" s="1"/>
  <c r="Q152" i="35" s="1"/>
  <c r="Q153" i="35" s="1"/>
  <c r="Q154" i="35" s="1"/>
  <c r="Q155" i="35" s="1"/>
  <c r="Q156" i="35" s="1"/>
  <c r="Q157" i="35" s="1"/>
  <c r="Q158" i="35" s="1"/>
  <c r="Q159" i="35" s="1"/>
  <c r="Q160" i="35" s="1"/>
  <c r="Q161" i="35" s="1"/>
  <c r="Q162" i="35" s="1"/>
  <c r="Q163" i="35" s="1"/>
  <c r="Q164" i="35" s="1"/>
  <c r="Q165" i="35" s="1"/>
  <c r="Q166" i="35" s="1"/>
  <c r="Q167" i="35" s="1"/>
  <c r="Q168" i="35" s="1"/>
  <c r="Q169" i="35" s="1"/>
  <c r="Q170" i="35" s="1"/>
  <c r="Q171" i="35" s="1"/>
  <c r="Q172" i="35" s="1"/>
  <c r="Q173" i="35" s="1"/>
  <c r="Q174" i="35" s="1"/>
  <c r="Q175" i="35" s="1"/>
  <c r="Q176" i="35" s="1"/>
  <c r="Q177" i="35" s="1"/>
  <c r="Q178" i="35" s="1"/>
  <c r="Q179" i="35" s="1"/>
  <c r="Q180" i="35" s="1"/>
  <c r="Q181" i="35" s="1"/>
  <c r="Q182" i="35" s="1"/>
  <c r="Q183" i="35" s="1"/>
  <c r="Q184" i="35" s="1"/>
  <c r="Q185" i="35" s="1"/>
  <c r="Q186" i="35" s="1"/>
  <c r="Q187" i="35" s="1"/>
  <c r="Q188" i="35" s="1"/>
  <c r="Q189" i="35" s="1"/>
  <c r="Q190" i="35" s="1"/>
  <c r="Q191" i="35" s="1"/>
  <c r="Q192" i="35" s="1"/>
  <c r="Q193" i="35" s="1"/>
  <c r="Q194" i="35" s="1"/>
  <c r="Q195" i="35" s="1"/>
  <c r="Q196" i="35" s="1"/>
  <c r="Q197" i="35" s="1"/>
  <c r="Q198" i="35" s="1"/>
  <c r="Q199" i="35" s="1"/>
  <c r="Q200" i="35" s="1"/>
  <c r="Q201" i="35" s="1"/>
  <c r="Q202" i="35" s="1"/>
  <c r="Q203" i="35" s="1"/>
  <c r="Q204" i="35" s="1"/>
  <c r="Q205" i="35" s="1"/>
  <c r="Q206" i="35" s="1"/>
  <c r="Q207" i="35" s="1"/>
  <c r="Q208" i="35" s="1"/>
  <c r="Q209" i="35" s="1"/>
  <c r="Q210" i="35" s="1"/>
  <c r="Q211" i="35" s="1"/>
  <c r="Q212" i="35" s="1"/>
  <c r="Q213" i="35" s="1"/>
  <c r="Q214" i="35" s="1"/>
  <c r="Q215" i="35" s="1"/>
  <c r="Q216" i="35" s="1"/>
  <c r="Q217" i="35" s="1"/>
  <c r="Q218" i="35" s="1"/>
  <c r="R12" i="35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R84" i="35" s="1"/>
  <c r="R85" i="35" s="1"/>
  <c r="R86" i="35" s="1"/>
  <c r="R87" i="35" s="1"/>
  <c r="R88" i="35" s="1"/>
  <c r="R89" i="35" s="1"/>
  <c r="R90" i="35" s="1"/>
  <c r="R91" i="35" s="1"/>
  <c r="R92" i="35" s="1"/>
  <c r="R93" i="35" s="1"/>
  <c r="R94" i="35" s="1"/>
  <c r="R95" i="35" s="1"/>
  <c r="R96" i="35" s="1"/>
  <c r="R97" i="35" s="1"/>
  <c r="R98" i="35" s="1"/>
  <c r="R99" i="35" s="1"/>
  <c r="R100" i="35" s="1"/>
  <c r="R101" i="35" s="1"/>
  <c r="R102" i="35" s="1"/>
  <c r="R103" i="35" s="1"/>
  <c r="R104" i="35" s="1"/>
  <c r="R105" i="35" s="1"/>
  <c r="R106" i="35" s="1"/>
  <c r="R107" i="35" s="1"/>
  <c r="R108" i="35" s="1"/>
  <c r="R109" i="35" s="1"/>
  <c r="R110" i="35" s="1"/>
  <c r="R111" i="35" s="1"/>
  <c r="R112" i="35" s="1"/>
  <c r="R113" i="35" s="1"/>
  <c r="R114" i="35" s="1"/>
  <c r="R115" i="35" s="1"/>
  <c r="R116" i="35" s="1"/>
  <c r="R117" i="35" s="1"/>
  <c r="R118" i="35" s="1"/>
  <c r="R119" i="35" s="1"/>
  <c r="R120" i="35" s="1"/>
  <c r="R121" i="35" s="1"/>
  <c r="R122" i="35" s="1"/>
  <c r="R123" i="35" s="1"/>
  <c r="R124" i="35" s="1"/>
  <c r="R125" i="35" s="1"/>
  <c r="R126" i="35" s="1"/>
  <c r="R127" i="35" s="1"/>
  <c r="R128" i="35" s="1"/>
  <c r="R129" i="35" s="1"/>
  <c r="R130" i="35" s="1"/>
  <c r="R131" i="35" s="1"/>
  <c r="R132" i="35" s="1"/>
  <c r="R133" i="35" s="1"/>
  <c r="R134" i="35" s="1"/>
  <c r="R135" i="35" s="1"/>
  <c r="R136" i="35" s="1"/>
  <c r="R137" i="35" s="1"/>
  <c r="R138" i="35" s="1"/>
  <c r="R139" i="35" s="1"/>
  <c r="R140" i="35" s="1"/>
  <c r="R141" i="35" s="1"/>
  <c r="R142" i="35" s="1"/>
  <c r="R143" i="35" s="1"/>
  <c r="R144" i="35" s="1"/>
  <c r="R145" i="35" s="1"/>
  <c r="R146" i="35" s="1"/>
  <c r="R147" i="35" s="1"/>
  <c r="R148" i="35" s="1"/>
  <c r="R149" i="35" s="1"/>
  <c r="R150" i="35" s="1"/>
  <c r="R151" i="35" s="1"/>
  <c r="R152" i="35" s="1"/>
  <c r="R153" i="35" s="1"/>
  <c r="R154" i="35" s="1"/>
  <c r="R155" i="35" s="1"/>
  <c r="R156" i="35" s="1"/>
  <c r="R157" i="35" s="1"/>
  <c r="R158" i="35" s="1"/>
  <c r="R159" i="35" s="1"/>
  <c r="R160" i="35" s="1"/>
  <c r="R161" i="35" s="1"/>
  <c r="R162" i="35" s="1"/>
  <c r="R163" i="35" s="1"/>
  <c r="R164" i="35" s="1"/>
  <c r="R165" i="35" s="1"/>
  <c r="R166" i="35" s="1"/>
  <c r="R167" i="35" s="1"/>
  <c r="R168" i="35" s="1"/>
  <c r="R169" i="35" s="1"/>
  <c r="R170" i="35" s="1"/>
  <c r="R171" i="35" s="1"/>
  <c r="R172" i="35" s="1"/>
  <c r="R173" i="35" s="1"/>
  <c r="R174" i="35" s="1"/>
  <c r="R175" i="35" s="1"/>
  <c r="R176" i="35" s="1"/>
  <c r="R177" i="35" s="1"/>
  <c r="R178" i="35" s="1"/>
  <c r="R179" i="35" s="1"/>
  <c r="R180" i="35" s="1"/>
  <c r="R181" i="35" s="1"/>
  <c r="R182" i="35" s="1"/>
  <c r="R183" i="35" s="1"/>
  <c r="R184" i="35" s="1"/>
  <c r="R185" i="35" s="1"/>
  <c r="R186" i="35" s="1"/>
  <c r="R187" i="35" s="1"/>
  <c r="R188" i="35" s="1"/>
  <c r="R189" i="35" s="1"/>
  <c r="R190" i="35" s="1"/>
  <c r="R191" i="35" s="1"/>
  <c r="R192" i="35" s="1"/>
  <c r="R193" i="35" s="1"/>
  <c r="R194" i="35" s="1"/>
  <c r="R195" i="35" s="1"/>
  <c r="R196" i="35" s="1"/>
  <c r="R197" i="35" s="1"/>
  <c r="R198" i="35" s="1"/>
  <c r="R199" i="35" s="1"/>
  <c r="R200" i="35" s="1"/>
  <c r="R201" i="35" s="1"/>
  <c r="R202" i="35" s="1"/>
  <c r="R203" i="35" s="1"/>
  <c r="R204" i="35" s="1"/>
  <c r="R205" i="35" s="1"/>
  <c r="R206" i="35" s="1"/>
  <c r="R207" i="35" s="1"/>
  <c r="R208" i="35" s="1"/>
  <c r="R209" i="35" s="1"/>
  <c r="R210" i="35" s="1"/>
  <c r="R211" i="35" s="1"/>
  <c r="R212" i="35" s="1"/>
  <c r="R213" i="35" s="1"/>
  <c r="R214" i="35" s="1"/>
  <c r="R215" i="35" s="1"/>
  <c r="R216" i="35" s="1"/>
  <c r="R217" i="35" s="1"/>
  <c r="R218" i="35" s="1"/>
  <c r="S12" i="35"/>
  <c r="S13" i="35" s="1"/>
  <c r="S14" i="35" s="1"/>
  <c r="S15" i="35" s="1"/>
  <c r="S16" i="35" s="1"/>
  <c r="S17" i="35" s="1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S84" i="35" s="1"/>
  <c r="S85" i="35" s="1"/>
  <c r="S86" i="35" s="1"/>
  <c r="S87" i="35" s="1"/>
  <c r="S88" i="35" s="1"/>
  <c r="S89" i="35" s="1"/>
  <c r="S90" i="35" s="1"/>
  <c r="S91" i="35" s="1"/>
  <c r="S92" i="35" s="1"/>
  <c r="S93" i="35" s="1"/>
  <c r="S94" i="35" s="1"/>
  <c r="S95" i="35" s="1"/>
  <c r="S96" i="35" s="1"/>
  <c r="S97" i="35" s="1"/>
  <c r="S98" i="35" s="1"/>
  <c r="S99" i="35" s="1"/>
  <c r="S100" i="35" s="1"/>
  <c r="S101" i="35" s="1"/>
  <c r="S102" i="35" s="1"/>
  <c r="S103" i="35" s="1"/>
  <c r="S104" i="35" s="1"/>
  <c r="S105" i="35" s="1"/>
  <c r="S106" i="35" s="1"/>
  <c r="S107" i="35" s="1"/>
  <c r="S108" i="35" s="1"/>
  <c r="S109" i="35" s="1"/>
  <c r="S110" i="35" s="1"/>
  <c r="S111" i="35" s="1"/>
  <c r="S112" i="35" s="1"/>
  <c r="S113" i="35" s="1"/>
  <c r="S114" i="35" s="1"/>
  <c r="S115" i="35" s="1"/>
  <c r="S116" i="35" s="1"/>
  <c r="S117" i="35" s="1"/>
  <c r="S118" i="35" s="1"/>
  <c r="S119" i="35" s="1"/>
  <c r="S120" i="35" s="1"/>
  <c r="S121" i="35" s="1"/>
  <c r="S122" i="35" s="1"/>
  <c r="S123" i="35" s="1"/>
  <c r="S124" i="35" s="1"/>
  <c r="S125" i="35" s="1"/>
  <c r="S126" i="35" s="1"/>
  <c r="S127" i="35" s="1"/>
  <c r="S128" i="35" s="1"/>
  <c r="S129" i="35" s="1"/>
  <c r="S130" i="35" s="1"/>
  <c r="S131" i="35" s="1"/>
  <c r="S132" i="35" s="1"/>
  <c r="S133" i="35" s="1"/>
  <c r="S134" i="35" s="1"/>
  <c r="S135" i="35" s="1"/>
  <c r="S136" i="35" s="1"/>
  <c r="S137" i="35" s="1"/>
  <c r="S138" i="35" s="1"/>
  <c r="S139" i="35" s="1"/>
  <c r="S140" i="35" s="1"/>
  <c r="S141" i="35" s="1"/>
  <c r="S142" i="35" s="1"/>
  <c r="S143" i="35" s="1"/>
  <c r="S144" i="35" s="1"/>
  <c r="S145" i="35" s="1"/>
  <c r="S146" i="35" s="1"/>
  <c r="S147" i="35" s="1"/>
  <c r="S148" i="35" s="1"/>
  <c r="S149" i="35" s="1"/>
  <c r="S150" i="35" s="1"/>
  <c r="S151" i="35" s="1"/>
  <c r="S152" i="35" s="1"/>
  <c r="S153" i="35" s="1"/>
  <c r="S154" i="35" s="1"/>
  <c r="S155" i="35" s="1"/>
  <c r="S156" i="35" s="1"/>
  <c r="S157" i="35" s="1"/>
  <c r="S158" i="35" s="1"/>
  <c r="S159" i="35" s="1"/>
  <c r="S160" i="35" s="1"/>
  <c r="S161" i="35" s="1"/>
  <c r="S162" i="35" s="1"/>
  <c r="S163" i="35" s="1"/>
  <c r="S164" i="35" s="1"/>
  <c r="S165" i="35" s="1"/>
  <c r="S166" i="35" s="1"/>
  <c r="S167" i="35" s="1"/>
  <c r="S168" i="35" s="1"/>
  <c r="S169" i="35" s="1"/>
  <c r="S170" i="35" s="1"/>
  <c r="S171" i="35" s="1"/>
  <c r="S172" i="35" s="1"/>
  <c r="S173" i="35" s="1"/>
  <c r="S174" i="35" s="1"/>
  <c r="S175" i="35" s="1"/>
  <c r="S176" i="35" s="1"/>
  <c r="S177" i="35" s="1"/>
  <c r="S178" i="35" s="1"/>
  <c r="S179" i="35" s="1"/>
  <c r="S180" i="35" s="1"/>
  <c r="S181" i="35" s="1"/>
  <c r="S182" i="35" s="1"/>
  <c r="S183" i="35" s="1"/>
  <c r="S184" i="35" s="1"/>
  <c r="S185" i="35" s="1"/>
  <c r="S186" i="35" s="1"/>
  <c r="S187" i="35" s="1"/>
  <c r="S188" i="35" s="1"/>
  <c r="S189" i="35" s="1"/>
  <c r="S190" i="35" s="1"/>
  <c r="S191" i="35" s="1"/>
  <c r="S192" i="35" s="1"/>
  <c r="S193" i="35" s="1"/>
  <c r="S194" i="35" s="1"/>
  <c r="S195" i="35" s="1"/>
  <c r="S196" i="35" s="1"/>
  <c r="S197" i="35" s="1"/>
  <c r="S198" i="35" s="1"/>
  <c r="S199" i="35" s="1"/>
  <c r="S200" i="35" s="1"/>
  <c r="S201" i="35" s="1"/>
  <c r="S202" i="35" s="1"/>
  <c r="S203" i="35" s="1"/>
  <c r="S204" i="35" s="1"/>
  <c r="S205" i="35" s="1"/>
  <c r="S206" i="35" s="1"/>
  <c r="S207" i="35" s="1"/>
  <c r="S208" i="35" s="1"/>
  <c r="S209" i="35" s="1"/>
  <c r="S210" i="35" s="1"/>
  <c r="S211" i="35" s="1"/>
  <c r="S212" i="35" s="1"/>
  <c r="S213" i="35" s="1"/>
  <c r="S214" i="35" s="1"/>
  <c r="S215" i="35" s="1"/>
  <c r="S216" i="35" s="1"/>
  <c r="S217" i="35" s="1"/>
  <c r="S218" i="35" s="1"/>
  <c r="S219" i="35" l="1"/>
  <c r="N218" i="35"/>
  <c r="M218" i="35"/>
  <c r="R219" i="35"/>
  <c r="P222" i="35"/>
  <c r="L218" i="35"/>
  <c r="Q219" i="35"/>
  <c r="T222" i="35"/>
  <c r="I10" i="61"/>
  <c r="M219" i="35" l="1"/>
  <c r="R220" i="35"/>
  <c r="Q220" i="35"/>
  <c r="L219" i="35"/>
  <c r="P223" i="35"/>
  <c r="T223" i="35"/>
  <c r="N219" i="35"/>
  <c r="S220" i="35"/>
  <c r="G10" i="61"/>
  <c r="F10" i="61"/>
  <c r="H10" i="61"/>
  <c r="J10" i="61"/>
  <c r="K10" i="61"/>
  <c r="P224" i="35" l="1"/>
  <c r="S221" i="35"/>
  <c r="N220" i="35"/>
  <c r="L220" i="35"/>
  <c r="Q221" i="35"/>
  <c r="T224" i="35"/>
  <c r="M220" i="35"/>
  <c r="R221" i="35"/>
  <c r="N11" i="61"/>
  <c r="R222" i="35" l="1"/>
  <c r="M221" i="35"/>
  <c r="Q222" i="35"/>
  <c r="L221" i="35"/>
  <c r="N221" i="35"/>
  <c r="S222" i="35"/>
  <c r="T225" i="35"/>
  <c r="P225" i="35"/>
  <c r="M11" i="61"/>
  <c r="Q223" i="35" l="1"/>
  <c r="L222" i="35"/>
  <c r="R223" i="35"/>
  <c r="M222" i="35"/>
  <c r="N222" i="35"/>
  <c r="S223" i="35"/>
  <c r="P226" i="35"/>
  <c r="T226" i="35"/>
  <c r="L11" i="61"/>
  <c r="F11" i="61"/>
  <c r="K11" i="61"/>
  <c r="J11" i="61"/>
  <c r="H11" i="61"/>
  <c r="G11" i="61"/>
  <c r="S224" i="35" l="1"/>
  <c r="N223" i="35"/>
  <c r="R224" i="35"/>
  <c r="M223" i="35"/>
  <c r="T227" i="35"/>
  <c r="P227" i="35"/>
  <c r="Q224" i="35"/>
  <c r="L223" i="35"/>
  <c r="I11" i="61"/>
  <c r="R225" i="35" l="1"/>
  <c r="M224" i="35"/>
  <c r="P228" i="35"/>
  <c r="T228" i="35"/>
  <c r="L224" i="35"/>
  <c r="Q225" i="35"/>
  <c r="N224" i="35"/>
  <c r="S225" i="35"/>
  <c r="F50" i="52"/>
  <c r="W12" i="52"/>
  <c r="W13" i="52"/>
  <c r="W14" i="52"/>
  <c r="W15" i="52"/>
  <c r="W16" i="52"/>
  <c r="W17" i="52"/>
  <c r="W18" i="52"/>
  <c r="W19" i="52"/>
  <c r="W20" i="52"/>
  <c r="W21" i="52"/>
  <c r="W22" i="52"/>
  <c r="W23" i="52"/>
  <c r="W24" i="52"/>
  <c r="W25" i="52"/>
  <c r="W26" i="52"/>
  <c r="W27" i="52"/>
  <c r="W28" i="52"/>
  <c r="W29" i="52"/>
  <c r="W30" i="52"/>
  <c r="W31" i="52"/>
  <c r="W32" i="52"/>
  <c r="W33" i="52"/>
  <c r="W35" i="52"/>
  <c r="W36" i="52"/>
  <c r="W39" i="52"/>
  <c r="W40" i="52"/>
  <c r="W41" i="52"/>
  <c r="W42" i="52"/>
  <c r="W44" i="52"/>
  <c r="W45" i="52"/>
  <c r="W46" i="52"/>
  <c r="W48" i="52"/>
  <c r="W49" i="52"/>
  <c r="W50" i="52"/>
  <c r="W51" i="52"/>
  <c r="W52" i="52"/>
  <c r="W53" i="52"/>
  <c r="W54" i="52"/>
  <c r="W55" i="52"/>
  <c r="W56" i="52"/>
  <c r="W57" i="52"/>
  <c r="W58" i="52"/>
  <c r="W59" i="52"/>
  <c r="W60" i="52"/>
  <c r="W61" i="52"/>
  <c r="T229" i="35" l="1"/>
  <c r="N225" i="35"/>
  <c r="S226" i="35"/>
  <c r="P229" i="35"/>
  <c r="L225" i="35"/>
  <c r="Q226" i="35"/>
  <c r="R226" i="35"/>
  <c r="M225" i="35"/>
  <c r="X37" i="52"/>
  <c r="X38" i="52"/>
  <c r="X43" i="52"/>
  <c r="X47" i="52"/>
  <c r="Y37" i="13"/>
  <c r="Z37" i="13"/>
  <c r="AA37" i="13"/>
  <c r="Y38" i="13"/>
  <c r="Z38" i="13"/>
  <c r="AA38" i="13"/>
  <c r="Y43" i="13"/>
  <c r="Z43" i="13"/>
  <c r="AA43" i="13"/>
  <c r="Y47" i="13"/>
  <c r="Z47" i="13"/>
  <c r="AA47" i="13"/>
  <c r="S227" i="35" l="1"/>
  <c r="N226" i="35"/>
  <c r="M226" i="35"/>
  <c r="R227" i="35"/>
  <c r="P230" i="35"/>
  <c r="L226" i="35"/>
  <c r="Q227" i="35"/>
  <c r="T230" i="35"/>
  <c r="F51" i="52"/>
  <c r="F54" i="52"/>
  <c r="P231" i="35" l="1"/>
  <c r="M227" i="35"/>
  <c r="R228" i="35"/>
  <c r="N227" i="35"/>
  <c r="S228" i="35"/>
  <c r="T231" i="35"/>
  <c r="L227" i="35"/>
  <c r="Q228" i="35"/>
  <c r="E4" i="52"/>
  <c r="L228" i="35" l="1"/>
  <c r="Q229" i="35"/>
  <c r="T232" i="35"/>
  <c r="N228" i="35"/>
  <c r="S229" i="35"/>
  <c r="M228" i="35"/>
  <c r="R229" i="35"/>
  <c r="P232" i="35"/>
  <c r="R37" i="52"/>
  <c r="R38" i="52"/>
  <c r="R43" i="52"/>
  <c r="E34" i="13"/>
  <c r="E35" i="13"/>
  <c r="E44" i="13"/>
  <c r="E51" i="13"/>
  <c r="E61" i="13"/>
  <c r="E60" i="13"/>
  <c r="E59" i="13"/>
  <c r="E58" i="13"/>
  <c r="E57" i="13"/>
  <c r="E56" i="13"/>
  <c r="E55" i="13"/>
  <c r="E54" i="13"/>
  <c r="E53" i="13"/>
  <c r="E52" i="13"/>
  <c r="E50" i="13"/>
  <c r="S49" i="13"/>
  <c r="T49" i="13"/>
  <c r="U49" i="13"/>
  <c r="V49" i="13"/>
  <c r="W49" i="13"/>
  <c r="X49" i="13"/>
  <c r="E49" i="13"/>
  <c r="E48" i="13"/>
  <c r="E46" i="13"/>
  <c r="E45" i="13"/>
  <c r="P42" i="13"/>
  <c r="Q42" i="13"/>
  <c r="R42" i="13"/>
  <c r="S42" i="13"/>
  <c r="T42" i="13"/>
  <c r="U42" i="13"/>
  <c r="V42" i="13"/>
  <c r="W42" i="13"/>
  <c r="X42" i="13"/>
  <c r="E42" i="13"/>
  <c r="E41" i="13"/>
  <c r="E40" i="13"/>
  <c r="E39" i="13"/>
  <c r="E36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M229" i="35" l="1"/>
  <c r="R230" i="35"/>
  <c r="N229" i="35"/>
  <c r="S230" i="35"/>
  <c r="T233" i="35"/>
  <c r="P233" i="35"/>
  <c r="Q230" i="35"/>
  <c r="L229" i="35"/>
  <c r="H12" i="52"/>
  <c r="I12" i="52"/>
  <c r="J12" i="52"/>
  <c r="L12" i="52"/>
  <c r="K12" i="52"/>
  <c r="T234" i="35" l="1"/>
  <c r="N230" i="35"/>
  <c r="S231" i="35"/>
  <c r="Q231" i="35"/>
  <c r="L230" i="35"/>
  <c r="R231" i="35"/>
  <c r="M230" i="35"/>
  <c r="P234" i="35"/>
  <c r="W34" i="52"/>
  <c r="R232" i="35" l="1"/>
  <c r="M231" i="35"/>
  <c r="Q232" i="35"/>
  <c r="L231" i="35"/>
  <c r="S232" i="35"/>
  <c r="N231" i="35"/>
  <c r="P235" i="35"/>
  <c r="T235" i="35"/>
  <c r="J53" i="52"/>
  <c r="Q233" i="35" l="1"/>
  <c r="L232" i="35"/>
  <c r="S233" i="35"/>
  <c r="N232" i="35"/>
  <c r="T236" i="35"/>
  <c r="P236" i="35"/>
  <c r="R233" i="35"/>
  <c r="M232" i="35"/>
  <c r="AD37" i="52"/>
  <c r="AD38" i="52"/>
  <c r="AD43" i="52"/>
  <c r="AD47" i="52"/>
  <c r="R234" i="35" l="1"/>
  <c r="M233" i="35"/>
  <c r="S234" i="35"/>
  <c r="N233" i="35"/>
  <c r="T237" i="35"/>
  <c r="P237" i="35"/>
  <c r="L233" i="35"/>
  <c r="Q234" i="35"/>
  <c r="F32" i="52"/>
  <c r="F35" i="52" s="1"/>
  <c r="L234" i="35" l="1"/>
  <c r="Q235" i="35"/>
  <c r="S235" i="35"/>
  <c r="N234" i="35"/>
  <c r="T238" i="35"/>
  <c r="P238" i="35"/>
  <c r="M234" i="35"/>
  <c r="R235" i="35"/>
  <c r="O37" i="52"/>
  <c r="O38" i="52"/>
  <c r="O43" i="52"/>
  <c r="O47" i="52"/>
  <c r="O53" i="52"/>
  <c r="N235" i="35" l="1"/>
  <c r="S236" i="35"/>
  <c r="L235" i="35"/>
  <c r="Q236" i="35"/>
  <c r="T239" i="35"/>
  <c r="M235" i="35"/>
  <c r="R236" i="35"/>
  <c r="P239" i="35"/>
  <c r="AI8" i="13"/>
  <c r="J61" i="52"/>
  <c r="O61" i="52" s="1"/>
  <c r="J60" i="52"/>
  <c r="O60" i="52" s="1"/>
  <c r="J59" i="52"/>
  <c r="O59" i="52" s="1"/>
  <c r="J58" i="52"/>
  <c r="O58" i="52" s="1"/>
  <c r="J57" i="52"/>
  <c r="O57" i="52" s="1"/>
  <c r="J56" i="52"/>
  <c r="J55" i="52"/>
  <c r="J54" i="52"/>
  <c r="J52" i="52"/>
  <c r="O52" i="52" s="1"/>
  <c r="J51" i="52"/>
  <c r="O51" i="52" s="1"/>
  <c r="J50" i="52"/>
  <c r="O50" i="52" s="1"/>
  <c r="J49" i="52"/>
  <c r="O49" i="52" s="1"/>
  <c r="J46" i="52"/>
  <c r="O46" i="52" s="1"/>
  <c r="J45" i="52"/>
  <c r="O45" i="52" s="1"/>
  <c r="J44" i="52"/>
  <c r="O44" i="52" s="1"/>
  <c r="J42" i="52"/>
  <c r="O42" i="52" s="1"/>
  <c r="J41" i="52"/>
  <c r="O41" i="52" s="1"/>
  <c r="J40" i="52"/>
  <c r="O40" i="52" s="1"/>
  <c r="J39" i="52"/>
  <c r="J36" i="52"/>
  <c r="J35" i="52"/>
  <c r="J34" i="52"/>
  <c r="J33" i="52"/>
  <c r="O33" i="52" s="1"/>
  <c r="J32" i="52"/>
  <c r="J31" i="52"/>
  <c r="J30" i="52"/>
  <c r="J29" i="52"/>
  <c r="J28" i="52"/>
  <c r="J27" i="52"/>
  <c r="J26" i="52"/>
  <c r="J25" i="52"/>
  <c r="J24" i="52"/>
  <c r="O24" i="52" s="1"/>
  <c r="J23" i="52"/>
  <c r="O23" i="52" s="1"/>
  <c r="J22" i="52"/>
  <c r="O22" i="52" s="1"/>
  <c r="J21" i="52"/>
  <c r="O21" i="52" s="1"/>
  <c r="J20" i="52"/>
  <c r="O20" i="52" s="1"/>
  <c r="J19" i="52"/>
  <c r="O19" i="52" s="1"/>
  <c r="J18" i="52"/>
  <c r="O18" i="52" s="1"/>
  <c r="J17" i="52"/>
  <c r="O17" i="52" s="1"/>
  <c r="J16" i="52"/>
  <c r="O16" i="52" s="1"/>
  <c r="J15" i="52"/>
  <c r="O15" i="52" s="1"/>
  <c r="J14" i="52"/>
  <c r="O14" i="52" s="1"/>
  <c r="J13" i="52"/>
  <c r="O13" i="52" s="1"/>
  <c r="O12" i="52"/>
  <c r="J48" i="52"/>
  <c r="O48" i="52" s="1"/>
  <c r="M236" i="35" l="1"/>
  <c r="R237" i="35"/>
  <c r="T240" i="35"/>
  <c r="L236" i="35"/>
  <c r="Q237" i="35"/>
  <c r="P240" i="35"/>
  <c r="N236" i="35"/>
  <c r="S237" i="35"/>
  <c r="AF37" i="13"/>
  <c r="V37" i="52" s="1"/>
  <c r="AB37" i="52" s="1"/>
  <c r="AF38" i="13"/>
  <c r="V38" i="52" s="1"/>
  <c r="AB38" i="52" s="1"/>
  <c r="AF43" i="13"/>
  <c r="V43" i="52" s="1"/>
  <c r="AB43" i="52" s="1"/>
  <c r="AF47" i="13"/>
  <c r="V47" i="52" s="1"/>
  <c r="AB47" i="52" s="1"/>
  <c r="K60" i="52"/>
  <c r="K59" i="52"/>
  <c r="K55" i="52"/>
  <c r="K54" i="52"/>
  <c r="K53" i="52"/>
  <c r="K52" i="52"/>
  <c r="K48" i="52"/>
  <c r="K42" i="52"/>
  <c r="K40" i="52"/>
  <c r="K39" i="52"/>
  <c r="K31" i="52"/>
  <c r="K30" i="52"/>
  <c r="K23" i="52"/>
  <c r="K22" i="52"/>
  <c r="K13" i="52"/>
  <c r="K61" i="52"/>
  <c r="K58" i="52"/>
  <c r="K57" i="52"/>
  <c r="K56" i="52"/>
  <c r="K51" i="52"/>
  <c r="K50" i="52"/>
  <c r="K49" i="52"/>
  <c r="K46" i="52"/>
  <c r="K45" i="52"/>
  <c r="K44" i="52"/>
  <c r="K41" i="52"/>
  <c r="K36" i="52"/>
  <c r="K35" i="52"/>
  <c r="K34" i="52"/>
  <c r="K33" i="52"/>
  <c r="K32" i="52"/>
  <c r="K29" i="52"/>
  <c r="K28" i="52"/>
  <c r="K27" i="52"/>
  <c r="K26" i="52"/>
  <c r="K25" i="52"/>
  <c r="K24" i="52"/>
  <c r="K21" i="52"/>
  <c r="K20" i="52"/>
  <c r="K19" i="52"/>
  <c r="K18" i="52"/>
  <c r="K17" i="52"/>
  <c r="K16" i="52"/>
  <c r="K15" i="52"/>
  <c r="K14" i="52"/>
  <c r="Q238" i="35" l="1"/>
  <c r="L237" i="35"/>
  <c r="T241" i="35"/>
  <c r="M237" i="35"/>
  <c r="R238" i="35"/>
  <c r="N237" i="35"/>
  <c r="S238" i="35"/>
  <c r="P241" i="35"/>
  <c r="L61" i="52"/>
  <c r="L60" i="52"/>
  <c r="L59" i="52"/>
  <c r="L58" i="52"/>
  <c r="L57" i="52"/>
  <c r="L56" i="52"/>
  <c r="L55" i="52"/>
  <c r="L54" i="52"/>
  <c r="L53" i="52"/>
  <c r="L52" i="52"/>
  <c r="L51" i="52"/>
  <c r="L50" i="52"/>
  <c r="L49" i="52"/>
  <c r="L48" i="52"/>
  <c r="L46" i="52"/>
  <c r="L45" i="52"/>
  <c r="L44" i="52"/>
  <c r="L42" i="52"/>
  <c r="L41" i="52"/>
  <c r="L40" i="52"/>
  <c r="L39" i="52"/>
  <c r="L36" i="52"/>
  <c r="L35" i="52"/>
  <c r="L34" i="52"/>
  <c r="L33" i="52"/>
  <c r="L32" i="52"/>
  <c r="L31" i="52"/>
  <c r="L30" i="52"/>
  <c r="L29" i="52"/>
  <c r="L28" i="52"/>
  <c r="L27" i="52"/>
  <c r="L26" i="52"/>
  <c r="L25" i="52"/>
  <c r="L24" i="52"/>
  <c r="L23" i="52"/>
  <c r="L22" i="52"/>
  <c r="L21" i="52"/>
  <c r="L20" i="52"/>
  <c r="L19" i="52"/>
  <c r="L18" i="52"/>
  <c r="L17" i="52"/>
  <c r="L16" i="52"/>
  <c r="L15" i="52"/>
  <c r="L14" i="52"/>
  <c r="L13" i="52"/>
  <c r="T242" i="35" l="1"/>
  <c r="T243" i="35" s="1"/>
  <c r="R239" i="35"/>
  <c r="M238" i="35"/>
  <c r="P242" i="35"/>
  <c r="Q239" i="35"/>
  <c r="L238" i="35"/>
  <c r="N238" i="35"/>
  <c r="S239" i="35"/>
  <c r="G50" i="13"/>
  <c r="P243" i="35" l="1"/>
  <c r="S240" i="35"/>
  <c r="N239" i="35"/>
  <c r="T244" i="35"/>
  <c r="R240" i="35"/>
  <c r="M239" i="35"/>
  <c r="Q240" i="35"/>
  <c r="L239" i="35"/>
  <c r="E60" i="52"/>
  <c r="E59" i="52"/>
  <c r="E58" i="52"/>
  <c r="E57" i="52"/>
  <c r="E56" i="52"/>
  <c r="E55" i="52"/>
  <c r="L240" i="35" l="1"/>
  <c r="Q241" i="35"/>
  <c r="N240" i="35"/>
  <c r="S241" i="35"/>
  <c r="P244" i="35"/>
  <c r="M240" i="35"/>
  <c r="R241" i="35"/>
  <c r="T245" i="35"/>
  <c r="M61" i="52"/>
  <c r="G61" i="52"/>
  <c r="D61" i="13"/>
  <c r="F61" i="13" s="1"/>
  <c r="C61" i="13"/>
  <c r="P245" i="35" l="1"/>
  <c r="N241" i="35"/>
  <c r="S242" i="35"/>
  <c r="L241" i="35"/>
  <c r="Q242" i="35"/>
  <c r="T246" i="35"/>
  <c r="M241" i="35"/>
  <c r="R242" i="35"/>
  <c r="C61" i="52"/>
  <c r="R243" i="35" l="1"/>
  <c r="M242" i="35"/>
  <c r="S243" i="35"/>
  <c r="N242" i="35"/>
  <c r="L242" i="35"/>
  <c r="Q243" i="35"/>
  <c r="P246" i="35"/>
  <c r="T247" i="35"/>
  <c r="T248" i="35" s="1"/>
  <c r="I28" i="13"/>
  <c r="H28" i="13"/>
  <c r="L61" i="13"/>
  <c r="J61" i="13"/>
  <c r="T249" i="35" l="1"/>
  <c r="L243" i="35"/>
  <c r="Q244" i="35"/>
  <c r="S244" i="35"/>
  <c r="N243" i="35"/>
  <c r="P247" i="35"/>
  <c r="P248" i="35" s="1"/>
  <c r="M243" i="35"/>
  <c r="R244" i="35"/>
  <c r="K61" i="13"/>
  <c r="P249" i="35" l="1"/>
  <c r="T250" i="35"/>
  <c r="S245" i="35"/>
  <c r="N244" i="35"/>
  <c r="R245" i="35"/>
  <c r="M244" i="35"/>
  <c r="L244" i="35"/>
  <c r="Q245" i="35"/>
  <c r="A13" i="52"/>
  <c r="A14" i="52" s="1"/>
  <c r="A15" i="52" s="1"/>
  <c r="A16" i="52" s="1"/>
  <c r="A17" i="52" s="1"/>
  <c r="A18" i="52" s="1"/>
  <c r="A19" i="52" s="1"/>
  <c r="A20" i="52" s="1"/>
  <c r="A21" i="52" s="1"/>
  <c r="A22" i="52" s="1"/>
  <c r="A23" i="52" s="1"/>
  <c r="A24" i="52" s="1"/>
  <c r="A25" i="52" s="1"/>
  <c r="A26" i="52" s="1"/>
  <c r="A27" i="52" s="1"/>
  <c r="A28" i="52" s="1"/>
  <c r="A29" i="52" s="1"/>
  <c r="A30" i="52" s="1"/>
  <c r="A31" i="52" s="1"/>
  <c r="A32" i="52" s="1"/>
  <c r="A33" i="52" s="1"/>
  <c r="A34" i="52" s="1"/>
  <c r="A35" i="52" s="1"/>
  <c r="A36" i="52" s="1"/>
  <c r="M60" i="52"/>
  <c r="M59" i="52"/>
  <c r="M58" i="52"/>
  <c r="M57" i="52"/>
  <c r="N56" i="52"/>
  <c r="M56" i="52"/>
  <c r="N55" i="52"/>
  <c r="M55" i="52"/>
  <c r="N54" i="52"/>
  <c r="M54" i="52"/>
  <c r="M53" i="52"/>
  <c r="M52" i="52"/>
  <c r="M51" i="52"/>
  <c r="M50" i="52"/>
  <c r="M49" i="52"/>
  <c r="M48" i="52"/>
  <c r="M46" i="52"/>
  <c r="M45" i="52"/>
  <c r="M44" i="52"/>
  <c r="M42" i="52"/>
  <c r="M41" i="52"/>
  <c r="M40" i="52"/>
  <c r="N39" i="52"/>
  <c r="M39" i="52"/>
  <c r="P33" i="52"/>
  <c r="P58" i="52"/>
  <c r="P59" i="52" s="1"/>
  <c r="P60" i="52" s="1"/>
  <c r="P56" i="52"/>
  <c r="P53" i="52"/>
  <c r="P49" i="52"/>
  <c r="P50" i="52" s="1"/>
  <c r="P51" i="52" s="1"/>
  <c r="P45" i="52"/>
  <c r="P46" i="52" s="1"/>
  <c r="P41" i="52"/>
  <c r="P42" i="52" s="1"/>
  <c r="I59" i="52"/>
  <c r="I60" i="52" s="1"/>
  <c r="H59" i="52"/>
  <c r="I56" i="52"/>
  <c r="H56" i="52"/>
  <c r="H52" i="52"/>
  <c r="H53" i="52" s="1"/>
  <c r="I49" i="52"/>
  <c r="I50" i="52" s="1"/>
  <c r="I51" i="52" s="1"/>
  <c r="H48" i="52"/>
  <c r="H49" i="52" s="1"/>
  <c r="I45" i="52"/>
  <c r="I46" i="52" s="1"/>
  <c r="H44" i="52"/>
  <c r="H45" i="52" s="1"/>
  <c r="I41" i="52"/>
  <c r="I42" i="52" s="1"/>
  <c r="H40" i="52"/>
  <c r="H41" i="52" s="1"/>
  <c r="I39" i="52"/>
  <c r="H39" i="52"/>
  <c r="Q59" i="52"/>
  <c r="Q60" i="52" s="1"/>
  <c r="Q56" i="52"/>
  <c r="Q53" i="52"/>
  <c r="Q49" i="52"/>
  <c r="Q50" i="52" s="1"/>
  <c r="Q51" i="52" s="1"/>
  <c r="Q45" i="52"/>
  <c r="Q46" i="52" s="1"/>
  <c r="Q41" i="52"/>
  <c r="Q42" i="52" s="1"/>
  <c r="F15" i="52"/>
  <c r="F16" i="52" s="1"/>
  <c r="F19" i="52" s="1"/>
  <c r="F20" i="52" s="1"/>
  <c r="F21" i="52" s="1"/>
  <c r="F22" i="52" s="1"/>
  <c r="F24" i="52" s="1"/>
  <c r="F40" i="52" s="1"/>
  <c r="D60" i="52"/>
  <c r="D58" i="52"/>
  <c r="D59" i="52" s="1"/>
  <c r="D57" i="52"/>
  <c r="D56" i="52"/>
  <c r="D55" i="52"/>
  <c r="T251" i="35" l="1"/>
  <c r="P250" i="35"/>
  <c r="M245" i="35"/>
  <c r="R246" i="35"/>
  <c r="S246" i="35"/>
  <c r="N245" i="35"/>
  <c r="Q246" i="35"/>
  <c r="L245" i="35"/>
  <c r="O55" i="52"/>
  <c r="O56" i="52"/>
  <c r="O39" i="52"/>
  <c r="O54" i="52"/>
  <c r="H60" i="52"/>
  <c r="H42" i="52"/>
  <c r="H46" i="52"/>
  <c r="F41" i="52"/>
  <c r="H50" i="52"/>
  <c r="A37" i="52"/>
  <c r="A38" i="52" s="1"/>
  <c r="A39" i="52"/>
  <c r="F56" i="52"/>
  <c r="P251" i="35" l="1"/>
  <c r="T252" i="35"/>
  <c r="M246" i="35"/>
  <c r="R247" i="35"/>
  <c r="Q247" i="35"/>
  <c r="L246" i="35"/>
  <c r="S247" i="35"/>
  <c r="N246" i="35"/>
  <c r="H51" i="52"/>
  <c r="F60" i="52"/>
  <c r="A40" i="52"/>
  <c r="A41" i="52" s="1"/>
  <c r="A42" i="52" s="1"/>
  <c r="A43" i="52" s="1"/>
  <c r="A44" i="52" s="1"/>
  <c r="A45" i="52" s="1"/>
  <c r="A46" i="52" s="1"/>
  <c r="L247" i="35" l="1"/>
  <c r="Q248" i="35"/>
  <c r="P252" i="35"/>
  <c r="M247" i="35"/>
  <c r="R248" i="35"/>
  <c r="T253" i="35"/>
  <c r="N247" i="35"/>
  <c r="S248" i="35"/>
  <c r="F61" i="52"/>
  <c r="R61" i="52" s="1"/>
  <c r="F58" i="52"/>
  <c r="F59" i="52" s="1"/>
  <c r="A47" i="52"/>
  <c r="A48" i="52"/>
  <c r="A49" i="52" s="1"/>
  <c r="A50" i="52" s="1"/>
  <c r="A51" i="52" s="1"/>
  <c r="A52" i="52" s="1"/>
  <c r="A53" i="52" s="1"/>
  <c r="A54" i="52" s="1"/>
  <c r="A55" i="52" s="1"/>
  <c r="A56" i="52" s="1"/>
  <c r="A57" i="52" s="1"/>
  <c r="A58" i="52" s="1"/>
  <c r="A59" i="52" s="1"/>
  <c r="A60" i="52" s="1"/>
  <c r="A61" i="52" s="1"/>
  <c r="C60" i="52"/>
  <c r="C59" i="52"/>
  <c r="C58" i="52"/>
  <c r="C57" i="52"/>
  <c r="C56" i="52"/>
  <c r="C55" i="52"/>
  <c r="E54" i="52"/>
  <c r="D54" i="52"/>
  <c r="E53" i="52"/>
  <c r="D53" i="52"/>
  <c r="E52" i="52"/>
  <c r="D52" i="52"/>
  <c r="E51" i="52"/>
  <c r="D51" i="52"/>
  <c r="E50" i="52"/>
  <c r="D50" i="52"/>
  <c r="E49" i="52"/>
  <c r="D49" i="52"/>
  <c r="E48" i="52"/>
  <c r="D48" i="52"/>
  <c r="E46" i="52"/>
  <c r="D46" i="52"/>
  <c r="E45" i="52"/>
  <c r="D45" i="52"/>
  <c r="E44" i="52"/>
  <c r="D44" i="52"/>
  <c r="M33" i="52"/>
  <c r="N36" i="52"/>
  <c r="M36" i="52"/>
  <c r="F26" i="52"/>
  <c r="F27" i="52" s="1"/>
  <c r="F28" i="52" s="1"/>
  <c r="F29" i="52" s="1"/>
  <c r="F13" i="52"/>
  <c r="P253" i="35" l="1"/>
  <c r="N248" i="35"/>
  <c r="S249" i="35"/>
  <c r="L248" i="35"/>
  <c r="Q249" i="35"/>
  <c r="T254" i="35"/>
  <c r="M248" i="35"/>
  <c r="R249" i="35"/>
  <c r="Y12" i="35"/>
  <c r="O36" i="52"/>
  <c r="F45" i="52"/>
  <c r="E42" i="52"/>
  <c r="D42" i="52"/>
  <c r="E41" i="52"/>
  <c r="D41" i="52"/>
  <c r="E40" i="52"/>
  <c r="D40" i="52"/>
  <c r="E39" i="52"/>
  <c r="D39" i="52"/>
  <c r="M24" i="52"/>
  <c r="M23" i="52"/>
  <c r="M22" i="52"/>
  <c r="M21" i="52"/>
  <c r="M20" i="52"/>
  <c r="M19" i="52"/>
  <c r="M18" i="52"/>
  <c r="M17" i="52"/>
  <c r="L249" i="35" l="1"/>
  <c r="Q250" i="35"/>
  <c r="T255" i="35"/>
  <c r="N249" i="35"/>
  <c r="S250" i="35"/>
  <c r="M249" i="35"/>
  <c r="R250" i="35"/>
  <c r="P254" i="35"/>
  <c r="Y13" i="35"/>
  <c r="O12" i="35"/>
  <c r="U12" i="35"/>
  <c r="F53" i="52"/>
  <c r="E36" i="52"/>
  <c r="D36" i="52"/>
  <c r="E35" i="52"/>
  <c r="D35" i="52"/>
  <c r="E34" i="52"/>
  <c r="D34" i="52"/>
  <c r="E33" i="52"/>
  <c r="D33" i="52"/>
  <c r="E32" i="52"/>
  <c r="D32" i="52"/>
  <c r="E31" i="52"/>
  <c r="D31" i="52"/>
  <c r="E30" i="52"/>
  <c r="D30" i="52"/>
  <c r="E29" i="52"/>
  <c r="E28" i="52"/>
  <c r="E27" i="52"/>
  <c r="E26" i="52"/>
  <c r="E25" i="52"/>
  <c r="E24" i="52"/>
  <c r="E23" i="52"/>
  <c r="E22" i="52"/>
  <c r="E21" i="52"/>
  <c r="E20" i="52"/>
  <c r="E19" i="52"/>
  <c r="E18" i="52"/>
  <c r="E17" i="52"/>
  <c r="E16" i="52"/>
  <c r="E15" i="52"/>
  <c r="E14" i="52"/>
  <c r="E13" i="52"/>
  <c r="E12" i="52"/>
  <c r="T256" i="35" l="1"/>
  <c r="M250" i="35"/>
  <c r="R251" i="35"/>
  <c r="N250" i="35"/>
  <c r="S251" i="35"/>
  <c r="L250" i="35"/>
  <c r="Q251" i="35"/>
  <c r="P255" i="35"/>
  <c r="U13" i="35"/>
  <c r="K12" i="35"/>
  <c r="Y14" i="35"/>
  <c r="O13" i="35"/>
  <c r="I61" i="13"/>
  <c r="M251" i="35" l="1"/>
  <c r="R252" i="35"/>
  <c r="T257" i="35"/>
  <c r="T258" i="35" s="1"/>
  <c r="L251" i="35"/>
  <c r="Q252" i="35"/>
  <c r="N251" i="35"/>
  <c r="S252" i="35"/>
  <c r="P256" i="35"/>
  <c r="Y15" i="35"/>
  <c r="O14" i="35"/>
  <c r="U14" i="35"/>
  <c r="K13" i="35"/>
  <c r="AE61" i="13"/>
  <c r="AF61" i="13" s="1"/>
  <c r="V61" i="52" s="1"/>
  <c r="T259" i="35" l="1"/>
  <c r="Q253" i="35"/>
  <c r="L252" i="35"/>
  <c r="S253" i="35"/>
  <c r="N252" i="35"/>
  <c r="M252" i="35"/>
  <c r="R253" i="35"/>
  <c r="P257" i="35"/>
  <c r="P258" i="35" s="1"/>
  <c r="U15" i="35"/>
  <c r="K14" i="35"/>
  <c r="Y16" i="35"/>
  <c r="O15" i="35"/>
  <c r="AC61" i="52"/>
  <c r="AB61" i="52"/>
  <c r="T260" i="35" l="1"/>
  <c r="P259" i="35"/>
  <c r="N253" i="35"/>
  <c r="S254" i="35"/>
  <c r="L253" i="35"/>
  <c r="Q254" i="35"/>
  <c r="M253" i="35"/>
  <c r="R254" i="35"/>
  <c r="Y17" i="35"/>
  <c r="O16" i="35"/>
  <c r="U16" i="35"/>
  <c r="K15" i="35"/>
  <c r="G61" i="13"/>
  <c r="P260" i="35" l="1"/>
  <c r="T261" i="35"/>
  <c r="L254" i="35"/>
  <c r="Q255" i="35"/>
  <c r="N254" i="35"/>
  <c r="S255" i="35"/>
  <c r="M254" i="35"/>
  <c r="R255" i="35"/>
  <c r="U17" i="35"/>
  <c r="K16" i="35"/>
  <c r="Y18" i="35"/>
  <c r="O17" i="35"/>
  <c r="H61" i="13"/>
  <c r="T262" i="35" l="1"/>
  <c r="P261" i="35"/>
  <c r="R256" i="35"/>
  <c r="M255" i="35"/>
  <c r="Q256" i="35"/>
  <c r="L255" i="35"/>
  <c r="N255" i="35"/>
  <c r="S256" i="35"/>
  <c r="Y19" i="35"/>
  <c r="O18" i="35"/>
  <c r="U18" i="35"/>
  <c r="K17" i="35"/>
  <c r="C39" i="13"/>
  <c r="P262" i="35" l="1"/>
  <c r="T263" i="35"/>
  <c r="S257" i="35"/>
  <c r="N256" i="35"/>
  <c r="L256" i="35"/>
  <c r="Q257" i="35"/>
  <c r="R257" i="35"/>
  <c r="M256" i="35"/>
  <c r="U19" i="35"/>
  <c r="K18" i="35"/>
  <c r="Y20" i="35"/>
  <c r="O19" i="35"/>
  <c r="G60" i="52"/>
  <c r="R60" i="52" s="1"/>
  <c r="G59" i="52"/>
  <c r="R59" i="52" s="1"/>
  <c r="G58" i="52"/>
  <c r="R58" i="52" s="1"/>
  <c r="G57" i="52"/>
  <c r="R57" i="52" s="1"/>
  <c r="G56" i="52"/>
  <c r="R56" i="52" s="1"/>
  <c r="G55" i="52"/>
  <c r="R55" i="52" s="1"/>
  <c r="G54" i="52"/>
  <c r="R54" i="52" s="1"/>
  <c r="G53" i="52"/>
  <c r="R53" i="52" s="1"/>
  <c r="G52" i="52"/>
  <c r="R52" i="52" s="1"/>
  <c r="G51" i="52"/>
  <c r="R51" i="52" s="1"/>
  <c r="G50" i="52"/>
  <c r="R50" i="52" s="1"/>
  <c r="G49" i="52"/>
  <c r="R49" i="52" s="1"/>
  <c r="G48" i="52"/>
  <c r="R48" i="52" s="1"/>
  <c r="G46" i="52"/>
  <c r="R46" i="52" s="1"/>
  <c r="G45" i="52"/>
  <c r="R45" i="52" s="1"/>
  <c r="G44" i="52"/>
  <c r="R44" i="52" s="1"/>
  <c r="G42" i="52"/>
  <c r="R42" i="52" s="1"/>
  <c r="G41" i="52"/>
  <c r="R41" i="52" s="1"/>
  <c r="G40" i="52"/>
  <c r="R40" i="52" s="1"/>
  <c r="G39" i="52"/>
  <c r="R39" i="52" s="1"/>
  <c r="G36" i="52"/>
  <c r="R36" i="52" s="1"/>
  <c r="G35" i="52"/>
  <c r="G34" i="52"/>
  <c r="G33" i="52"/>
  <c r="G32" i="52"/>
  <c r="G31" i="52"/>
  <c r="G30" i="52"/>
  <c r="R30" i="52" s="1"/>
  <c r="G29" i="52"/>
  <c r="G28" i="52"/>
  <c r="G27" i="52"/>
  <c r="G26" i="52"/>
  <c r="G25" i="52"/>
  <c r="G24" i="52"/>
  <c r="G23" i="52"/>
  <c r="G22" i="52"/>
  <c r="G21" i="52"/>
  <c r="G20" i="52"/>
  <c r="G19" i="52"/>
  <c r="G18" i="52"/>
  <c r="G17" i="52"/>
  <c r="R17" i="52" s="1"/>
  <c r="G16" i="52"/>
  <c r="G15" i="52"/>
  <c r="G14" i="52"/>
  <c r="G13" i="52"/>
  <c r="R13" i="52" s="1"/>
  <c r="L257" i="35" l="1"/>
  <c r="Q258" i="35"/>
  <c r="N257" i="35"/>
  <c r="S258" i="35"/>
  <c r="M257" i="35"/>
  <c r="R258" i="35"/>
  <c r="P263" i="35"/>
  <c r="Y21" i="35"/>
  <c r="O20" i="35"/>
  <c r="U20" i="35"/>
  <c r="K19" i="35"/>
  <c r="G12" i="52"/>
  <c r="R12" i="52" s="1"/>
  <c r="N258" i="35" l="1"/>
  <c r="S259" i="35"/>
  <c r="L258" i="35"/>
  <c r="Q259" i="35"/>
  <c r="M258" i="35"/>
  <c r="R259" i="35"/>
  <c r="U21" i="35"/>
  <c r="K20" i="35"/>
  <c r="Y22" i="35"/>
  <c r="O21" i="35"/>
  <c r="M61" i="13"/>
  <c r="M259" i="35" l="1"/>
  <c r="R260" i="35"/>
  <c r="S260" i="35"/>
  <c r="N259" i="35"/>
  <c r="Q260" i="35"/>
  <c r="L259" i="35"/>
  <c r="U22" i="35"/>
  <c r="K21" i="35"/>
  <c r="Y23" i="35"/>
  <c r="O22" i="35"/>
  <c r="O61" i="13"/>
  <c r="N260" i="35" l="1"/>
  <c r="S261" i="35"/>
  <c r="Q261" i="35"/>
  <c r="L260" i="35"/>
  <c r="R261" i="35"/>
  <c r="M260" i="35"/>
  <c r="Y24" i="35"/>
  <c r="O23" i="35"/>
  <c r="U23" i="35"/>
  <c r="K22" i="35"/>
  <c r="E4" i="13"/>
  <c r="R262" i="35" l="1"/>
  <c r="M261" i="35"/>
  <c r="Q262" i="35"/>
  <c r="L261" i="35"/>
  <c r="N261" i="35"/>
  <c r="S262" i="35"/>
  <c r="U24" i="35"/>
  <c r="K23" i="35"/>
  <c r="Y25" i="35"/>
  <c r="O24" i="35"/>
  <c r="H36" i="52"/>
  <c r="I36" i="52"/>
  <c r="Q33" i="52"/>
  <c r="Q34" i="52" s="1"/>
  <c r="Q35" i="52" s="1"/>
  <c r="Q31" i="52"/>
  <c r="I32" i="52"/>
  <c r="I33" i="52" s="1"/>
  <c r="I34" i="52" s="1"/>
  <c r="I35" i="52" s="1"/>
  <c r="I30" i="52"/>
  <c r="I31" i="52" s="1"/>
  <c r="P34" i="52"/>
  <c r="P35" i="52" s="1"/>
  <c r="N35" i="52"/>
  <c r="M35" i="52"/>
  <c r="N34" i="52"/>
  <c r="M34" i="52"/>
  <c r="N32" i="52"/>
  <c r="M32" i="52"/>
  <c r="H32" i="52"/>
  <c r="H33" i="52" s="1"/>
  <c r="N31" i="52"/>
  <c r="O31" i="52" s="1"/>
  <c r="M31" i="52"/>
  <c r="N30" i="52"/>
  <c r="O30" i="52" s="1"/>
  <c r="M30" i="52"/>
  <c r="H30" i="52"/>
  <c r="H31" i="52" s="1"/>
  <c r="N262" i="35" l="1"/>
  <c r="S263" i="35"/>
  <c r="N263" i="35" s="1"/>
  <c r="L262" i="35"/>
  <c r="Q263" i="35"/>
  <c r="L263" i="35" s="1"/>
  <c r="M262" i="35"/>
  <c r="R263" i="35"/>
  <c r="M263" i="35" s="1"/>
  <c r="Y26" i="35"/>
  <c r="O25" i="35"/>
  <c r="U25" i="35"/>
  <c r="K24" i="35"/>
  <c r="O32" i="52"/>
  <c r="O35" i="52"/>
  <c r="O34" i="52"/>
  <c r="N61" i="13"/>
  <c r="H34" i="52"/>
  <c r="D60" i="13"/>
  <c r="C60" i="13"/>
  <c r="D59" i="13"/>
  <c r="C59" i="13"/>
  <c r="D58" i="13"/>
  <c r="F58" i="13" s="1"/>
  <c r="C58" i="13"/>
  <c r="B58" i="13"/>
  <c r="D57" i="13"/>
  <c r="C57" i="13"/>
  <c r="B57" i="13"/>
  <c r="C56" i="13"/>
  <c r="D56" i="13"/>
  <c r="F56" i="13" s="1"/>
  <c r="D55" i="13"/>
  <c r="F55" i="13" s="1"/>
  <c r="C55" i="13"/>
  <c r="B55" i="13"/>
  <c r="U26" i="35" l="1"/>
  <c r="K25" i="35"/>
  <c r="Y27" i="35"/>
  <c r="O26" i="35"/>
  <c r="H35" i="52"/>
  <c r="F60" i="13"/>
  <c r="F59" i="13"/>
  <c r="F57" i="13"/>
  <c r="Y28" i="35" l="1"/>
  <c r="O27" i="35"/>
  <c r="U27" i="35"/>
  <c r="K26" i="35"/>
  <c r="L59" i="13"/>
  <c r="L58" i="13"/>
  <c r="L57" i="13"/>
  <c r="U28" i="35" l="1"/>
  <c r="K27" i="35"/>
  <c r="Y29" i="35"/>
  <c r="O28" i="35"/>
  <c r="J60" i="13"/>
  <c r="K60" i="13"/>
  <c r="L60" i="13"/>
  <c r="J58" i="13"/>
  <c r="K58" i="13"/>
  <c r="K57" i="13"/>
  <c r="J57" i="13"/>
  <c r="Y30" i="35" l="1"/>
  <c r="O29" i="35"/>
  <c r="U29" i="35"/>
  <c r="K28" i="35"/>
  <c r="K59" i="13"/>
  <c r="J59" i="13"/>
  <c r="Y31" i="35" l="1"/>
  <c r="O30" i="35"/>
  <c r="U30" i="35"/>
  <c r="K29" i="35"/>
  <c r="AE60" i="13"/>
  <c r="AF60" i="13" s="1"/>
  <c r="V60" i="52" s="1"/>
  <c r="AE59" i="13"/>
  <c r="AF59" i="13" s="1"/>
  <c r="V59" i="52" s="1"/>
  <c r="U31" i="35" l="1"/>
  <c r="K30" i="35"/>
  <c r="Y32" i="35"/>
  <c r="O31" i="35"/>
  <c r="AB59" i="52"/>
  <c r="AC59" i="52"/>
  <c r="AC60" i="52"/>
  <c r="AB60" i="52"/>
  <c r="AE58" i="13"/>
  <c r="AF58" i="13" s="1"/>
  <c r="V58" i="52" s="1"/>
  <c r="Y33" i="35" l="1"/>
  <c r="O32" i="35"/>
  <c r="U32" i="35"/>
  <c r="K31" i="35"/>
  <c r="AB58" i="52"/>
  <c r="AC58" i="52"/>
  <c r="U33" i="35" l="1"/>
  <c r="K32" i="35"/>
  <c r="Y34" i="35"/>
  <c r="O33" i="35"/>
  <c r="AE57" i="13"/>
  <c r="AF57" i="13" s="1"/>
  <c r="V57" i="52" s="1"/>
  <c r="Y35" i="35" l="1"/>
  <c r="O34" i="35"/>
  <c r="U34" i="35"/>
  <c r="K33" i="35"/>
  <c r="AB57" i="52"/>
  <c r="AC57" i="52"/>
  <c r="U35" i="35" l="1"/>
  <c r="K34" i="35"/>
  <c r="Y36" i="35"/>
  <c r="O35" i="35"/>
  <c r="L56" i="13"/>
  <c r="Y37" i="35" l="1"/>
  <c r="O36" i="35"/>
  <c r="U36" i="35"/>
  <c r="K35" i="35"/>
  <c r="J56" i="13"/>
  <c r="K56" i="13"/>
  <c r="U37" i="35" l="1"/>
  <c r="K36" i="35"/>
  <c r="Y38" i="35"/>
  <c r="O37" i="35"/>
  <c r="N58" i="13"/>
  <c r="Q58" i="13" s="1"/>
  <c r="Z58" i="13" s="1"/>
  <c r="Y39" i="35" l="1"/>
  <c r="O38" i="35"/>
  <c r="U38" i="35"/>
  <c r="K37" i="35"/>
  <c r="T58" i="52"/>
  <c r="X58" i="52" s="1"/>
  <c r="AC58" i="13"/>
  <c r="U39" i="35" l="1"/>
  <c r="K38" i="35"/>
  <c r="Y40" i="35"/>
  <c r="O39" i="35"/>
  <c r="AD58" i="52"/>
  <c r="Y41" i="35" l="1"/>
  <c r="O40" i="35"/>
  <c r="U40" i="35"/>
  <c r="K39" i="35"/>
  <c r="G59" i="13"/>
  <c r="L55" i="13"/>
  <c r="U41" i="35" l="1"/>
  <c r="K40" i="35"/>
  <c r="Y42" i="35"/>
  <c r="O41" i="35"/>
  <c r="I59" i="13"/>
  <c r="H58" i="13"/>
  <c r="I58" i="13"/>
  <c r="Y43" i="35" l="1"/>
  <c r="O42" i="35"/>
  <c r="U42" i="35"/>
  <c r="K41" i="35"/>
  <c r="K55" i="13"/>
  <c r="J55" i="13"/>
  <c r="U43" i="35" l="1"/>
  <c r="K42" i="35"/>
  <c r="Y44" i="35"/>
  <c r="O43" i="35"/>
  <c r="R14" i="52"/>
  <c r="R15" i="52"/>
  <c r="R16" i="52"/>
  <c r="R18" i="52"/>
  <c r="R19" i="52"/>
  <c r="R20" i="52"/>
  <c r="R21" i="52"/>
  <c r="R22" i="52"/>
  <c r="R23" i="52"/>
  <c r="R24" i="52"/>
  <c r="R25" i="52"/>
  <c r="R26" i="52"/>
  <c r="R27" i="52"/>
  <c r="R28" i="52"/>
  <c r="R29" i="52"/>
  <c r="R31" i="52"/>
  <c r="R32" i="52"/>
  <c r="R33" i="52"/>
  <c r="R34" i="52"/>
  <c r="R35" i="52"/>
  <c r="N29" i="52"/>
  <c r="M29" i="52"/>
  <c r="I29" i="52"/>
  <c r="H29" i="52"/>
  <c r="N28" i="52"/>
  <c r="O28" i="52" s="1"/>
  <c r="M28" i="52"/>
  <c r="N27" i="52"/>
  <c r="O27" i="52" s="1"/>
  <c r="M27" i="52"/>
  <c r="N26" i="52"/>
  <c r="O26" i="52" s="1"/>
  <c r="M26" i="52"/>
  <c r="N25" i="52"/>
  <c r="O25" i="52" s="1"/>
  <c r="M25" i="52"/>
  <c r="Q26" i="52"/>
  <c r="Q27" i="52" s="1"/>
  <c r="Q28" i="52" s="1"/>
  <c r="P26" i="52"/>
  <c r="P27" i="52" s="1"/>
  <c r="P28" i="52" s="1"/>
  <c r="I25" i="52"/>
  <c r="I26" i="52" s="1"/>
  <c r="I27" i="52" s="1"/>
  <c r="I28" i="52" s="1"/>
  <c r="H25" i="52"/>
  <c r="H26" i="52" s="1"/>
  <c r="Q18" i="52"/>
  <c r="Q19" i="52" s="1"/>
  <c r="Q20" i="52" s="1"/>
  <c r="Q21" i="52" s="1"/>
  <c r="Q22" i="52" s="1"/>
  <c r="Q23" i="52" s="1"/>
  <c r="Q24" i="52" s="1"/>
  <c r="I17" i="52"/>
  <c r="I18" i="52" s="1"/>
  <c r="I19" i="52" s="1"/>
  <c r="I20" i="52" s="1"/>
  <c r="I21" i="52" s="1"/>
  <c r="I22" i="52" s="1"/>
  <c r="I23" i="52" s="1"/>
  <c r="I24" i="52" s="1"/>
  <c r="P18" i="52"/>
  <c r="P19" i="52" s="1"/>
  <c r="P20" i="52" s="1"/>
  <c r="P21" i="52" s="1"/>
  <c r="P22" i="52" s="1"/>
  <c r="P23" i="52" s="1"/>
  <c r="P24" i="52" s="1"/>
  <c r="H17" i="52"/>
  <c r="H18" i="52" s="1"/>
  <c r="D29" i="52"/>
  <c r="D28" i="52"/>
  <c r="D27" i="52"/>
  <c r="D26" i="52"/>
  <c r="D25" i="52"/>
  <c r="D24" i="52"/>
  <c r="D23" i="52"/>
  <c r="D22" i="52"/>
  <c r="D21" i="52"/>
  <c r="D20" i="52"/>
  <c r="D19" i="52"/>
  <c r="D18" i="52"/>
  <c r="D17" i="52"/>
  <c r="D16" i="52"/>
  <c r="D15" i="52"/>
  <c r="D14" i="52"/>
  <c r="D13" i="52"/>
  <c r="D12" i="52"/>
  <c r="Y45" i="35" l="1"/>
  <c r="O44" i="35"/>
  <c r="U44" i="35"/>
  <c r="K43" i="35"/>
  <c r="O29" i="52"/>
  <c r="H27" i="52"/>
  <c r="H19" i="52"/>
  <c r="H59" i="13"/>
  <c r="G58" i="13"/>
  <c r="H57" i="13"/>
  <c r="Q13" i="52"/>
  <c r="Q14" i="52" s="1"/>
  <c r="Q15" i="52" s="1"/>
  <c r="Q16" i="52" s="1"/>
  <c r="I13" i="52"/>
  <c r="I14" i="52" s="1"/>
  <c r="I15" i="52" s="1"/>
  <c r="I16" i="52" s="1"/>
  <c r="P13" i="52"/>
  <c r="P14" i="52" s="1"/>
  <c r="P15" i="52" s="1"/>
  <c r="P16" i="52" s="1"/>
  <c r="M12" i="52"/>
  <c r="M13" i="52" s="1"/>
  <c r="M14" i="52" s="1"/>
  <c r="M15" i="52" s="1"/>
  <c r="M16" i="52" s="1"/>
  <c r="H13" i="52"/>
  <c r="H14" i="52" s="1"/>
  <c r="H15" i="52" s="1"/>
  <c r="H16" i="52" s="1"/>
  <c r="U45" i="35" l="1"/>
  <c r="K44" i="35"/>
  <c r="Y46" i="35"/>
  <c r="O45" i="35"/>
  <c r="H20" i="52"/>
  <c r="H28" i="52"/>
  <c r="C54" i="52"/>
  <c r="B54" i="52"/>
  <c r="C53" i="52"/>
  <c r="C52" i="52"/>
  <c r="B52" i="52"/>
  <c r="C51" i="52"/>
  <c r="C50" i="52"/>
  <c r="C49" i="52"/>
  <c r="C48" i="52"/>
  <c r="AC47" i="52"/>
  <c r="AC37" i="52"/>
  <c r="C36" i="52"/>
  <c r="B36" i="52"/>
  <c r="C35" i="52"/>
  <c r="C34" i="52"/>
  <c r="C33" i="52"/>
  <c r="C32" i="52"/>
  <c r="B32" i="52"/>
  <c r="C31" i="52"/>
  <c r="C30" i="52"/>
  <c r="B30" i="52"/>
  <c r="C29" i="52"/>
  <c r="B29" i="52"/>
  <c r="C28" i="52"/>
  <c r="C27" i="52"/>
  <c r="C26" i="52"/>
  <c r="C25" i="52"/>
  <c r="B25" i="52"/>
  <c r="C24" i="52"/>
  <c r="C23" i="52"/>
  <c r="C22" i="52"/>
  <c r="C21" i="52"/>
  <c r="C20" i="52"/>
  <c r="C19" i="52"/>
  <c r="C18" i="52"/>
  <c r="C17" i="52"/>
  <c r="B17" i="52"/>
  <c r="C16" i="52"/>
  <c r="C15" i="52"/>
  <c r="C14" i="52"/>
  <c r="C13" i="52"/>
  <c r="C12" i="52"/>
  <c r="Y47" i="35" l="1"/>
  <c r="O46" i="35"/>
  <c r="U46" i="35"/>
  <c r="K45" i="35"/>
  <c r="H21" i="52"/>
  <c r="U47" i="35" l="1"/>
  <c r="K46" i="35"/>
  <c r="Y48" i="35"/>
  <c r="O47" i="35"/>
  <c r="H22" i="52"/>
  <c r="Y49" i="35" l="1"/>
  <c r="O48" i="35"/>
  <c r="U48" i="35"/>
  <c r="K47" i="35"/>
  <c r="H23" i="52"/>
  <c r="Y50" i="35" l="1"/>
  <c r="O49" i="35"/>
  <c r="U49" i="35"/>
  <c r="K48" i="35"/>
  <c r="H24" i="52"/>
  <c r="U50" i="35" l="1"/>
  <c r="K49" i="35"/>
  <c r="Y51" i="35"/>
  <c r="O50" i="35"/>
  <c r="G57" i="13"/>
  <c r="D39" i="13"/>
  <c r="F39" i="13" s="1"/>
  <c r="Y52" i="35" l="1"/>
  <c r="O51" i="35"/>
  <c r="U51" i="35"/>
  <c r="K50" i="35"/>
  <c r="O59" i="13"/>
  <c r="R59" i="13" s="1"/>
  <c r="AA59" i="13" s="1"/>
  <c r="U52" i="35" l="1"/>
  <c r="K51" i="35"/>
  <c r="Y53" i="35"/>
  <c r="O52" i="35"/>
  <c r="AD59" i="13"/>
  <c r="U59" i="52"/>
  <c r="N59" i="13"/>
  <c r="Q59" i="13" s="1"/>
  <c r="Z59" i="13" s="1"/>
  <c r="M58" i="13"/>
  <c r="P58" i="13" s="1"/>
  <c r="Y58" i="13" s="1"/>
  <c r="I57" i="13"/>
  <c r="Y54" i="35" l="1"/>
  <c r="O53" i="35"/>
  <c r="U53" i="35"/>
  <c r="K52" i="35"/>
  <c r="T59" i="52"/>
  <c r="X59" i="52" s="1"/>
  <c r="AC59" i="13"/>
  <c r="M59" i="13"/>
  <c r="P59" i="13" s="1"/>
  <c r="Y59" i="13" s="1"/>
  <c r="S58" i="52"/>
  <c r="AB58" i="13"/>
  <c r="U54" i="35" l="1"/>
  <c r="K53" i="35"/>
  <c r="Y55" i="35"/>
  <c r="O54" i="35"/>
  <c r="AD59" i="52"/>
  <c r="S59" i="52"/>
  <c r="AG59" i="13"/>
  <c r="AH59" i="13" s="1"/>
  <c r="AB59" i="13"/>
  <c r="J39" i="13"/>
  <c r="L39" i="13"/>
  <c r="K39" i="13"/>
  <c r="Y56" i="35" l="1"/>
  <c r="O55" i="35"/>
  <c r="U55" i="35"/>
  <c r="K54" i="35"/>
  <c r="M57" i="13"/>
  <c r="P57" i="13" s="1"/>
  <c r="Y57" i="13" s="1"/>
  <c r="U56" i="35" l="1"/>
  <c r="K55" i="35"/>
  <c r="Y57" i="35"/>
  <c r="O56" i="35"/>
  <c r="S57" i="52"/>
  <c r="AB57" i="13"/>
  <c r="Y58" i="35" l="1"/>
  <c r="O57" i="35"/>
  <c r="U57" i="35"/>
  <c r="K56" i="35"/>
  <c r="O58" i="13"/>
  <c r="R58" i="13" s="1"/>
  <c r="AA58" i="13" s="1"/>
  <c r="Y59" i="35" l="1"/>
  <c r="O58" i="35"/>
  <c r="U58" i="35"/>
  <c r="K57" i="35"/>
  <c r="AD58" i="13"/>
  <c r="AG58" i="13"/>
  <c r="AH58" i="13" s="1"/>
  <c r="U58" i="52"/>
  <c r="U59" i="35" l="1"/>
  <c r="K58" i="35"/>
  <c r="Y60" i="35"/>
  <c r="O59" i="35"/>
  <c r="N57" i="13"/>
  <c r="Q57" i="13" s="1"/>
  <c r="Z57" i="13" s="1"/>
  <c r="Y61" i="35" l="1"/>
  <c r="O60" i="35"/>
  <c r="U60" i="35"/>
  <c r="K59" i="35"/>
  <c r="AE56" i="13"/>
  <c r="AF56" i="13" s="1"/>
  <c r="V56" i="52" s="1"/>
  <c r="AC56" i="52" s="1"/>
  <c r="O57" i="13"/>
  <c r="R57" i="13" s="1"/>
  <c r="T57" i="52"/>
  <c r="X57" i="52" s="1"/>
  <c r="AC57" i="13"/>
  <c r="U61" i="35" l="1"/>
  <c r="K60" i="35"/>
  <c r="Y62" i="35"/>
  <c r="O61" i="35"/>
  <c r="AB56" i="52"/>
  <c r="AA57" i="13"/>
  <c r="AG57" i="13" s="1"/>
  <c r="AD57" i="52"/>
  <c r="AE57" i="52" s="1"/>
  <c r="Y63" i="35" l="1"/>
  <c r="O62" i="35"/>
  <c r="U62" i="35"/>
  <c r="K61" i="35"/>
  <c r="U57" i="52"/>
  <c r="Y57" i="52" s="1"/>
  <c r="AI57" i="13"/>
  <c r="AH57" i="13"/>
  <c r="AD57" i="13"/>
  <c r="U63" i="35" l="1"/>
  <c r="K62" i="35"/>
  <c r="Y64" i="35"/>
  <c r="O63" i="35"/>
  <c r="AE39" i="13"/>
  <c r="AF39" i="13" s="1"/>
  <c r="V39" i="52" s="1"/>
  <c r="Y65" i="35" l="1"/>
  <c r="O64" i="35"/>
  <c r="U64" i="35"/>
  <c r="K63" i="35"/>
  <c r="AC39" i="52"/>
  <c r="AB39" i="52"/>
  <c r="U65" i="35" l="1"/>
  <c r="K64" i="35"/>
  <c r="Y66" i="35"/>
  <c r="O65" i="35"/>
  <c r="AE55" i="13"/>
  <c r="AF55" i="13" s="1"/>
  <c r="V55" i="52" s="1"/>
  <c r="Y67" i="35" l="1"/>
  <c r="O66" i="35"/>
  <c r="U66" i="35"/>
  <c r="K65" i="35"/>
  <c r="AB55" i="52"/>
  <c r="AC55" i="52"/>
  <c r="Y68" i="35" l="1"/>
  <c r="O67" i="35"/>
  <c r="U67" i="35"/>
  <c r="K66" i="35"/>
  <c r="H39" i="13"/>
  <c r="G39" i="13"/>
  <c r="Y69" i="35" l="1"/>
  <c r="O68" i="35"/>
  <c r="U68" i="35"/>
  <c r="K67" i="35"/>
  <c r="I39" i="13"/>
  <c r="Y70" i="35" l="1"/>
  <c r="O69" i="35"/>
  <c r="U69" i="35"/>
  <c r="K68" i="35"/>
  <c r="G55" i="13"/>
  <c r="H55" i="13"/>
  <c r="Y71" i="35" l="1"/>
  <c r="O70" i="35"/>
  <c r="U70" i="35"/>
  <c r="K69" i="35"/>
  <c r="D46" i="13"/>
  <c r="D45" i="13"/>
  <c r="D44" i="13"/>
  <c r="U71" i="35" l="1"/>
  <c r="K70" i="35"/>
  <c r="Y72" i="35"/>
  <c r="O71" i="35"/>
  <c r="F46" i="13"/>
  <c r="F45" i="13"/>
  <c r="F44" i="13"/>
  <c r="J45" i="13"/>
  <c r="Y73" i="35" l="1"/>
  <c r="O72" i="35"/>
  <c r="U72" i="35"/>
  <c r="K71" i="35"/>
  <c r="L45" i="13"/>
  <c r="K45" i="13"/>
  <c r="J46" i="13"/>
  <c r="U73" i="35" l="1"/>
  <c r="K72" i="35"/>
  <c r="Y74" i="35"/>
  <c r="O73" i="35"/>
  <c r="L46" i="13"/>
  <c r="K46" i="13"/>
  <c r="Y75" i="35" l="1"/>
  <c r="O74" i="35"/>
  <c r="U74" i="35"/>
  <c r="K73" i="35"/>
  <c r="I55" i="13"/>
  <c r="U75" i="35" l="1"/>
  <c r="K74" i="35"/>
  <c r="Y76" i="35"/>
  <c r="O75" i="35"/>
  <c r="O55" i="13"/>
  <c r="R55" i="13" s="1"/>
  <c r="AA55" i="13" s="1"/>
  <c r="Y77" i="35" l="1"/>
  <c r="O76" i="35"/>
  <c r="U76" i="35"/>
  <c r="K75" i="35"/>
  <c r="U55" i="52"/>
  <c r="AD55" i="13"/>
  <c r="U77" i="35" l="1"/>
  <c r="K76" i="35"/>
  <c r="Y78" i="35"/>
  <c r="O77" i="35"/>
  <c r="AE45" i="13"/>
  <c r="AF45" i="13" s="1"/>
  <c r="V45" i="52" s="1"/>
  <c r="Y79" i="35" l="1"/>
  <c r="O78" i="35"/>
  <c r="U78" i="35"/>
  <c r="K77" i="35"/>
  <c r="AC45" i="52"/>
  <c r="AB45" i="52"/>
  <c r="AE46" i="13"/>
  <c r="AF46" i="13" s="1"/>
  <c r="V46" i="52" s="1"/>
  <c r="M55" i="13"/>
  <c r="P55" i="13" s="1"/>
  <c r="Y55" i="13" s="1"/>
  <c r="U79" i="35" l="1"/>
  <c r="K78" i="35"/>
  <c r="Y80" i="35"/>
  <c r="O79" i="35"/>
  <c r="AB46" i="52"/>
  <c r="AC46" i="52"/>
  <c r="AB55" i="13"/>
  <c r="S55" i="52"/>
  <c r="Y81" i="35" l="1"/>
  <c r="O80" i="35"/>
  <c r="U80" i="35"/>
  <c r="K79" i="35"/>
  <c r="N55" i="13"/>
  <c r="Q55" i="13" s="1"/>
  <c r="Z55" i="13" s="1"/>
  <c r="U81" i="35" l="1"/>
  <c r="K80" i="35"/>
  <c r="Y82" i="35"/>
  <c r="O81" i="35"/>
  <c r="AC55" i="13"/>
  <c r="T55" i="52"/>
  <c r="AG55" i="13"/>
  <c r="AH55" i="13" s="1"/>
  <c r="X55" i="52"/>
  <c r="AD55" i="52"/>
  <c r="Y83" i="35" l="1"/>
  <c r="O82" i="35"/>
  <c r="U82" i="35"/>
  <c r="K81" i="35"/>
  <c r="G60" i="13"/>
  <c r="U83" i="35" l="1"/>
  <c r="K82" i="35"/>
  <c r="Y84" i="35"/>
  <c r="O83" i="35"/>
  <c r="I60" i="13"/>
  <c r="Y85" i="35" l="1"/>
  <c r="O84" i="35"/>
  <c r="U84" i="35"/>
  <c r="K83" i="35"/>
  <c r="H60" i="13"/>
  <c r="U85" i="35" l="1"/>
  <c r="K84" i="35"/>
  <c r="Y86" i="35"/>
  <c r="O85" i="35"/>
  <c r="H46" i="13"/>
  <c r="Y87" i="35" l="1"/>
  <c r="O86" i="35"/>
  <c r="U86" i="35"/>
  <c r="K85" i="35"/>
  <c r="I46" i="13"/>
  <c r="U87" i="35" l="1"/>
  <c r="K86" i="35"/>
  <c r="Y88" i="35"/>
  <c r="O87" i="35"/>
  <c r="G46" i="13"/>
  <c r="Y89" i="35" l="1"/>
  <c r="O88" i="35"/>
  <c r="U88" i="35"/>
  <c r="K87" i="35"/>
  <c r="O46" i="13"/>
  <c r="R46" i="13" s="1"/>
  <c r="AA46" i="13" s="1"/>
  <c r="U89" i="35" l="1"/>
  <c r="K88" i="35"/>
  <c r="Y90" i="35"/>
  <c r="O89" i="35"/>
  <c r="U46" i="52"/>
  <c r="AD46" i="13"/>
  <c r="Y91" i="35" l="1"/>
  <c r="O90" i="35"/>
  <c r="U90" i="35"/>
  <c r="K89" i="35"/>
  <c r="M60" i="13"/>
  <c r="P60" i="13" s="1"/>
  <c r="Y60" i="13" s="1"/>
  <c r="N60" i="13"/>
  <c r="Q60" i="13" s="1"/>
  <c r="Z60" i="13" s="1"/>
  <c r="O60" i="13"/>
  <c r="R60" i="13" s="1"/>
  <c r="AA60" i="13" s="1"/>
  <c r="U91" i="35" l="1"/>
  <c r="K90" i="35"/>
  <c r="Y92" i="35"/>
  <c r="O91" i="35"/>
  <c r="U60" i="52"/>
  <c r="AD60" i="13"/>
  <c r="AC60" i="13"/>
  <c r="T60" i="52"/>
  <c r="AB60" i="13"/>
  <c r="AG60" i="13"/>
  <c r="S60" i="52"/>
  <c r="Y93" i="35" l="1"/>
  <c r="O92" i="35"/>
  <c r="U92" i="35"/>
  <c r="K91" i="35"/>
  <c r="AI58" i="13"/>
  <c r="AH60" i="13"/>
  <c r="X60" i="52"/>
  <c r="Y58" i="52" s="1"/>
  <c r="AD60" i="52"/>
  <c r="AE58" i="52" s="1"/>
  <c r="Q61" i="13"/>
  <c r="Z61" i="13" s="1"/>
  <c r="R61" i="13"/>
  <c r="AA61" i="13" s="1"/>
  <c r="P61" i="13"/>
  <c r="Y61" i="13" s="1"/>
  <c r="U93" i="35" l="1"/>
  <c r="K92" i="35"/>
  <c r="Y94" i="35"/>
  <c r="O93" i="35"/>
  <c r="S61" i="52"/>
  <c r="AB61" i="13"/>
  <c r="U61" i="52"/>
  <c r="AD61" i="13"/>
  <c r="AG61" i="13"/>
  <c r="T61" i="52"/>
  <c r="X61" i="52" s="1"/>
  <c r="AC61" i="13"/>
  <c r="Y95" i="35" l="1"/>
  <c r="O94" i="35"/>
  <c r="U94" i="35"/>
  <c r="K93" i="35"/>
  <c r="Y61" i="52"/>
  <c r="AI61" i="13"/>
  <c r="AH61" i="13"/>
  <c r="AD61" i="52"/>
  <c r="AE61" i="52" s="1"/>
  <c r="U95" i="35" l="1"/>
  <c r="K94" i="35"/>
  <c r="Y96" i="35"/>
  <c r="O95" i="35"/>
  <c r="N46" i="13"/>
  <c r="Q46" i="13" s="1"/>
  <c r="Z46" i="13" s="1"/>
  <c r="U96" i="35" l="1"/>
  <c r="K95" i="35"/>
  <c r="Y97" i="35"/>
  <c r="O96" i="35"/>
  <c r="T46" i="52"/>
  <c r="X46" i="52" s="1"/>
  <c r="AC46" i="13"/>
  <c r="U97" i="35" l="1"/>
  <c r="K96" i="35"/>
  <c r="Y98" i="35"/>
  <c r="O97" i="35"/>
  <c r="AD46" i="52"/>
  <c r="U98" i="35" l="1"/>
  <c r="K97" i="35"/>
  <c r="Y99" i="35"/>
  <c r="O98" i="35"/>
  <c r="H56" i="13"/>
  <c r="Y100" i="35" l="1"/>
  <c r="O99" i="35"/>
  <c r="U99" i="35"/>
  <c r="K98" i="35"/>
  <c r="G56" i="13"/>
  <c r="U100" i="35" l="1"/>
  <c r="K99" i="35"/>
  <c r="Y101" i="35"/>
  <c r="O100" i="35"/>
  <c r="O39" i="13"/>
  <c r="R39" i="13" s="1"/>
  <c r="AA39" i="13" s="1"/>
  <c r="Y102" i="35" l="1"/>
  <c r="O101" i="35"/>
  <c r="U101" i="35"/>
  <c r="K100" i="35"/>
  <c r="AD39" i="13"/>
  <c r="U39" i="52"/>
  <c r="U102" i="35" l="1"/>
  <c r="K101" i="35"/>
  <c r="Y103" i="35"/>
  <c r="O102" i="35"/>
  <c r="I56" i="13"/>
  <c r="Y104" i="35" l="1"/>
  <c r="O103" i="35"/>
  <c r="U103" i="35"/>
  <c r="K102" i="35"/>
  <c r="N39" i="13"/>
  <c r="Q39" i="13" s="1"/>
  <c r="Z39" i="13" s="1"/>
  <c r="U104" i="35" l="1"/>
  <c r="K103" i="35"/>
  <c r="Y105" i="35"/>
  <c r="O104" i="35"/>
  <c r="AC39" i="13"/>
  <c r="T39" i="52"/>
  <c r="Y106" i="35" l="1"/>
  <c r="O105" i="35"/>
  <c r="U105" i="35"/>
  <c r="K104" i="35"/>
  <c r="X39" i="52"/>
  <c r="AD39" i="52"/>
  <c r="AE39" i="52" s="1"/>
  <c r="U106" i="35" l="1"/>
  <c r="K105" i="35"/>
  <c r="Y107" i="35"/>
  <c r="O106" i="35"/>
  <c r="M39" i="13"/>
  <c r="P39" i="13" s="1"/>
  <c r="Y39" i="13" s="1"/>
  <c r="J44" i="13"/>
  <c r="D42" i="13"/>
  <c r="F42" i="13" s="1"/>
  <c r="D41" i="13"/>
  <c r="D40" i="13"/>
  <c r="F40" i="13" s="1"/>
  <c r="Y108" i="35" l="1"/>
  <c r="O107" i="35"/>
  <c r="U107" i="35"/>
  <c r="K106" i="35"/>
  <c r="AB39" i="13"/>
  <c r="S39" i="52"/>
  <c r="Y39" i="52" s="1"/>
  <c r="L44" i="13"/>
  <c r="K44" i="13"/>
  <c r="F41" i="13"/>
  <c r="J41" i="13"/>
  <c r="Y109" i="35" l="1"/>
  <c r="O108" i="35"/>
  <c r="U108" i="35"/>
  <c r="K107" i="35"/>
  <c r="K41" i="13"/>
  <c r="J42" i="13"/>
  <c r="Y42" i="13" s="1"/>
  <c r="L41" i="13"/>
  <c r="U109" i="35" l="1"/>
  <c r="K108" i="35"/>
  <c r="Y110" i="35"/>
  <c r="O109" i="35"/>
  <c r="L42" i="13"/>
  <c r="AA42" i="13" s="1"/>
  <c r="K42" i="13"/>
  <c r="Z42" i="13" s="1"/>
  <c r="Y111" i="35" l="1"/>
  <c r="O110" i="35"/>
  <c r="U110" i="35"/>
  <c r="K109" i="35"/>
  <c r="N56" i="13"/>
  <c r="Q56" i="13" s="1"/>
  <c r="Z56" i="13" s="1"/>
  <c r="U111" i="35" l="1"/>
  <c r="K110" i="35"/>
  <c r="Y112" i="35"/>
  <c r="O111" i="35"/>
  <c r="AC56" i="13"/>
  <c r="T56" i="52"/>
  <c r="Y113" i="35" l="1"/>
  <c r="O112" i="35"/>
  <c r="U112" i="35"/>
  <c r="K111" i="35"/>
  <c r="X56" i="52"/>
  <c r="AD56" i="52"/>
  <c r="AE55" i="52" s="1"/>
  <c r="M56" i="13"/>
  <c r="P56" i="13" s="1"/>
  <c r="Y56" i="13" s="1"/>
  <c r="U113" i="35" l="1"/>
  <c r="K112" i="35"/>
  <c r="Y114" i="35"/>
  <c r="O113" i="35"/>
  <c r="S56" i="52"/>
  <c r="AB56" i="13"/>
  <c r="Y115" i="35" l="1"/>
  <c r="O114" i="35"/>
  <c r="U114" i="35"/>
  <c r="K113" i="35"/>
  <c r="AE41" i="13"/>
  <c r="AF41" i="13" s="1"/>
  <c r="V41" i="52" s="1"/>
  <c r="AE42" i="13"/>
  <c r="AF42" i="13" s="1"/>
  <c r="V42" i="52" s="1"/>
  <c r="U115" i="35" l="1"/>
  <c r="K114" i="35"/>
  <c r="Y116" i="35"/>
  <c r="O115" i="35"/>
  <c r="AC42" i="52"/>
  <c r="AB42" i="52"/>
  <c r="AB41" i="52"/>
  <c r="AC41" i="52"/>
  <c r="Y117" i="35" l="1"/>
  <c r="O116" i="35"/>
  <c r="U116" i="35"/>
  <c r="K115" i="35"/>
  <c r="AD42" i="13"/>
  <c r="U42" i="52"/>
  <c r="U117" i="35" l="1"/>
  <c r="K116" i="35"/>
  <c r="Y118" i="35"/>
  <c r="O117" i="35"/>
  <c r="O56" i="13"/>
  <c r="R56" i="13" s="1"/>
  <c r="AA56" i="13" s="1"/>
  <c r="I44" i="13"/>
  <c r="H44" i="13"/>
  <c r="G44" i="13"/>
  <c r="Y119" i="35" l="1"/>
  <c r="O118" i="35"/>
  <c r="U118" i="35"/>
  <c r="K117" i="35"/>
  <c r="AD56" i="13"/>
  <c r="AG56" i="13"/>
  <c r="U56" i="52"/>
  <c r="Y55" i="52" s="1"/>
  <c r="U119" i="35" l="1"/>
  <c r="K118" i="35"/>
  <c r="Y120" i="35"/>
  <c r="O119" i="35"/>
  <c r="AI55" i="13"/>
  <c r="AH56" i="13"/>
  <c r="Y121" i="35" l="1"/>
  <c r="O120" i="35"/>
  <c r="U120" i="35"/>
  <c r="K119" i="35"/>
  <c r="O42" i="13"/>
  <c r="U121" i="35" l="1"/>
  <c r="K120" i="35"/>
  <c r="Y122" i="35"/>
  <c r="O121" i="35"/>
  <c r="N41" i="13"/>
  <c r="Q41" i="13" s="1"/>
  <c r="Z41" i="13" s="1"/>
  <c r="Y123" i="35" l="1"/>
  <c r="O122" i="35"/>
  <c r="U122" i="35"/>
  <c r="K121" i="35"/>
  <c r="AC41" i="13"/>
  <c r="T41" i="52"/>
  <c r="X41" i="52" s="1"/>
  <c r="U123" i="35" l="1"/>
  <c r="K122" i="35"/>
  <c r="Y124" i="35"/>
  <c r="O123" i="35"/>
  <c r="AD41" i="52"/>
  <c r="Y125" i="35" l="1"/>
  <c r="O124" i="35"/>
  <c r="U124" i="35"/>
  <c r="K123" i="35"/>
  <c r="H41" i="13"/>
  <c r="U125" i="35" l="1"/>
  <c r="K124" i="35"/>
  <c r="Y126" i="35"/>
  <c r="O125" i="35"/>
  <c r="O41" i="13"/>
  <c r="R41" i="13" s="1"/>
  <c r="AA41" i="13" s="1"/>
  <c r="AD41" i="13" s="1"/>
  <c r="Y127" i="35" l="1"/>
  <c r="O126" i="35"/>
  <c r="U126" i="35"/>
  <c r="K125" i="35"/>
  <c r="U41" i="52"/>
  <c r="Y128" i="35" l="1"/>
  <c r="O127" i="35"/>
  <c r="U127" i="35"/>
  <c r="K126" i="35"/>
  <c r="O44" i="13"/>
  <c r="N44" i="13"/>
  <c r="G41" i="13"/>
  <c r="U128" i="35" l="1"/>
  <c r="K127" i="35"/>
  <c r="Y129" i="35"/>
  <c r="O128" i="35"/>
  <c r="R44" i="13"/>
  <c r="AA44" i="13" s="1"/>
  <c r="Q44" i="13"/>
  <c r="Z44" i="13" s="1"/>
  <c r="Y130" i="35" l="1"/>
  <c r="O129" i="35"/>
  <c r="U129" i="35"/>
  <c r="K128" i="35"/>
  <c r="U44" i="52"/>
  <c r="AD44" i="13"/>
  <c r="T44" i="52"/>
  <c r="X44" i="52" s="1"/>
  <c r="AC44" i="13"/>
  <c r="U130" i="35" l="1"/>
  <c r="K129" i="35"/>
  <c r="Y131" i="35"/>
  <c r="O130" i="35"/>
  <c r="AD44" i="52"/>
  <c r="Y132" i="35" l="1"/>
  <c r="O131" i="35"/>
  <c r="U131" i="35"/>
  <c r="K130" i="35"/>
  <c r="I41" i="13"/>
  <c r="U132" i="35" l="1"/>
  <c r="K131" i="35"/>
  <c r="Y133" i="35"/>
  <c r="O132" i="35"/>
  <c r="H45" i="13"/>
  <c r="Y134" i="35" l="1"/>
  <c r="O133" i="35"/>
  <c r="U133" i="35"/>
  <c r="K132" i="35"/>
  <c r="G45" i="13"/>
  <c r="U134" i="35" l="1"/>
  <c r="K133" i="35"/>
  <c r="Y135" i="35"/>
  <c r="O134" i="35"/>
  <c r="I45" i="13"/>
  <c r="Y136" i="35" l="1"/>
  <c r="O135" i="35"/>
  <c r="U135" i="35"/>
  <c r="K134" i="35"/>
  <c r="K40" i="13"/>
  <c r="J40" i="13"/>
  <c r="L40" i="13"/>
  <c r="U136" i="35" l="1"/>
  <c r="K135" i="35"/>
  <c r="Y137" i="35"/>
  <c r="O136" i="35"/>
  <c r="M46" i="13"/>
  <c r="P46" i="13" s="1"/>
  <c r="Y46" i="13" s="1"/>
  <c r="Y138" i="35" l="1"/>
  <c r="O137" i="35"/>
  <c r="U137" i="35"/>
  <c r="K136" i="35"/>
  <c r="AE40" i="13"/>
  <c r="AF40" i="13" s="1"/>
  <c r="V40" i="52" s="1"/>
  <c r="AB46" i="13"/>
  <c r="S46" i="52"/>
  <c r="AG46" i="13"/>
  <c r="AH46" i="13" s="1"/>
  <c r="U138" i="35" l="1"/>
  <c r="K137" i="35"/>
  <c r="Y139" i="35"/>
  <c r="O138" i="35"/>
  <c r="AB40" i="52"/>
  <c r="AC40" i="52"/>
  <c r="Y140" i="35" l="1"/>
  <c r="O139" i="35"/>
  <c r="U139" i="35"/>
  <c r="K138" i="35"/>
  <c r="M45" i="13"/>
  <c r="P45" i="13" s="1"/>
  <c r="Y45" i="13" s="1"/>
  <c r="N45" i="13"/>
  <c r="Q45" i="13" s="1"/>
  <c r="Z45" i="13" s="1"/>
  <c r="O45" i="13"/>
  <c r="R45" i="13" s="1"/>
  <c r="AA45" i="13" s="1"/>
  <c r="U140" i="35" l="1"/>
  <c r="K139" i="35"/>
  <c r="Y141" i="35"/>
  <c r="O140" i="35"/>
  <c r="U45" i="52"/>
  <c r="AD45" i="13"/>
  <c r="AJ44" i="13"/>
  <c r="T45" i="52"/>
  <c r="AC45" i="13"/>
  <c r="AG45" i="13"/>
  <c r="AH45" i="13" s="1"/>
  <c r="AB45" i="13"/>
  <c r="S45" i="52"/>
  <c r="Y142" i="35" l="1"/>
  <c r="O141" i="35"/>
  <c r="U141" i="35"/>
  <c r="K140" i="35"/>
  <c r="X45" i="52"/>
  <c r="AD45" i="52"/>
  <c r="AG37" i="13"/>
  <c r="AH37" i="13" s="1"/>
  <c r="AG38" i="13"/>
  <c r="AH38" i="13" s="1"/>
  <c r="AG39" i="13"/>
  <c r="AG43" i="13"/>
  <c r="AH43" i="13" s="1"/>
  <c r="AG47" i="13"/>
  <c r="AH47" i="13" s="1"/>
  <c r="U142" i="35" l="1"/>
  <c r="K141" i="35"/>
  <c r="Y143" i="35"/>
  <c r="O142" i="35"/>
  <c r="AI39" i="13"/>
  <c r="AH39" i="13"/>
  <c r="Y144" i="35" l="1"/>
  <c r="O143" i="35"/>
  <c r="U143" i="35"/>
  <c r="K142" i="35"/>
  <c r="D51" i="13"/>
  <c r="F51" i="13" s="1"/>
  <c r="D50" i="13"/>
  <c r="F50" i="13" s="1"/>
  <c r="D49" i="13"/>
  <c r="D48" i="13"/>
  <c r="C51" i="13"/>
  <c r="C50" i="13"/>
  <c r="C49" i="13"/>
  <c r="C48" i="13"/>
  <c r="U144" i="35" l="1"/>
  <c r="K143" i="35"/>
  <c r="Y145" i="35"/>
  <c r="O144" i="35"/>
  <c r="F49" i="13"/>
  <c r="F48" i="13"/>
  <c r="Y146" i="35" l="1"/>
  <c r="O145" i="35"/>
  <c r="U145" i="35"/>
  <c r="K144" i="35"/>
  <c r="K48" i="13"/>
  <c r="AE44" i="52"/>
  <c r="J50" i="13"/>
  <c r="J48" i="13"/>
  <c r="L48" i="13"/>
  <c r="U146" i="35" l="1"/>
  <c r="K145" i="35"/>
  <c r="Y147" i="35"/>
  <c r="O146" i="35"/>
  <c r="K50" i="13"/>
  <c r="J49" i="13"/>
  <c r="L49" i="13"/>
  <c r="K49" i="13"/>
  <c r="L50" i="13"/>
  <c r="J51" i="13"/>
  <c r="K51" i="13"/>
  <c r="L51" i="13"/>
  <c r="D16" i="13"/>
  <c r="F16" i="13" s="1"/>
  <c r="D15" i="13"/>
  <c r="D14" i="13"/>
  <c r="F14" i="13" s="1"/>
  <c r="D13" i="13"/>
  <c r="F13" i="13" s="1"/>
  <c r="D12" i="13"/>
  <c r="F12" i="13" s="1"/>
  <c r="C16" i="13"/>
  <c r="C15" i="13"/>
  <c r="C14" i="13"/>
  <c r="C13" i="13"/>
  <c r="C12" i="13"/>
  <c r="Y148" i="35" l="1"/>
  <c r="O147" i="35"/>
  <c r="U147" i="35"/>
  <c r="K146" i="35"/>
  <c r="F15" i="13"/>
  <c r="U148" i="35" l="1"/>
  <c r="K147" i="35"/>
  <c r="Y149" i="35"/>
  <c r="O148" i="35"/>
  <c r="I40" i="13"/>
  <c r="H40" i="13"/>
  <c r="G40" i="13"/>
  <c r="Y150" i="35" l="1"/>
  <c r="O149" i="35"/>
  <c r="U149" i="35"/>
  <c r="K148" i="35"/>
  <c r="M44" i="13"/>
  <c r="I33" i="13"/>
  <c r="H33" i="13"/>
  <c r="U150" i="35" l="1"/>
  <c r="K149" i="35"/>
  <c r="Y151" i="35"/>
  <c r="O150" i="35"/>
  <c r="AE48" i="13"/>
  <c r="AF48" i="13" s="1"/>
  <c r="V48" i="52" s="1"/>
  <c r="T42" i="52"/>
  <c r="X42" i="52" s="1"/>
  <c r="AC42" i="13"/>
  <c r="Y152" i="35" l="1"/>
  <c r="O151" i="35"/>
  <c r="U151" i="35"/>
  <c r="K150" i="35"/>
  <c r="AB48" i="52"/>
  <c r="AC48" i="52"/>
  <c r="AE51" i="13"/>
  <c r="AF51" i="13" s="1"/>
  <c r="V51" i="52" s="1"/>
  <c r="AE50" i="13"/>
  <c r="AF50" i="13" s="1"/>
  <c r="V50" i="52" s="1"/>
  <c r="AE49" i="13"/>
  <c r="AF49" i="13" s="1"/>
  <c r="V49" i="52" s="1"/>
  <c r="AC51" i="52"/>
  <c r="AB51" i="52"/>
  <c r="AD42" i="52"/>
  <c r="U152" i="35" l="1"/>
  <c r="K151" i="35"/>
  <c r="Y153" i="35"/>
  <c r="O152" i="35"/>
  <c r="AC49" i="52"/>
  <c r="AB49" i="52"/>
  <c r="AB50" i="52"/>
  <c r="AC50" i="52"/>
  <c r="P44" i="13"/>
  <c r="Y44" i="13" s="1"/>
  <c r="Y154" i="35" l="1"/>
  <c r="O153" i="35"/>
  <c r="U153" i="35"/>
  <c r="K152" i="35"/>
  <c r="S44" i="52"/>
  <c r="Y44" i="52" s="1"/>
  <c r="AB44" i="13"/>
  <c r="AG44" i="13"/>
  <c r="U154" i="35" l="1"/>
  <c r="K153" i="35"/>
  <c r="Y155" i="35"/>
  <c r="O154" i="35"/>
  <c r="AI44" i="13"/>
  <c r="Y156" i="35" l="1"/>
  <c r="O155" i="35"/>
  <c r="U155" i="35"/>
  <c r="K154" i="35"/>
  <c r="N48" i="13"/>
  <c r="U156" i="35" l="1"/>
  <c r="K155" i="35"/>
  <c r="Y157" i="35"/>
  <c r="O156" i="35"/>
  <c r="H32" i="13"/>
  <c r="H30" i="13"/>
  <c r="Y158" i="35" l="1"/>
  <c r="O157" i="35"/>
  <c r="U157" i="35"/>
  <c r="K156" i="35"/>
  <c r="G33" i="13"/>
  <c r="U158" i="35" l="1"/>
  <c r="K157" i="35"/>
  <c r="Y159" i="35"/>
  <c r="O158" i="35"/>
  <c r="H36" i="13"/>
  <c r="I30" i="13"/>
  <c r="Y160" i="35" l="1"/>
  <c r="O159" i="35"/>
  <c r="U159" i="35"/>
  <c r="K158" i="35"/>
  <c r="G32" i="13"/>
  <c r="I36" i="13"/>
  <c r="G36" i="13"/>
  <c r="U160" i="35" l="1"/>
  <c r="K159" i="35"/>
  <c r="Y161" i="35"/>
  <c r="O160" i="35"/>
  <c r="G30" i="13"/>
  <c r="Y162" i="35" l="1"/>
  <c r="O161" i="35"/>
  <c r="U161" i="35"/>
  <c r="K160" i="35"/>
  <c r="I32" i="13"/>
  <c r="Y163" i="35" l="1"/>
  <c r="O162" i="35"/>
  <c r="U162" i="35"/>
  <c r="K161" i="35"/>
  <c r="H53" i="13"/>
  <c r="U163" i="35" l="1"/>
  <c r="K162" i="35"/>
  <c r="Y164" i="35"/>
  <c r="O163" i="35"/>
  <c r="G53" i="13"/>
  <c r="M41" i="13"/>
  <c r="P41" i="13" s="1"/>
  <c r="Y41" i="13" s="1"/>
  <c r="Y165" i="35" l="1"/>
  <c r="O164" i="35"/>
  <c r="U164" i="35"/>
  <c r="K163" i="35"/>
  <c r="I53" i="13"/>
  <c r="S41" i="52"/>
  <c r="AG41" i="13"/>
  <c r="AH41" i="13" s="1"/>
  <c r="AB41" i="13"/>
  <c r="U165" i="35" l="1"/>
  <c r="K164" i="35"/>
  <c r="Y166" i="35"/>
  <c r="O165" i="35"/>
  <c r="H31" i="13"/>
  <c r="Y167" i="35" l="1"/>
  <c r="O166" i="35"/>
  <c r="U166" i="35"/>
  <c r="K165" i="35"/>
  <c r="G51" i="13"/>
  <c r="U167" i="35" l="1"/>
  <c r="K166" i="35"/>
  <c r="Y168" i="35"/>
  <c r="O167" i="35"/>
  <c r="G48" i="13"/>
  <c r="Y169" i="35" l="1"/>
  <c r="O168" i="35"/>
  <c r="U168" i="35"/>
  <c r="K167" i="35"/>
  <c r="I51" i="13"/>
  <c r="U169" i="35" l="1"/>
  <c r="K168" i="35"/>
  <c r="Y170" i="35"/>
  <c r="O169" i="35"/>
  <c r="H51" i="13"/>
  <c r="Y171" i="35" l="1"/>
  <c r="O170" i="35"/>
  <c r="U170" i="35"/>
  <c r="K169" i="35"/>
  <c r="G31" i="13"/>
  <c r="U171" i="35" l="1"/>
  <c r="K170" i="35"/>
  <c r="Y172" i="35"/>
  <c r="O171" i="35"/>
  <c r="I31" i="13"/>
  <c r="Y173" i="35" l="1"/>
  <c r="O172" i="35"/>
  <c r="U172" i="35"/>
  <c r="K171" i="35"/>
  <c r="O40" i="13"/>
  <c r="R40" i="13" s="1"/>
  <c r="AA40" i="13" s="1"/>
  <c r="U173" i="35" l="1"/>
  <c r="K172" i="35"/>
  <c r="Y174" i="35"/>
  <c r="O173" i="35"/>
  <c r="I35" i="13"/>
  <c r="AD40" i="13"/>
  <c r="U40" i="52"/>
  <c r="Y175" i="35" l="1"/>
  <c r="O174" i="35"/>
  <c r="U174" i="35"/>
  <c r="K173" i="35"/>
  <c r="H35" i="13"/>
  <c r="U175" i="35" l="1"/>
  <c r="K174" i="35"/>
  <c r="Y176" i="35"/>
  <c r="O175" i="35"/>
  <c r="N40" i="13"/>
  <c r="Q40" i="13" s="1"/>
  <c r="Z40" i="13" s="1"/>
  <c r="Y177" i="35" l="1"/>
  <c r="O176" i="35"/>
  <c r="U176" i="35"/>
  <c r="K175" i="35"/>
  <c r="T40" i="52"/>
  <c r="X40" i="52" s="1"/>
  <c r="AC40" i="13"/>
  <c r="AJ40" i="13"/>
  <c r="U177" i="35" l="1"/>
  <c r="K176" i="35"/>
  <c r="Y178" i="35"/>
  <c r="O177" i="35"/>
  <c r="AD40" i="52"/>
  <c r="AE40" i="52" s="1"/>
  <c r="Y179" i="35" l="1"/>
  <c r="O178" i="35"/>
  <c r="U178" i="35"/>
  <c r="K177" i="35"/>
  <c r="I42" i="13"/>
  <c r="I48" i="13"/>
  <c r="U179" i="35" l="1"/>
  <c r="K178" i="35"/>
  <c r="Y180" i="35"/>
  <c r="O179" i="35"/>
  <c r="G42" i="13"/>
  <c r="Y181" i="35" l="1"/>
  <c r="O180" i="35"/>
  <c r="U180" i="35"/>
  <c r="K179" i="35"/>
  <c r="H42" i="13"/>
  <c r="H54" i="13"/>
  <c r="U181" i="35" l="1"/>
  <c r="K180" i="35"/>
  <c r="Y182" i="35"/>
  <c r="O181" i="35"/>
  <c r="H34" i="13"/>
  <c r="Y183" i="35" l="1"/>
  <c r="O182" i="35"/>
  <c r="U182" i="35"/>
  <c r="K181" i="35"/>
  <c r="G54" i="13"/>
  <c r="U183" i="35" l="1"/>
  <c r="K182" i="35"/>
  <c r="Y184" i="35"/>
  <c r="O183" i="35"/>
  <c r="G35" i="13"/>
  <c r="I54" i="13"/>
  <c r="Y185" i="35" l="1"/>
  <c r="O184" i="35"/>
  <c r="U184" i="35"/>
  <c r="K183" i="35"/>
  <c r="I34" i="13"/>
  <c r="U185" i="35" l="1"/>
  <c r="K184" i="35"/>
  <c r="Y186" i="35"/>
  <c r="O185" i="35"/>
  <c r="G34" i="13"/>
  <c r="Y187" i="35" l="1"/>
  <c r="O186" i="35"/>
  <c r="U186" i="35"/>
  <c r="K185" i="35"/>
  <c r="L12" i="61"/>
  <c r="N12" i="61"/>
  <c r="M12" i="61"/>
  <c r="AB42" i="13"/>
  <c r="S42" i="52"/>
  <c r="AG42" i="13"/>
  <c r="U187" i="35" l="1"/>
  <c r="K186" i="35"/>
  <c r="Y188" i="35"/>
  <c r="O187" i="35"/>
  <c r="T11" i="61"/>
  <c r="Q11" i="61" s="1"/>
  <c r="S11" i="61"/>
  <c r="P11" i="61" s="1"/>
  <c r="M13" i="61"/>
  <c r="N13" i="61"/>
  <c r="L13" i="61"/>
  <c r="L12" i="13"/>
  <c r="J12" i="13"/>
  <c r="AH42" i="13"/>
  <c r="L15" i="13"/>
  <c r="J15" i="13"/>
  <c r="K15" i="13"/>
  <c r="L14" i="13"/>
  <c r="K14" i="13"/>
  <c r="J14" i="13"/>
  <c r="K13" i="13"/>
  <c r="J13" i="13"/>
  <c r="L13" i="13"/>
  <c r="Y189" i="35" l="1"/>
  <c r="O188" i="35"/>
  <c r="U188" i="35"/>
  <c r="K187" i="35"/>
  <c r="S12" i="61"/>
  <c r="P12" i="61" s="1"/>
  <c r="T12" i="61"/>
  <c r="Q12" i="61" s="1"/>
  <c r="L14" i="61"/>
  <c r="N14" i="61"/>
  <c r="M14" i="61"/>
  <c r="M40" i="13"/>
  <c r="P40" i="13" s="1"/>
  <c r="Y40" i="13" s="1"/>
  <c r="K12" i="13"/>
  <c r="L16" i="13"/>
  <c r="K16" i="13"/>
  <c r="J16" i="13"/>
  <c r="U189" i="35" l="1"/>
  <c r="K188" i="35"/>
  <c r="Y190" i="35"/>
  <c r="O189" i="35"/>
  <c r="T13" i="61"/>
  <c r="Q13" i="61" s="1"/>
  <c r="S13" i="61"/>
  <c r="P13" i="61" s="1"/>
  <c r="M15" i="61"/>
  <c r="N15" i="61"/>
  <c r="R10" i="61"/>
  <c r="L15" i="61"/>
  <c r="S40" i="52"/>
  <c r="Y40" i="52" s="1"/>
  <c r="AB40" i="13"/>
  <c r="AG40" i="13"/>
  <c r="U190" i="35" l="1"/>
  <c r="K189" i="35"/>
  <c r="Y191" i="35"/>
  <c r="O190" i="35"/>
  <c r="S14" i="61"/>
  <c r="P14" i="61" s="1"/>
  <c r="T14" i="61"/>
  <c r="Q14" i="61" s="1"/>
  <c r="N16" i="61"/>
  <c r="R11" i="61"/>
  <c r="O11" i="61" s="1"/>
  <c r="L16" i="61"/>
  <c r="M16" i="61"/>
  <c r="AH40" i="13"/>
  <c r="AI40" i="13"/>
  <c r="Y192" i="35" l="1"/>
  <c r="O191" i="35"/>
  <c r="U191" i="35"/>
  <c r="K190" i="35"/>
  <c r="T15" i="61"/>
  <c r="Q15" i="61" s="1"/>
  <c r="S15" i="61"/>
  <c r="P15" i="61" s="1"/>
  <c r="L17" i="61"/>
  <c r="R12" i="61"/>
  <c r="O12" i="61" s="1"/>
  <c r="M17" i="61"/>
  <c r="N17" i="61"/>
  <c r="D18" i="13"/>
  <c r="F18" i="13" s="1"/>
  <c r="D17" i="13"/>
  <c r="F17" i="13" s="1"/>
  <c r="C18" i="13"/>
  <c r="C17" i="13"/>
  <c r="D54" i="13"/>
  <c r="D53" i="13"/>
  <c r="F53" i="13" s="1"/>
  <c r="D52" i="13"/>
  <c r="F52" i="13" s="1"/>
  <c r="D36" i="13"/>
  <c r="D35" i="13"/>
  <c r="F35" i="13" s="1"/>
  <c r="D34" i="13"/>
  <c r="F34" i="13" s="1"/>
  <c r="D33" i="13"/>
  <c r="D32" i="13"/>
  <c r="D31" i="13"/>
  <c r="D30" i="13"/>
  <c r="D29" i="13"/>
  <c r="D28" i="13"/>
  <c r="D27" i="13"/>
  <c r="D26" i="13"/>
  <c r="F26" i="13" s="1"/>
  <c r="D25" i="13"/>
  <c r="D24" i="13"/>
  <c r="D23" i="13"/>
  <c r="D22" i="13"/>
  <c r="D21" i="13"/>
  <c r="D20" i="13"/>
  <c r="F20" i="13" s="1"/>
  <c r="D19" i="13"/>
  <c r="U192" i="35" l="1"/>
  <c r="K191" i="35"/>
  <c r="Y193" i="35"/>
  <c r="O192" i="35"/>
  <c r="S16" i="61"/>
  <c r="P16" i="61" s="1"/>
  <c r="T16" i="61"/>
  <c r="Q16" i="61" s="1"/>
  <c r="R13" i="61"/>
  <c r="O13" i="61" s="1"/>
  <c r="Y194" i="35" l="1"/>
  <c r="O193" i="35"/>
  <c r="U193" i="35"/>
  <c r="K192" i="35"/>
  <c r="T17" i="61"/>
  <c r="Q17" i="61" s="1"/>
  <c r="S17" i="61"/>
  <c r="P17" i="61" s="1"/>
  <c r="R14" i="61"/>
  <c r="O14" i="61" s="1"/>
  <c r="AE15" i="13"/>
  <c r="AF15" i="13" s="1"/>
  <c r="V15" i="52" s="1"/>
  <c r="AB15" i="52" s="1"/>
  <c r="AE14" i="13"/>
  <c r="AF14" i="13" s="1"/>
  <c r="V14" i="52" s="1"/>
  <c r="AB14" i="52" s="1"/>
  <c r="AE13" i="13"/>
  <c r="AF13" i="13" s="1"/>
  <c r="V13" i="52" s="1"/>
  <c r="AB13" i="52" s="1"/>
  <c r="L17" i="13"/>
  <c r="K17" i="13"/>
  <c r="J17" i="13"/>
  <c r="J18" i="13"/>
  <c r="L18" i="13"/>
  <c r="K18" i="13"/>
  <c r="U194" i="35" l="1"/>
  <c r="K193" i="35"/>
  <c r="Y195" i="35"/>
  <c r="O194" i="35"/>
  <c r="S18" i="61"/>
  <c r="P18" i="61" s="1"/>
  <c r="T18" i="61"/>
  <c r="Q18" i="61" s="1"/>
  <c r="R15" i="61"/>
  <c r="O15" i="61" s="1"/>
  <c r="AE16" i="13"/>
  <c r="AF16" i="13" s="1"/>
  <c r="V16" i="52" s="1"/>
  <c r="AB16" i="52" s="1"/>
  <c r="AC15" i="52"/>
  <c r="AC14" i="52"/>
  <c r="AC13" i="52"/>
  <c r="Y196" i="35" l="1"/>
  <c r="O195" i="35"/>
  <c r="U195" i="35"/>
  <c r="K194" i="35"/>
  <c r="T19" i="61"/>
  <c r="Q19" i="61" s="1"/>
  <c r="S19" i="61"/>
  <c r="P19" i="61" s="1"/>
  <c r="R16" i="61"/>
  <c r="O16" i="61" s="1"/>
  <c r="AC16" i="52"/>
  <c r="U196" i="35" l="1"/>
  <c r="K195" i="35"/>
  <c r="Y197" i="35"/>
  <c r="O196" i="35"/>
  <c r="S20" i="61"/>
  <c r="T20" i="61"/>
  <c r="R17" i="61"/>
  <c r="O17" i="61" s="1"/>
  <c r="AE12" i="13"/>
  <c r="AF12" i="13" s="1"/>
  <c r="V12" i="52" s="1"/>
  <c r="AB12" i="52" s="1"/>
  <c r="Y198" i="35" l="1"/>
  <c r="O197" i="35"/>
  <c r="U197" i="35"/>
  <c r="K196" i="35"/>
  <c r="T21" i="61"/>
  <c r="S21" i="61"/>
  <c r="R18" i="61"/>
  <c r="O18" i="61" s="1"/>
  <c r="AC12" i="52"/>
  <c r="U198" i="35" l="1"/>
  <c r="K197" i="35"/>
  <c r="Y199" i="35"/>
  <c r="O198" i="35"/>
  <c r="S22" i="61"/>
  <c r="T22" i="61"/>
  <c r="R19" i="61"/>
  <c r="O19" i="61" s="1"/>
  <c r="AE52" i="13"/>
  <c r="Y200" i="35" l="1"/>
  <c r="O199" i="35"/>
  <c r="U199" i="35"/>
  <c r="K198" i="35"/>
  <c r="T23" i="61"/>
  <c r="S23" i="61"/>
  <c r="R20" i="61"/>
  <c r="U200" i="35" l="1"/>
  <c r="K199" i="35"/>
  <c r="Y201" i="35"/>
  <c r="O200" i="35"/>
  <c r="S24" i="61"/>
  <c r="T24" i="61"/>
  <c r="M18" i="61"/>
  <c r="R21" i="61"/>
  <c r="Y202" i="35" l="1"/>
  <c r="O201" i="35"/>
  <c r="U201" i="35"/>
  <c r="K200" i="35"/>
  <c r="T25" i="61"/>
  <c r="S25" i="61"/>
  <c r="R22" i="61"/>
  <c r="N18" i="61"/>
  <c r="L18" i="61"/>
  <c r="M19" i="61"/>
  <c r="U202" i="35" l="1"/>
  <c r="K201" i="35"/>
  <c r="Y203" i="35"/>
  <c r="O202" i="35"/>
  <c r="S26" i="61"/>
  <c r="T26" i="61"/>
  <c r="L19" i="61"/>
  <c r="R23" i="61"/>
  <c r="F19" i="13"/>
  <c r="C19" i="13"/>
  <c r="B54" i="13"/>
  <c r="C54" i="13"/>
  <c r="C53" i="13"/>
  <c r="B52" i="13"/>
  <c r="C52" i="13"/>
  <c r="B36" i="13"/>
  <c r="C36" i="13"/>
  <c r="C35" i="13"/>
  <c r="C34" i="13"/>
  <c r="C33" i="13"/>
  <c r="B32" i="13"/>
  <c r="C32" i="13"/>
  <c r="C31" i="13"/>
  <c r="B30" i="13"/>
  <c r="C30" i="13"/>
  <c r="Y204" i="35" l="1"/>
  <c r="O203" i="35"/>
  <c r="U203" i="35"/>
  <c r="K202" i="35"/>
  <c r="T27" i="61"/>
  <c r="S27" i="61"/>
  <c r="N19" i="61"/>
  <c r="R24" i="61"/>
  <c r="AE17" i="13"/>
  <c r="AF17" i="13" s="1"/>
  <c r="V17" i="52" s="1"/>
  <c r="U204" i="35" l="1"/>
  <c r="K203" i="35"/>
  <c r="Y205" i="35"/>
  <c r="O204" i="35"/>
  <c r="S28" i="61"/>
  <c r="T28" i="61"/>
  <c r="R25" i="61"/>
  <c r="AE18" i="13"/>
  <c r="AF18" i="13" s="1"/>
  <c r="V18" i="52" s="1"/>
  <c r="AB17" i="52"/>
  <c r="AC17" i="52"/>
  <c r="L54" i="13"/>
  <c r="B29" i="13"/>
  <c r="B25" i="13"/>
  <c r="B17" i="13"/>
  <c r="C29" i="13"/>
  <c r="C28" i="13"/>
  <c r="C27" i="13"/>
  <c r="C26" i="13"/>
  <c r="C25" i="13"/>
  <c r="C24" i="13"/>
  <c r="C23" i="13"/>
  <c r="C22" i="13"/>
  <c r="C21" i="13"/>
  <c r="C20" i="13"/>
  <c r="Y206" i="35" l="1"/>
  <c r="O205" i="35"/>
  <c r="U205" i="35"/>
  <c r="K204" i="35"/>
  <c r="T29" i="61"/>
  <c r="S29" i="61"/>
  <c r="R26" i="61"/>
  <c r="AB18" i="52"/>
  <c r="AC18" i="52"/>
  <c r="J54" i="13"/>
  <c r="K54" i="13"/>
  <c r="J36" i="13"/>
  <c r="L34" i="13"/>
  <c r="J30" i="13"/>
  <c r="L36" i="13"/>
  <c r="L32" i="13"/>
  <c r="J32" i="13"/>
  <c r="J34" i="13"/>
  <c r="L30" i="13"/>
  <c r="K30" i="13"/>
  <c r="K52" i="13"/>
  <c r="AF52" i="13" s="1"/>
  <c r="J52" i="13"/>
  <c r="L53" i="13"/>
  <c r="J53" i="13"/>
  <c r="F30" i="13"/>
  <c r="F25" i="13"/>
  <c r="F22" i="13"/>
  <c r="F21" i="13"/>
  <c r="F23" i="13"/>
  <c r="F29" i="13"/>
  <c r="F28" i="13"/>
  <c r="F27" i="13"/>
  <c r="F24" i="13"/>
  <c r="U206" i="35" l="1"/>
  <c r="K205" i="35"/>
  <c r="Y207" i="35"/>
  <c r="O206" i="35"/>
  <c r="R27" i="61"/>
  <c r="V52" i="52"/>
  <c r="K53" i="13"/>
  <c r="K32" i="13"/>
  <c r="K36" i="13"/>
  <c r="K34" i="13"/>
  <c r="L52" i="13"/>
  <c r="L33" i="13"/>
  <c r="J35" i="13"/>
  <c r="J31" i="13"/>
  <c r="J33" i="13"/>
  <c r="L35" i="13"/>
  <c r="L31" i="13"/>
  <c r="K33" i="13"/>
  <c r="K35" i="13"/>
  <c r="K31" i="13"/>
  <c r="F31" i="13"/>
  <c r="L19" i="13"/>
  <c r="J19" i="13"/>
  <c r="K19" i="13"/>
  <c r="U207" i="35" l="1"/>
  <c r="K206" i="35"/>
  <c r="Y208" i="35"/>
  <c r="O207" i="35"/>
  <c r="R28" i="61"/>
  <c r="AC52" i="52"/>
  <c r="AB52" i="52"/>
  <c r="F32" i="13"/>
  <c r="Y209" i="35" l="1"/>
  <c r="O208" i="35"/>
  <c r="U208" i="35"/>
  <c r="K207" i="35"/>
  <c r="M21" i="61"/>
  <c r="R29" i="61"/>
  <c r="F33" i="13"/>
  <c r="U209" i="35" l="1"/>
  <c r="K208" i="35"/>
  <c r="Y210" i="35"/>
  <c r="O209" i="35"/>
  <c r="K20" i="13"/>
  <c r="Y211" i="35" l="1"/>
  <c r="O210" i="35"/>
  <c r="U210" i="35"/>
  <c r="K209" i="35"/>
  <c r="L21" i="61"/>
  <c r="L23" i="13"/>
  <c r="L22" i="13"/>
  <c r="J20" i="13"/>
  <c r="L20" i="13"/>
  <c r="K22" i="13"/>
  <c r="J22" i="13"/>
  <c r="K23" i="13"/>
  <c r="J21" i="13"/>
  <c r="L21" i="13"/>
  <c r="K21" i="13"/>
  <c r="J23" i="13"/>
  <c r="U211" i="35" l="1"/>
  <c r="K210" i="35"/>
  <c r="Y212" i="35"/>
  <c r="O211" i="35"/>
  <c r="N21" i="61"/>
  <c r="F36" i="13"/>
  <c r="U212" i="35" l="1"/>
  <c r="K211" i="35"/>
  <c r="Y213" i="35"/>
  <c r="O212" i="35"/>
  <c r="G16" i="13"/>
  <c r="Y214" i="35" l="1"/>
  <c r="O213" i="35"/>
  <c r="U213" i="35"/>
  <c r="K212" i="35"/>
  <c r="F54" i="13"/>
  <c r="U214" i="35" l="1"/>
  <c r="K213" i="35"/>
  <c r="Y215" i="35"/>
  <c r="O214" i="35"/>
  <c r="Y216" i="35" l="1"/>
  <c r="O215" i="35"/>
  <c r="U215" i="35"/>
  <c r="K214" i="35"/>
  <c r="AE19" i="13"/>
  <c r="AF19" i="13" s="1"/>
  <c r="V19" i="52" s="1"/>
  <c r="K24" i="13"/>
  <c r="L24" i="13"/>
  <c r="J24" i="13"/>
  <c r="U216" i="35" l="1"/>
  <c r="K215" i="35"/>
  <c r="Y217" i="35"/>
  <c r="Y218" i="35" s="1"/>
  <c r="O216" i="35"/>
  <c r="AB19" i="52"/>
  <c r="AC19" i="52"/>
  <c r="Y219" i="35" l="1"/>
  <c r="O218" i="35"/>
  <c r="O217" i="35"/>
  <c r="U217" i="35"/>
  <c r="U218" i="35" s="1"/>
  <c r="K216" i="35"/>
  <c r="AE33" i="13"/>
  <c r="AF33" i="13" s="1"/>
  <c r="V33" i="52" s="1"/>
  <c r="U219" i="35" l="1"/>
  <c r="K218" i="35"/>
  <c r="Y220" i="35"/>
  <c r="O219" i="35"/>
  <c r="K217" i="35"/>
  <c r="AE54" i="13"/>
  <c r="AF54" i="13" s="1"/>
  <c r="V54" i="52" s="1"/>
  <c r="AE35" i="13"/>
  <c r="AF35" i="13" s="1"/>
  <c r="V35" i="52" s="1"/>
  <c r="AE34" i="13"/>
  <c r="AF34" i="13" s="1"/>
  <c r="V34" i="52" s="1"/>
  <c r="AB34" i="52" s="1"/>
  <c r="AC33" i="52"/>
  <c r="AB33" i="52"/>
  <c r="K25" i="13"/>
  <c r="L25" i="13"/>
  <c r="J25" i="13"/>
  <c r="Y221" i="35" l="1"/>
  <c r="O220" i="35"/>
  <c r="U220" i="35"/>
  <c r="K219" i="35"/>
  <c r="AB54" i="52"/>
  <c r="AC54" i="52"/>
  <c r="AE53" i="13"/>
  <c r="AF53" i="13" s="1"/>
  <c r="V53" i="52" s="1"/>
  <c r="AE36" i="13"/>
  <c r="AF36" i="13" s="1"/>
  <c r="V36" i="52" s="1"/>
  <c r="AE32" i="13"/>
  <c r="AF32" i="13" s="1"/>
  <c r="V32" i="52" s="1"/>
  <c r="AE31" i="13"/>
  <c r="AF31" i="13" s="1"/>
  <c r="V31" i="52" s="1"/>
  <c r="AE30" i="13"/>
  <c r="AF30" i="13" s="1"/>
  <c r="V30" i="52" s="1"/>
  <c r="AC34" i="52"/>
  <c r="AC36" i="52"/>
  <c r="AB36" i="52"/>
  <c r="AB35" i="52"/>
  <c r="AC35" i="52"/>
  <c r="K27" i="13"/>
  <c r="L27" i="13"/>
  <c r="J27" i="13"/>
  <c r="J26" i="13"/>
  <c r="L26" i="13"/>
  <c r="K26" i="13"/>
  <c r="K28" i="13"/>
  <c r="L28" i="13"/>
  <c r="J28" i="13"/>
  <c r="J29" i="13"/>
  <c r="L29" i="13"/>
  <c r="K29" i="13"/>
  <c r="U221" i="35" l="1"/>
  <c r="K220" i="35"/>
  <c r="Y222" i="35"/>
  <c r="O221" i="35"/>
  <c r="L12" i="35"/>
  <c r="N12" i="35"/>
  <c r="M12" i="35"/>
  <c r="AB30" i="52"/>
  <c r="AC30" i="52"/>
  <c r="AC31" i="52"/>
  <c r="AB31" i="52"/>
  <c r="AB32" i="52"/>
  <c r="AC32" i="52"/>
  <c r="AC53" i="52"/>
  <c r="AB53" i="52"/>
  <c r="AE23" i="13"/>
  <c r="AF23" i="13" s="1"/>
  <c r="V23" i="52" s="1"/>
  <c r="AE20" i="13"/>
  <c r="AF20" i="13" s="1"/>
  <c r="V20" i="52" s="1"/>
  <c r="AE21" i="13"/>
  <c r="AE22" i="13"/>
  <c r="AF22" i="13" s="1"/>
  <c r="V22" i="52" s="1"/>
  <c r="Y223" i="35" l="1"/>
  <c r="O222" i="35"/>
  <c r="U222" i="35"/>
  <c r="K221" i="35"/>
  <c r="M13" i="35"/>
  <c r="N13" i="35"/>
  <c r="L13" i="35"/>
  <c r="AC23" i="52"/>
  <c r="AB23" i="52"/>
  <c r="AC22" i="52"/>
  <c r="AB22" i="52"/>
  <c r="AB20" i="52"/>
  <c r="AC20" i="52"/>
  <c r="Y224" i="35" l="1"/>
  <c r="O223" i="35"/>
  <c r="U223" i="35"/>
  <c r="K222" i="35"/>
  <c r="L14" i="35"/>
  <c r="N14" i="35"/>
  <c r="M14" i="35"/>
  <c r="U224" i="35" l="1"/>
  <c r="K223" i="35"/>
  <c r="Y225" i="35"/>
  <c r="O224" i="35"/>
  <c r="M15" i="35"/>
  <c r="N15" i="35"/>
  <c r="L15" i="35"/>
  <c r="U225" i="35" l="1"/>
  <c r="K224" i="35"/>
  <c r="Y226" i="35"/>
  <c r="O225" i="35"/>
  <c r="L16" i="35"/>
  <c r="N16" i="35"/>
  <c r="M16" i="35"/>
  <c r="F12" i="61"/>
  <c r="G12" i="61"/>
  <c r="H12" i="61"/>
  <c r="H14" i="13"/>
  <c r="Y227" i="35" l="1"/>
  <c r="O226" i="35"/>
  <c r="U226" i="35"/>
  <c r="K225" i="35"/>
  <c r="M17" i="35"/>
  <c r="N17" i="35"/>
  <c r="L17" i="35"/>
  <c r="K12" i="61"/>
  <c r="I12" i="61"/>
  <c r="J12" i="61"/>
  <c r="AE24" i="13"/>
  <c r="AF24" i="13" s="1"/>
  <c r="V24" i="52" s="1"/>
  <c r="C12" i="35"/>
  <c r="U227" i="35" l="1"/>
  <c r="K226" i="35"/>
  <c r="Y228" i="35"/>
  <c r="O227" i="35"/>
  <c r="L18" i="35"/>
  <c r="N18" i="35"/>
  <c r="M18" i="35"/>
  <c r="AC24" i="52"/>
  <c r="AB24" i="52"/>
  <c r="I14" i="13"/>
  <c r="E12" i="35"/>
  <c r="C13" i="35"/>
  <c r="U228" i="35" l="1"/>
  <c r="K227" i="35"/>
  <c r="Y229" i="35"/>
  <c r="O228" i="35"/>
  <c r="J12" i="35"/>
  <c r="F12" i="35"/>
  <c r="I12" i="35"/>
  <c r="G12" i="35"/>
  <c r="H12" i="35"/>
  <c r="M19" i="35"/>
  <c r="N19" i="35"/>
  <c r="L19" i="35"/>
  <c r="C14" i="35"/>
  <c r="E13" i="35"/>
  <c r="U229" i="35" l="1"/>
  <c r="K228" i="35"/>
  <c r="Y230" i="35"/>
  <c r="O229" i="35"/>
  <c r="J13" i="35"/>
  <c r="F13" i="35"/>
  <c r="H13" i="35"/>
  <c r="I13" i="35"/>
  <c r="G13" i="35"/>
  <c r="L20" i="35"/>
  <c r="N20" i="35"/>
  <c r="M20" i="35"/>
  <c r="AE26" i="13"/>
  <c r="AF26" i="13" s="1"/>
  <c r="V26" i="52" s="1"/>
  <c r="AE27" i="13"/>
  <c r="AF27" i="13" s="1"/>
  <c r="V27" i="52" s="1"/>
  <c r="AE28" i="13"/>
  <c r="AF28" i="13" s="1"/>
  <c r="V28" i="52" s="1"/>
  <c r="AE29" i="13"/>
  <c r="AF29" i="13" s="1"/>
  <c r="V29" i="52" s="1"/>
  <c r="I15" i="13"/>
  <c r="G14" i="13"/>
  <c r="AF21" i="13"/>
  <c r="V21" i="52" s="1"/>
  <c r="E14" i="35"/>
  <c r="C15" i="35"/>
  <c r="U230" i="35" l="1"/>
  <c r="K229" i="35"/>
  <c r="Y231" i="35"/>
  <c r="O230" i="35"/>
  <c r="J14" i="35"/>
  <c r="F14" i="35"/>
  <c r="I14" i="35"/>
  <c r="H14" i="35"/>
  <c r="G14" i="35"/>
  <c r="M21" i="35"/>
  <c r="N21" i="35"/>
  <c r="L21" i="35"/>
  <c r="AB28" i="52"/>
  <c r="AC28" i="52"/>
  <c r="AB27" i="52"/>
  <c r="AC27" i="52"/>
  <c r="AB29" i="52"/>
  <c r="AC29" i="52"/>
  <c r="AB26" i="52"/>
  <c r="AC26" i="52"/>
  <c r="AB21" i="52"/>
  <c r="AC21" i="52"/>
  <c r="E15" i="35"/>
  <c r="C16" i="35"/>
  <c r="U231" i="35" l="1"/>
  <c r="K230" i="35"/>
  <c r="Y232" i="35"/>
  <c r="O231" i="35"/>
  <c r="F15" i="35"/>
  <c r="J15" i="35"/>
  <c r="H15" i="35"/>
  <c r="G15" i="35"/>
  <c r="I15" i="35"/>
  <c r="L22" i="35"/>
  <c r="N22" i="35"/>
  <c r="M22" i="35"/>
  <c r="AE25" i="13"/>
  <c r="AF25" i="13" s="1"/>
  <c r="V25" i="52" s="1"/>
  <c r="AC25" i="52" s="1"/>
  <c r="G15" i="13"/>
  <c r="E16" i="35"/>
  <c r="C17" i="35"/>
  <c r="U232" i="35" l="1"/>
  <c r="K231" i="35"/>
  <c r="Y233" i="35"/>
  <c r="O232" i="35"/>
  <c r="F16" i="35"/>
  <c r="J16" i="35"/>
  <c r="G16" i="35"/>
  <c r="I16" i="35"/>
  <c r="H16" i="35"/>
  <c r="M23" i="35"/>
  <c r="N23" i="35"/>
  <c r="L23" i="35"/>
  <c r="AB25" i="52"/>
  <c r="E17" i="35"/>
  <c r="C18" i="35"/>
  <c r="Y234" i="35" l="1"/>
  <c r="O233" i="35"/>
  <c r="U233" i="35"/>
  <c r="K232" i="35"/>
  <c r="F17" i="35"/>
  <c r="J17" i="35"/>
  <c r="H17" i="35"/>
  <c r="I17" i="35"/>
  <c r="G17" i="35"/>
  <c r="L24" i="35"/>
  <c r="N24" i="35"/>
  <c r="M24" i="35"/>
  <c r="C19" i="35"/>
  <c r="E18" i="35"/>
  <c r="U234" i="35" l="1"/>
  <c r="K233" i="35"/>
  <c r="Y235" i="35"/>
  <c r="O234" i="35"/>
  <c r="F18" i="35"/>
  <c r="J18" i="35"/>
  <c r="G18" i="35"/>
  <c r="I18" i="35"/>
  <c r="H18" i="35"/>
  <c r="M25" i="35"/>
  <c r="N25" i="35"/>
  <c r="L25" i="35"/>
  <c r="H15" i="13"/>
  <c r="E19" i="35"/>
  <c r="C20" i="35"/>
  <c r="Y236" i="35" l="1"/>
  <c r="O235" i="35"/>
  <c r="U235" i="35"/>
  <c r="K234" i="35"/>
  <c r="F19" i="35"/>
  <c r="J19" i="35"/>
  <c r="H19" i="35"/>
  <c r="G19" i="35"/>
  <c r="I19" i="35"/>
  <c r="L26" i="35"/>
  <c r="N26" i="35"/>
  <c r="M26" i="35"/>
  <c r="G52" i="13"/>
  <c r="C21" i="35"/>
  <c r="E20" i="35"/>
  <c r="Y237" i="35" l="1"/>
  <c r="O236" i="35"/>
  <c r="U236" i="35"/>
  <c r="K235" i="35"/>
  <c r="F20" i="35"/>
  <c r="J20" i="35"/>
  <c r="H20" i="35"/>
  <c r="I20" i="35"/>
  <c r="G20" i="35"/>
  <c r="M27" i="35"/>
  <c r="N27" i="35"/>
  <c r="L27" i="35"/>
  <c r="H52" i="13"/>
  <c r="C22" i="35"/>
  <c r="E21" i="35"/>
  <c r="Y238" i="35" l="1"/>
  <c r="O237" i="35"/>
  <c r="U237" i="35"/>
  <c r="K236" i="35"/>
  <c r="F21" i="35"/>
  <c r="J21" i="35"/>
  <c r="G21" i="35"/>
  <c r="I21" i="35"/>
  <c r="H21" i="35"/>
  <c r="L28" i="35"/>
  <c r="L22" i="61" s="1"/>
  <c r="N28" i="35"/>
  <c r="N22" i="61" s="1"/>
  <c r="M28" i="35"/>
  <c r="M22" i="61" s="1"/>
  <c r="C23" i="35"/>
  <c r="E22" i="35"/>
  <c r="U238" i="35" l="1"/>
  <c r="K237" i="35"/>
  <c r="Y239" i="35"/>
  <c r="O238" i="35"/>
  <c r="J22" i="35"/>
  <c r="F22" i="35"/>
  <c r="G22" i="35"/>
  <c r="H22" i="35"/>
  <c r="I22" i="35"/>
  <c r="M29" i="35"/>
  <c r="N29" i="35"/>
  <c r="L29" i="35"/>
  <c r="C24" i="35"/>
  <c r="E23" i="35"/>
  <c r="Y240" i="35" l="1"/>
  <c r="O239" i="35"/>
  <c r="U239" i="35"/>
  <c r="K238" i="35"/>
  <c r="J23" i="35"/>
  <c r="F23" i="35"/>
  <c r="G23" i="35"/>
  <c r="H23" i="35"/>
  <c r="I23" i="35"/>
  <c r="L30" i="35"/>
  <c r="N30" i="35"/>
  <c r="M30" i="35"/>
  <c r="E24" i="35"/>
  <c r="C25" i="35"/>
  <c r="U240" i="35" l="1"/>
  <c r="K239" i="35"/>
  <c r="Y241" i="35"/>
  <c r="O240" i="35"/>
  <c r="J24" i="35"/>
  <c r="F24" i="35"/>
  <c r="G24" i="35"/>
  <c r="H24" i="35"/>
  <c r="I24" i="35"/>
  <c r="M31" i="35"/>
  <c r="N31" i="35"/>
  <c r="L31" i="35"/>
  <c r="C26" i="35"/>
  <c r="E25" i="35"/>
  <c r="U241" i="35" l="1"/>
  <c r="K240" i="35"/>
  <c r="Y242" i="35"/>
  <c r="O241" i="35"/>
  <c r="J25" i="35"/>
  <c r="F25" i="35"/>
  <c r="H25" i="35"/>
  <c r="G25" i="35"/>
  <c r="I25" i="35"/>
  <c r="L32" i="35"/>
  <c r="N32" i="35"/>
  <c r="M32" i="35"/>
  <c r="E26" i="35"/>
  <c r="C27" i="35"/>
  <c r="O242" i="35" l="1"/>
  <c r="Y243" i="35"/>
  <c r="U242" i="35"/>
  <c r="K241" i="35"/>
  <c r="J26" i="35"/>
  <c r="F26" i="35"/>
  <c r="G26" i="35"/>
  <c r="H26" i="35"/>
  <c r="I26" i="35"/>
  <c r="M33" i="35"/>
  <c r="N33" i="35"/>
  <c r="L33" i="35"/>
  <c r="E27" i="35"/>
  <c r="C28" i="35"/>
  <c r="Y244" i="35" l="1"/>
  <c r="O243" i="35"/>
  <c r="U243" i="35"/>
  <c r="K242" i="35"/>
  <c r="J27" i="35"/>
  <c r="F27" i="35"/>
  <c r="H27" i="35"/>
  <c r="I27" i="35"/>
  <c r="G27" i="35"/>
  <c r="L34" i="35"/>
  <c r="N34" i="35"/>
  <c r="M34" i="35"/>
  <c r="O27" i="13"/>
  <c r="R27" i="13" s="1"/>
  <c r="AA27" i="13" s="1"/>
  <c r="U27" i="52" s="1"/>
  <c r="I16" i="13"/>
  <c r="E28" i="35"/>
  <c r="C29" i="35"/>
  <c r="U244" i="35" l="1"/>
  <c r="K243" i="35"/>
  <c r="Y245" i="35"/>
  <c r="O244" i="35"/>
  <c r="F28" i="35"/>
  <c r="J28" i="35"/>
  <c r="G28" i="35"/>
  <c r="H28" i="35"/>
  <c r="I28" i="35"/>
  <c r="M35" i="35"/>
  <c r="N35" i="35"/>
  <c r="L35" i="35"/>
  <c r="AD27" i="13"/>
  <c r="H16" i="13"/>
  <c r="E29" i="35"/>
  <c r="C30" i="35"/>
  <c r="U245" i="35" l="1"/>
  <c r="K244" i="35"/>
  <c r="Y246" i="35"/>
  <c r="O245" i="35"/>
  <c r="J29" i="35"/>
  <c r="F29" i="35"/>
  <c r="H29" i="35"/>
  <c r="I29" i="35"/>
  <c r="G29" i="35"/>
  <c r="L36" i="35"/>
  <c r="N36" i="35"/>
  <c r="M36" i="35"/>
  <c r="C31" i="35"/>
  <c r="E30" i="35"/>
  <c r="U246" i="35" l="1"/>
  <c r="K245" i="35"/>
  <c r="Y247" i="35"/>
  <c r="O246" i="35"/>
  <c r="J30" i="35"/>
  <c r="F30" i="35"/>
  <c r="G30" i="35"/>
  <c r="I30" i="35"/>
  <c r="H30" i="35"/>
  <c r="M37" i="35"/>
  <c r="N37" i="35"/>
  <c r="L37" i="35"/>
  <c r="E31" i="35"/>
  <c r="C32" i="35"/>
  <c r="O247" i="35" l="1"/>
  <c r="Y248" i="35"/>
  <c r="U247" i="35"/>
  <c r="K246" i="35"/>
  <c r="F31" i="35"/>
  <c r="J31" i="35"/>
  <c r="H31" i="35"/>
  <c r="G31" i="35"/>
  <c r="I31" i="35"/>
  <c r="L38" i="35"/>
  <c r="N38" i="35"/>
  <c r="M38" i="35"/>
  <c r="C33" i="35"/>
  <c r="E32" i="35"/>
  <c r="Y249" i="35" l="1"/>
  <c r="O248" i="35"/>
  <c r="K247" i="35"/>
  <c r="U248" i="35"/>
  <c r="F32" i="35"/>
  <c r="J32" i="35"/>
  <c r="G32" i="35"/>
  <c r="H32" i="35"/>
  <c r="I32" i="35"/>
  <c r="M39" i="35"/>
  <c r="N39" i="35"/>
  <c r="L39" i="35"/>
  <c r="C34" i="35"/>
  <c r="E33" i="35"/>
  <c r="U249" i="35" l="1"/>
  <c r="K248" i="35"/>
  <c r="Y250" i="35"/>
  <c r="O249" i="35"/>
  <c r="F33" i="35"/>
  <c r="J33" i="35"/>
  <c r="H33" i="35"/>
  <c r="G33" i="35"/>
  <c r="I33" i="35"/>
  <c r="L40" i="35"/>
  <c r="N40" i="35"/>
  <c r="M40" i="35"/>
  <c r="I52" i="13"/>
  <c r="C35" i="35"/>
  <c r="E34" i="35"/>
  <c r="Y251" i="35" l="1"/>
  <c r="O250" i="35"/>
  <c r="U250" i="35"/>
  <c r="K249" i="35"/>
  <c r="J34" i="35"/>
  <c r="F34" i="35"/>
  <c r="G34" i="35"/>
  <c r="I34" i="35"/>
  <c r="H34" i="35"/>
  <c r="M41" i="35"/>
  <c r="N41" i="35"/>
  <c r="L41" i="35"/>
  <c r="C36" i="35"/>
  <c r="E35" i="35"/>
  <c r="U251" i="35" l="1"/>
  <c r="K250" i="35"/>
  <c r="Y252" i="35"/>
  <c r="O251" i="35"/>
  <c r="J35" i="35"/>
  <c r="F35" i="35"/>
  <c r="H35" i="35"/>
  <c r="I35" i="35"/>
  <c r="G35" i="35"/>
  <c r="L42" i="35"/>
  <c r="N42" i="35"/>
  <c r="M42" i="35"/>
  <c r="E36" i="35"/>
  <c r="C37" i="35"/>
  <c r="Y253" i="35" l="1"/>
  <c r="O252" i="35"/>
  <c r="U252" i="35"/>
  <c r="K251" i="35"/>
  <c r="J36" i="35"/>
  <c r="F36" i="35"/>
  <c r="G36" i="35"/>
  <c r="I36" i="35"/>
  <c r="H36" i="35"/>
  <c r="M43" i="35"/>
  <c r="N43" i="35"/>
  <c r="L43" i="35"/>
  <c r="C38" i="35"/>
  <c r="E37" i="35"/>
  <c r="U253" i="35" l="1"/>
  <c r="K252" i="35"/>
  <c r="Y254" i="35"/>
  <c r="O253" i="35"/>
  <c r="J37" i="35"/>
  <c r="F37" i="35"/>
  <c r="H37" i="35"/>
  <c r="I37" i="35"/>
  <c r="G37" i="35"/>
  <c r="L44" i="35"/>
  <c r="N44" i="35"/>
  <c r="M44" i="35"/>
  <c r="M23" i="13"/>
  <c r="P23" i="13" s="1"/>
  <c r="Y23" i="13" s="1"/>
  <c r="E38" i="35"/>
  <c r="C39" i="35"/>
  <c r="Y255" i="35" l="1"/>
  <c r="O254" i="35"/>
  <c r="U254" i="35"/>
  <c r="K253" i="35"/>
  <c r="J38" i="35"/>
  <c r="F38" i="35"/>
  <c r="G38" i="35"/>
  <c r="I38" i="35"/>
  <c r="H38" i="35"/>
  <c r="M45" i="35"/>
  <c r="N45" i="35"/>
  <c r="L45" i="35"/>
  <c r="AB23" i="13"/>
  <c r="S23" i="52"/>
  <c r="G12" i="13"/>
  <c r="H12" i="13"/>
  <c r="E39" i="35"/>
  <c r="C40" i="35"/>
  <c r="U255" i="35" l="1"/>
  <c r="K254" i="35"/>
  <c r="Y256" i="35"/>
  <c r="O255" i="35"/>
  <c r="F39" i="35"/>
  <c r="J39" i="35"/>
  <c r="H39" i="35"/>
  <c r="I39" i="35"/>
  <c r="G39" i="35"/>
  <c r="L46" i="35"/>
  <c r="N46" i="35"/>
  <c r="M46" i="35"/>
  <c r="H48" i="13"/>
  <c r="E40" i="35"/>
  <c r="C41" i="35"/>
  <c r="Y257" i="35" l="1"/>
  <c r="O256" i="35"/>
  <c r="U256" i="35"/>
  <c r="K255" i="35"/>
  <c r="F40" i="35"/>
  <c r="J40" i="35"/>
  <c r="G40" i="35"/>
  <c r="I40" i="35"/>
  <c r="H40" i="35"/>
  <c r="M47" i="35"/>
  <c r="N47" i="35"/>
  <c r="L47" i="35"/>
  <c r="H13" i="61"/>
  <c r="F13" i="61"/>
  <c r="G13" i="61"/>
  <c r="N27" i="13"/>
  <c r="Q27" i="13" s="1"/>
  <c r="Z27" i="13" s="1"/>
  <c r="C42" i="35"/>
  <c r="E41" i="35"/>
  <c r="O257" i="35" l="1"/>
  <c r="Y258" i="35"/>
  <c r="U257" i="35"/>
  <c r="K256" i="35"/>
  <c r="F41" i="35"/>
  <c r="J41" i="35"/>
  <c r="H41" i="35"/>
  <c r="G41" i="35"/>
  <c r="I41" i="35"/>
  <c r="L48" i="35"/>
  <c r="N48" i="35"/>
  <c r="M48" i="35"/>
  <c r="I13" i="61"/>
  <c r="K13" i="61"/>
  <c r="J13" i="61"/>
  <c r="AC27" i="13"/>
  <c r="T27" i="52"/>
  <c r="I12" i="13"/>
  <c r="C43" i="35"/>
  <c r="E42" i="35"/>
  <c r="K257" i="35" l="1"/>
  <c r="U258" i="35"/>
  <c r="Y259" i="35"/>
  <c r="O258" i="35"/>
  <c r="F42" i="35"/>
  <c r="J42" i="35"/>
  <c r="G42" i="35"/>
  <c r="H42" i="35"/>
  <c r="I42" i="35"/>
  <c r="M49" i="35"/>
  <c r="N49" i="35"/>
  <c r="L49" i="35"/>
  <c r="X27" i="52"/>
  <c r="AD27" i="52"/>
  <c r="E43" i="35"/>
  <c r="C44" i="35"/>
  <c r="Y260" i="35" l="1"/>
  <c r="O259" i="35"/>
  <c r="U259" i="35"/>
  <c r="K258" i="35"/>
  <c r="F43" i="35"/>
  <c r="J43" i="35"/>
  <c r="H43" i="35"/>
  <c r="G43" i="35"/>
  <c r="I43" i="35"/>
  <c r="L50" i="35"/>
  <c r="N50" i="35"/>
  <c r="M50" i="35"/>
  <c r="O25" i="13"/>
  <c r="R25" i="13" s="1"/>
  <c r="AA25" i="13" s="1"/>
  <c r="C45" i="35"/>
  <c r="E44" i="35"/>
  <c r="U260" i="35" l="1"/>
  <c r="K259" i="35"/>
  <c r="Y261" i="35"/>
  <c r="O260" i="35"/>
  <c r="J44" i="35"/>
  <c r="F44" i="35"/>
  <c r="G44" i="35"/>
  <c r="H44" i="35"/>
  <c r="I44" i="35"/>
  <c r="M51" i="35"/>
  <c r="N51" i="35"/>
  <c r="L51" i="35"/>
  <c r="M19" i="13"/>
  <c r="P19" i="13" s="1"/>
  <c r="Y19" i="13" s="1"/>
  <c r="AB19" i="13" s="1"/>
  <c r="AD25" i="13"/>
  <c r="U25" i="52"/>
  <c r="C46" i="35"/>
  <c r="E45" i="35"/>
  <c r="Y262" i="35" l="1"/>
  <c r="O261" i="35"/>
  <c r="U261" i="35"/>
  <c r="K260" i="35"/>
  <c r="F45" i="35"/>
  <c r="J45" i="35"/>
  <c r="H45" i="35"/>
  <c r="G45" i="35"/>
  <c r="I45" i="35"/>
  <c r="L52" i="35"/>
  <c r="N52" i="35"/>
  <c r="M52" i="35"/>
  <c r="S19" i="52"/>
  <c r="C47" i="35"/>
  <c r="E46" i="35"/>
  <c r="U262" i="35" l="1"/>
  <c r="K261" i="35"/>
  <c r="Y263" i="35"/>
  <c r="O262" i="35"/>
  <c r="J46" i="35"/>
  <c r="F46" i="35"/>
  <c r="I46" i="35"/>
  <c r="G46" i="35"/>
  <c r="H46" i="35"/>
  <c r="M53" i="35"/>
  <c r="N53" i="35"/>
  <c r="L53" i="35"/>
  <c r="C48" i="35"/>
  <c r="E47" i="35"/>
  <c r="O263" i="35" l="1"/>
  <c r="Y264" i="35"/>
  <c r="U263" i="35"/>
  <c r="K262" i="35"/>
  <c r="J47" i="35"/>
  <c r="F47" i="35"/>
  <c r="H47" i="35"/>
  <c r="G47" i="35"/>
  <c r="I47" i="35"/>
  <c r="L54" i="35"/>
  <c r="N54" i="35"/>
  <c r="M54" i="35"/>
  <c r="C49" i="35"/>
  <c r="E48" i="35"/>
  <c r="Y265" i="35" l="1"/>
  <c r="O265" i="35" s="1"/>
  <c r="J265" i="35" s="1"/>
  <c r="O264" i="35"/>
  <c r="J264" i="35" s="1"/>
  <c r="K263" i="35"/>
  <c r="U264" i="35"/>
  <c r="J48" i="35"/>
  <c r="F48" i="35"/>
  <c r="G48" i="35"/>
  <c r="H48" i="35"/>
  <c r="I48" i="35"/>
  <c r="M55" i="35"/>
  <c r="N55" i="35"/>
  <c r="L55" i="35"/>
  <c r="O14" i="13"/>
  <c r="R14" i="13" s="1"/>
  <c r="AA14" i="13" s="1"/>
  <c r="C50" i="35"/>
  <c r="E49" i="35"/>
  <c r="U265" i="35" l="1"/>
  <c r="K265" i="35" s="1"/>
  <c r="F265" i="35" s="1"/>
  <c r="K264" i="35"/>
  <c r="F264" i="35" s="1"/>
  <c r="J49" i="35"/>
  <c r="F49" i="35"/>
  <c r="I49" i="35"/>
  <c r="H49" i="35"/>
  <c r="G49" i="35"/>
  <c r="L56" i="35"/>
  <c r="L23" i="61" s="1"/>
  <c r="N56" i="35"/>
  <c r="N23" i="61" s="1"/>
  <c r="M56" i="35"/>
  <c r="M23" i="61" s="1"/>
  <c r="AD14" i="13"/>
  <c r="U14" i="52"/>
  <c r="E50" i="35"/>
  <c r="C51" i="35"/>
  <c r="J50" i="35" l="1"/>
  <c r="F50" i="35"/>
  <c r="G50" i="35"/>
  <c r="H50" i="35"/>
  <c r="I50" i="35"/>
  <c r="M57" i="35"/>
  <c r="N57" i="35"/>
  <c r="L57" i="35"/>
  <c r="N25" i="13"/>
  <c r="Q25" i="13" s="1"/>
  <c r="Z25" i="13" s="1"/>
  <c r="E51" i="35"/>
  <c r="C52" i="35"/>
  <c r="J51" i="35" l="1"/>
  <c r="F51" i="35"/>
  <c r="I51" i="35"/>
  <c r="H51" i="35"/>
  <c r="G51" i="35"/>
  <c r="L58" i="35"/>
  <c r="N58" i="35"/>
  <c r="M58" i="35"/>
  <c r="T25" i="52"/>
  <c r="AC25" i="13"/>
  <c r="N18" i="13"/>
  <c r="Q18" i="13" s="1"/>
  <c r="Z18" i="13" s="1"/>
  <c r="E52" i="35"/>
  <c r="C53" i="35"/>
  <c r="J52" i="35" l="1"/>
  <c r="F52" i="35"/>
  <c r="G52" i="35"/>
  <c r="I52" i="35"/>
  <c r="H52" i="35"/>
  <c r="M59" i="35"/>
  <c r="N59" i="35"/>
  <c r="L59" i="35"/>
  <c r="X25" i="52"/>
  <c r="AH18" i="13"/>
  <c r="AK18" i="13" s="1"/>
  <c r="AC18" i="13"/>
  <c r="T18" i="52"/>
  <c r="AD25" i="52"/>
  <c r="N51" i="13"/>
  <c r="Q51" i="13" s="1"/>
  <c r="Z51" i="13" s="1"/>
  <c r="E53" i="35"/>
  <c r="C54" i="35"/>
  <c r="F53" i="35" l="1"/>
  <c r="J53" i="35"/>
  <c r="G53" i="35"/>
  <c r="H53" i="35"/>
  <c r="I53" i="35"/>
  <c r="L60" i="35"/>
  <c r="N60" i="35"/>
  <c r="M60" i="35"/>
  <c r="X18" i="52"/>
  <c r="AD18" i="52"/>
  <c r="T51" i="52"/>
  <c r="X51" i="52" s="1"/>
  <c r="AC51" i="13"/>
  <c r="C55" i="35"/>
  <c r="E54" i="35"/>
  <c r="F54" i="35" l="1"/>
  <c r="J54" i="35"/>
  <c r="G54" i="35"/>
  <c r="H54" i="35"/>
  <c r="I54" i="35"/>
  <c r="M61" i="35"/>
  <c r="N61" i="35"/>
  <c r="L61" i="35"/>
  <c r="AD51" i="52"/>
  <c r="E55" i="35"/>
  <c r="C56" i="35"/>
  <c r="F55" i="35" l="1"/>
  <c r="J55" i="35"/>
  <c r="H55" i="35"/>
  <c r="G55" i="35"/>
  <c r="I55" i="35"/>
  <c r="L62" i="35"/>
  <c r="N62" i="35"/>
  <c r="M62" i="35"/>
  <c r="C57" i="35"/>
  <c r="E56" i="35"/>
  <c r="J56" i="35" l="1"/>
  <c r="F56" i="35"/>
  <c r="G56" i="35"/>
  <c r="H56" i="35"/>
  <c r="I56" i="35"/>
  <c r="M63" i="35"/>
  <c r="N63" i="35"/>
  <c r="L63" i="35"/>
  <c r="C58" i="35"/>
  <c r="E57" i="35"/>
  <c r="F57" i="35" l="1"/>
  <c r="J57" i="35"/>
  <c r="H57" i="35"/>
  <c r="G57" i="35"/>
  <c r="I57" i="35"/>
  <c r="L64" i="35"/>
  <c r="N64" i="35"/>
  <c r="M64" i="35"/>
  <c r="C59" i="35"/>
  <c r="E58" i="35"/>
  <c r="J58" i="35" l="1"/>
  <c r="F58" i="35"/>
  <c r="G58" i="35"/>
  <c r="H58" i="35"/>
  <c r="I58" i="35"/>
  <c r="M65" i="35"/>
  <c r="N65" i="35"/>
  <c r="L65" i="35"/>
  <c r="M42" i="13"/>
  <c r="C60" i="35"/>
  <c r="E59" i="35"/>
  <c r="J59" i="35" l="1"/>
  <c r="F59" i="35"/>
  <c r="I59" i="35"/>
  <c r="H59" i="35"/>
  <c r="G59" i="35"/>
  <c r="L66" i="35"/>
  <c r="N66" i="35"/>
  <c r="M66" i="35"/>
  <c r="E60" i="35"/>
  <c r="C61" i="35"/>
  <c r="J60" i="35" l="1"/>
  <c r="F60" i="35"/>
  <c r="G60" i="35"/>
  <c r="I60" i="35"/>
  <c r="H60" i="35"/>
  <c r="M67" i="35"/>
  <c r="N67" i="35"/>
  <c r="L67" i="35"/>
  <c r="N19" i="13"/>
  <c r="Q19" i="13" s="1"/>
  <c r="Z19" i="13" s="1"/>
  <c r="N14" i="13"/>
  <c r="Q14" i="13" s="1"/>
  <c r="Z14" i="13" s="1"/>
  <c r="C62" i="35"/>
  <c r="E61" i="35"/>
  <c r="J61" i="35" l="1"/>
  <c r="F61" i="35"/>
  <c r="I61" i="35"/>
  <c r="H61" i="35"/>
  <c r="G61" i="35"/>
  <c r="L68" i="35"/>
  <c r="N68" i="35"/>
  <c r="M68" i="35"/>
  <c r="T19" i="52"/>
  <c r="AH19" i="13"/>
  <c r="AC19" i="13"/>
  <c r="AH14" i="13"/>
  <c r="AC14" i="13"/>
  <c r="T14" i="52"/>
  <c r="E62" i="35"/>
  <c r="C63" i="35"/>
  <c r="J62" i="35" l="1"/>
  <c r="F62" i="35"/>
  <c r="G62" i="35"/>
  <c r="H62" i="35"/>
  <c r="I62" i="35"/>
  <c r="M69" i="35"/>
  <c r="N69" i="35"/>
  <c r="L69" i="35"/>
  <c r="X19" i="52"/>
  <c r="AD19" i="52"/>
  <c r="X14" i="52"/>
  <c r="AD14" i="52"/>
  <c r="E63" i="35"/>
  <c r="C64" i="35"/>
  <c r="F63" i="35" l="1"/>
  <c r="J63" i="35"/>
  <c r="H63" i="35"/>
  <c r="G63" i="35"/>
  <c r="I63" i="35"/>
  <c r="L70" i="35"/>
  <c r="N70" i="35"/>
  <c r="M70" i="35"/>
  <c r="E64" i="35"/>
  <c r="C65" i="35"/>
  <c r="F64" i="35" l="1"/>
  <c r="J64" i="35"/>
  <c r="H64" i="35"/>
  <c r="I64" i="35"/>
  <c r="G64" i="35"/>
  <c r="M71" i="35"/>
  <c r="N71" i="35"/>
  <c r="L71" i="35"/>
  <c r="E65" i="35"/>
  <c r="C66" i="35"/>
  <c r="F65" i="35" l="1"/>
  <c r="J65" i="35"/>
  <c r="H65" i="35"/>
  <c r="G65" i="35"/>
  <c r="I65" i="35"/>
  <c r="L72" i="35"/>
  <c r="N72" i="35"/>
  <c r="M72" i="35"/>
  <c r="C67" i="35"/>
  <c r="E66" i="35"/>
  <c r="J66" i="35" l="1"/>
  <c r="F66" i="35"/>
  <c r="G66" i="35"/>
  <c r="H66" i="35"/>
  <c r="I66" i="35"/>
  <c r="M73" i="35"/>
  <c r="N73" i="35"/>
  <c r="L73" i="35"/>
  <c r="O22" i="13"/>
  <c r="R22" i="13" s="1"/>
  <c r="AA22" i="13" s="1"/>
  <c r="E67" i="35"/>
  <c r="C68" i="35"/>
  <c r="F67" i="35" l="1"/>
  <c r="J67" i="35"/>
  <c r="H67" i="35"/>
  <c r="I67" i="35"/>
  <c r="G67" i="35"/>
  <c r="L74" i="35"/>
  <c r="N74" i="35"/>
  <c r="M74" i="35"/>
  <c r="M27" i="13"/>
  <c r="P27" i="13" s="1"/>
  <c r="Y27" i="13" s="1"/>
  <c r="AD22" i="13"/>
  <c r="U22" i="52"/>
  <c r="C69" i="35"/>
  <c r="E68" i="35"/>
  <c r="J68" i="35" l="1"/>
  <c r="F68" i="35"/>
  <c r="I68" i="35"/>
  <c r="H68" i="35"/>
  <c r="G68" i="35"/>
  <c r="M75" i="35"/>
  <c r="N75" i="35"/>
  <c r="L75" i="35"/>
  <c r="O19" i="13"/>
  <c r="R19" i="13" s="1"/>
  <c r="AA19" i="13" s="1"/>
  <c r="AG27" i="13"/>
  <c r="S27" i="52"/>
  <c r="AB27" i="13"/>
  <c r="M25" i="13"/>
  <c r="P25" i="13" s="1"/>
  <c r="Y25" i="13" s="1"/>
  <c r="C70" i="35"/>
  <c r="E69" i="35"/>
  <c r="F69" i="35" l="1"/>
  <c r="J69" i="35"/>
  <c r="I69" i="35"/>
  <c r="G69" i="35"/>
  <c r="H69" i="35"/>
  <c r="L76" i="35"/>
  <c r="N76" i="35"/>
  <c r="M76" i="35"/>
  <c r="AD19" i="13"/>
  <c r="AG19" i="13"/>
  <c r="U19" i="52"/>
  <c r="S25" i="52"/>
  <c r="AG25" i="13"/>
  <c r="AB25" i="13"/>
  <c r="C71" i="35"/>
  <c r="E70" i="35"/>
  <c r="J70" i="35" l="1"/>
  <c r="F70" i="35"/>
  <c r="G70" i="35"/>
  <c r="H70" i="35"/>
  <c r="I70" i="35"/>
  <c r="M77" i="35"/>
  <c r="N77" i="35"/>
  <c r="L77" i="35"/>
  <c r="C72" i="35"/>
  <c r="E71" i="35"/>
  <c r="J71" i="35" l="1"/>
  <c r="F71" i="35"/>
  <c r="H71" i="35"/>
  <c r="G71" i="35"/>
  <c r="I71" i="35"/>
  <c r="L78" i="35"/>
  <c r="N78" i="35"/>
  <c r="M78" i="35"/>
  <c r="G14" i="61"/>
  <c r="F14" i="61"/>
  <c r="H14" i="61"/>
  <c r="C73" i="35"/>
  <c r="E72" i="35"/>
  <c r="J72" i="35" l="1"/>
  <c r="F72" i="35"/>
  <c r="G72" i="35"/>
  <c r="I72" i="35"/>
  <c r="H72" i="35"/>
  <c r="M79" i="35"/>
  <c r="N79" i="35"/>
  <c r="L79" i="35"/>
  <c r="I14" i="61"/>
  <c r="K14" i="61"/>
  <c r="J14" i="61"/>
  <c r="C74" i="35"/>
  <c r="E73" i="35"/>
  <c r="J73" i="35" l="1"/>
  <c r="F73" i="35"/>
  <c r="I73" i="35"/>
  <c r="H73" i="35"/>
  <c r="G73" i="35"/>
  <c r="L80" i="35"/>
  <c r="N80" i="35"/>
  <c r="M80" i="35"/>
  <c r="E74" i="35"/>
  <c r="C75" i="35"/>
  <c r="J74" i="35" l="1"/>
  <c r="F74" i="35"/>
  <c r="G74" i="35"/>
  <c r="I74" i="35"/>
  <c r="H74" i="35"/>
  <c r="M81" i="35"/>
  <c r="N81" i="35"/>
  <c r="L81" i="35"/>
  <c r="E75" i="35"/>
  <c r="C76" i="35"/>
  <c r="F75" i="35" l="1"/>
  <c r="J75" i="35"/>
  <c r="H75" i="35"/>
  <c r="G75" i="35"/>
  <c r="I75" i="35"/>
  <c r="L82" i="35"/>
  <c r="N82" i="35"/>
  <c r="M82" i="35"/>
  <c r="N23" i="13"/>
  <c r="Q23" i="13" s="1"/>
  <c r="Z23" i="13" s="1"/>
  <c r="E76" i="35"/>
  <c r="C77" i="35"/>
  <c r="F76" i="35" l="1"/>
  <c r="J76" i="35"/>
  <c r="G76" i="35"/>
  <c r="H76" i="35"/>
  <c r="I76" i="35"/>
  <c r="M83" i="35"/>
  <c r="N83" i="35"/>
  <c r="L83" i="35"/>
  <c r="T23" i="52"/>
  <c r="AH23" i="13"/>
  <c r="AK23" i="13" s="1"/>
  <c r="AC23" i="13"/>
  <c r="E77" i="35"/>
  <c r="C78" i="35"/>
  <c r="F77" i="35" l="1"/>
  <c r="J77" i="35"/>
  <c r="H77" i="35"/>
  <c r="I77" i="35"/>
  <c r="G77" i="35"/>
  <c r="L84" i="35"/>
  <c r="L24" i="61" s="1"/>
  <c r="N84" i="35"/>
  <c r="N24" i="61" s="1"/>
  <c r="M84" i="35"/>
  <c r="M24" i="61" s="1"/>
  <c r="X23" i="52"/>
  <c r="AD23" i="52"/>
  <c r="E78" i="35"/>
  <c r="C79" i="35"/>
  <c r="F78" i="35" l="1"/>
  <c r="J78" i="35"/>
  <c r="H78" i="35"/>
  <c r="G78" i="35"/>
  <c r="I78" i="35"/>
  <c r="M85" i="35"/>
  <c r="N85" i="35"/>
  <c r="L85" i="35"/>
  <c r="C80" i="35"/>
  <c r="E79" i="35"/>
  <c r="F79" i="35" l="1"/>
  <c r="J79" i="35"/>
  <c r="G79" i="35"/>
  <c r="I79" i="35"/>
  <c r="H79" i="35"/>
  <c r="L86" i="35"/>
  <c r="N86" i="35"/>
  <c r="M86" i="35"/>
  <c r="C81" i="35"/>
  <c r="E80" i="35"/>
  <c r="F80" i="35" l="1"/>
  <c r="J80" i="35"/>
  <c r="I80" i="35"/>
  <c r="H80" i="35"/>
  <c r="G80" i="35"/>
  <c r="M87" i="35"/>
  <c r="N87" i="35"/>
  <c r="L87" i="35"/>
  <c r="C82" i="35"/>
  <c r="E81" i="35"/>
  <c r="F81" i="35" l="1"/>
  <c r="J81" i="35"/>
  <c r="G81" i="35"/>
  <c r="I81" i="35"/>
  <c r="H81" i="35"/>
  <c r="L88" i="35"/>
  <c r="N88" i="35"/>
  <c r="M88" i="35"/>
  <c r="N32" i="13"/>
  <c r="Q32" i="13" s="1"/>
  <c r="Z32" i="13" s="1"/>
  <c r="C83" i="35"/>
  <c r="E82" i="35"/>
  <c r="J82" i="35" l="1"/>
  <c r="F82" i="35"/>
  <c r="G82" i="35"/>
  <c r="H82" i="35"/>
  <c r="I82" i="35"/>
  <c r="M89" i="35"/>
  <c r="N89" i="35"/>
  <c r="L89" i="35"/>
  <c r="T32" i="52"/>
  <c r="AC32" i="13"/>
  <c r="C84" i="35"/>
  <c r="E83" i="35"/>
  <c r="J83" i="35" l="1"/>
  <c r="F83" i="35"/>
  <c r="H83" i="35"/>
  <c r="I83" i="35"/>
  <c r="G83" i="35"/>
  <c r="L90" i="35"/>
  <c r="N90" i="35"/>
  <c r="M90" i="35"/>
  <c r="X32" i="52"/>
  <c r="AD32" i="52"/>
  <c r="E84" i="35"/>
  <c r="C85" i="35"/>
  <c r="J84" i="35" l="1"/>
  <c r="F84" i="35"/>
  <c r="G84" i="35"/>
  <c r="H84" i="35"/>
  <c r="I84" i="35"/>
  <c r="M91" i="35"/>
  <c r="N91" i="35"/>
  <c r="L91" i="35"/>
  <c r="E85" i="35"/>
  <c r="C86" i="35"/>
  <c r="J85" i="35" l="1"/>
  <c r="F85" i="35"/>
  <c r="I85" i="35"/>
  <c r="H85" i="35"/>
  <c r="G85" i="35"/>
  <c r="L92" i="35"/>
  <c r="N92" i="35"/>
  <c r="M92" i="35"/>
  <c r="O20" i="13"/>
  <c r="R20" i="13" s="1"/>
  <c r="AA20" i="13" s="1"/>
  <c r="M21" i="13"/>
  <c r="P21" i="13" s="1"/>
  <c r="Y21" i="13" s="1"/>
  <c r="E86" i="35"/>
  <c r="C87" i="35"/>
  <c r="J86" i="35" l="1"/>
  <c r="F86" i="35"/>
  <c r="I86" i="35"/>
  <c r="G86" i="35"/>
  <c r="H86" i="35"/>
  <c r="M93" i="35"/>
  <c r="N93" i="35"/>
  <c r="L93" i="35"/>
  <c r="AD20" i="13"/>
  <c r="U20" i="52"/>
  <c r="S21" i="52"/>
  <c r="AB21" i="13"/>
  <c r="E87" i="35"/>
  <c r="C88" i="35"/>
  <c r="F87" i="35" l="1"/>
  <c r="J87" i="35"/>
  <c r="I87" i="35"/>
  <c r="H87" i="35"/>
  <c r="G87" i="35"/>
  <c r="L94" i="35"/>
  <c r="N94" i="35"/>
  <c r="M94" i="35"/>
  <c r="O51" i="13"/>
  <c r="R51" i="13" s="1"/>
  <c r="AA51" i="13" s="1"/>
  <c r="E88" i="35"/>
  <c r="C89" i="35"/>
  <c r="J88" i="35" l="1"/>
  <c r="F88" i="35"/>
  <c r="I88" i="35"/>
  <c r="G88" i="35"/>
  <c r="H88" i="35"/>
  <c r="M95" i="35"/>
  <c r="N95" i="35"/>
  <c r="L95" i="35"/>
  <c r="AD51" i="13"/>
  <c r="U51" i="52"/>
  <c r="E89" i="35"/>
  <c r="C90" i="35"/>
  <c r="J89" i="35" l="1"/>
  <c r="F89" i="35"/>
  <c r="I89" i="35"/>
  <c r="G89" i="35"/>
  <c r="H89" i="35"/>
  <c r="L96" i="35"/>
  <c r="N96" i="35"/>
  <c r="M96" i="35"/>
  <c r="E90" i="35"/>
  <c r="C91" i="35"/>
  <c r="F90" i="35" l="1"/>
  <c r="J90" i="35"/>
  <c r="I90" i="35"/>
  <c r="G90" i="35"/>
  <c r="H90" i="35"/>
  <c r="M97" i="35"/>
  <c r="N97" i="35"/>
  <c r="L97" i="35"/>
  <c r="M52" i="13"/>
  <c r="P52" i="13" s="1"/>
  <c r="Y52" i="13" s="1"/>
  <c r="E91" i="35"/>
  <c r="C92" i="35"/>
  <c r="F91" i="35" l="1"/>
  <c r="J91" i="35"/>
  <c r="I91" i="35"/>
  <c r="H91" i="35"/>
  <c r="G91" i="35"/>
  <c r="L98" i="35"/>
  <c r="N98" i="35"/>
  <c r="M98" i="35"/>
  <c r="AB52" i="13"/>
  <c r="S52" i="52"/>
  <c r="C93" i="35"/>
  <c r="E92" i="35"/>
  <c r="F92" i="35" l="1"/>
  <c r="J92" i="35"/>
  <c r="I92" i="35"/>
  <c r="G92" i="35"/>
  <c r="H92" i="35"/>
  <c r="M99" i="35"/>
  <c r="N99" i="35"/>
  <c r="L99" i="35"/>
  <c r="C94" i="35"/>
  <c r="E93" i="35"/>
  <c r="F93" i="35" l="1"/>
  <c r="J93" i="35"/>
  <c r="H93" i="35"/>
  <c r="G93" i="35"/>
  <c r="I93" i="35"/>
  <c r="L100" i="35"/>
  <c r="N100" i="35"/>
  <c r="M100" i="35"/>
  <c r="M30" i="13"/>
  <c r="P30" i="13" s="1"/>
  <c r="Y30" i="13" s="1"/>
  <c r="C95" i="35"/>
  <c r="E94" i="35"/>
  <c r="J94" i="35" l="1"/>
  <c r="F94" i="35"/>
  <c r="I94" i="35"/>
  <c r="G94" i="35"/>
  <c r="H94" i="35"/>
  <c r="M101" i="35"/>
  <c r="N101" i="35"/>
  <c r="L101" i="35"/>
  <c r="AB30" i="13"/>
  <c r="S30" i="52"/>
  <c r="C96" i="35"/>
  <c r="E95" i="35"/>
  <c r="J95" i="35" l="1"/>
  <c r="F95" i="35"/>
  <c r="I95" i="35"/>
  <c r="H95" i="35"/>
  <c r="G95" i="35"/>
  <c r="L102" i="35"/>
  <c r="N102" i="35"/>
  <c r="M102" i="35"/>
  <c r="E96" i="35"/>
  <c r="C97" i="35"/>
  <c r="C98" i="35" s="1"/>
  <c r="J96" i="35" l="1"/>
  <c r="F96" i="35"/>
  <c r="G96" i="35"/>
  <c r="H96" i="35"/>
  <c r="I96" i="35"/>
  <c r="M103" i="35"/>
  <c r="N103" i="35"/>
  <c r="L103" i="35"/>
  <c r="M51" i="13"/>
  <c r="P51" i="13" s="1"/>
  <c r="Y51" i="13" s="1"/>
  <c r="C99" i="35"/>
  <c r="E98" i="35"/>
  <c r="E97" i="35"/>
  <c r="J98" i="35" l="1"/>
  <c r="F98" i="35"/>
  <c r="J97" i="35"/>
  <c r="F97" i="35"/>
  <c r="G98" i="35"/>
  <c r="H98" i="35"/>
  <c r="I98" i="35"/>
  <c r="I97" i="35"/>
  <c r="G97" i="35"/>
  <c r="H97" i="35"/>
  <c r="L104" i="35"/>
  <c r="N104" i="35"/>
  <c r="M104" i="35"/>
  <c r="S51" i="52"/>
  <c r="AG51" i="13"/>
  <c r="AH51" i="13" s="1"/>
  <c r="AB51" i="13"/>
  <c r="C100" i="35"/>
  <c r="E99" i="35"/>
  <c r="F99" i="35" l="1"/>
  <c r="J99" i="35"/>
  <c r="H99" i="35"/>
  <c r="I99" i="35"/>
  <c r="G99" i="35"/>
  <c r="N105" i="35"/>
  <c r="M105" i="35"/>
  <c r="L105" i="35"/>
  <c r="C101" i="35"/>
  <c r="E100" i="35"/>
  <c r="F100" i="35" l="1"/>
  <c r="J100" i="35"/>
  <c r="G100" i="35"/>
  <c r="H100" i="35"/>
  <c r="I100" i="35"/>
  <c r="L106" i="35"/>
  <c r="M106" i="35"/>
  <c r="N106" i="35"/>
  <c r="H15" i="61"/>
  <c r="F15" i="61"/>
  <c r="G15" i="61"/>
  <c r="M14" i="13"/>
  <c r="P14" i="13" s="1"/>
  <c r="Y14" i="13" s="1"/>
  <c r="C102" i="35"/>
  <c r="E101" i="35"/>
  <c r="F101" i="35" l="1"/>
  <c r="J101" i="35"/>
  <c r="H101" i="35"/>
  <c r="I101" i="35"/>
  <c r="G101" i="35"/>
  <c r="N107" i="35"/>
  <c r="L107" i="35"/>
  <c r="M107" i="35"/>
  <c r="J15" i="61"/>
  <c r="I15" i="61"/>
  <c r="K15" i="61"/>
  <c r="M20" i="13"/>
  <c r="P20" i="13" s="1"/>
  <c r="Y20" i="13" s="1"/>
  <c r="AG14" i="13"/>
  <c r="S14" i="52"/>
  <c r="AB14" i="13"/>
  <c r="C103" i="35"/>
  <c r="E102" i="35"/>
  <c r="J102" i="35" l="1"/>
  <c r="F102" i="35"/>
  <c r="G102" i="35"/>
  <c r="H102" i="35"/>
  <c r="I102" i="35"/>
  <c r="M108" i="35"/>
  <c r="L108" i="35"/>
  <c r="N108" i="35"/>
  <c r="S20" i="52"/>
  <c r="AB20" i="13"/>
  <c r="C104" i="35"/>
  <c r="E103" i="35"/>
  <c r="F103" i="35" l="1"/>
  <c r="J103" i="35"/>
  <c r="I103" i="35"/>
  <c r="H103" i="35"/>
  <c r="G103" i="35"/>
  <c r="N109" i="35"/>
  <c r="L109" i="35"/>
  <c r="M109" i="35"/>
  <c r="C105" i="35"/>
  <c r="E104" i="35"/>
  <c r="F104" i="35" l="1"/>
  <c r="J104" i="35"/>
  <c r="I104" i="35"/>
  <c r="H104" i="35"/>
  <c r="G104" i="35"/>
  <c r="M110" i="35"/>
  <c r="L110" i="35"/>
  <c r="N110" i="35"/>
  <c r="C106" i="35"/>
  <c r="E105" i="35"/>
  <c r="F105" i="35" l="1"/>
  <c r="J105" i="35"/>
  <c r="H105" i="35"/>
  <c r="G105" i="35"/>
  <c r="I105" i="35"/>
  <c r="N111" i="35"/>
  <c r="L111" i="35"/>
  <c r="M111" i="35"/>
  <c r="C107" i="35"/>
  <c r="E106" i="35"/>
  <c r="J106" i="35" l="1"/>
  <c r="F106" i="35"/>
  <c r="I106" i="35"/>
  <c r="G106" i="35"/>
  <c r="H106" i="35"/>
  <c r="M112" i="35"/>
  <c r="L112" i="35"/>
  <c r="N112" i="35"/>
  <c r="C108" i="35"/>
  <c r="E107" i="35"/>
  <c r="J107" i="35" l="1"/>
  <c r="F107" i="35"/>
  <c r="G107" i="35"/>
  <c r="I107" i="35"/>
  <c r="H107" i="35"/>
  <c r="N113" i="35"/>
  <c r="L113" i="35"/>
  <c r="M113" i="35"/>
  <c r="C109" i="35"/>
  <c r="E108" i="35"/>
  <c r="J108" i="35" l="1"/>
  <c r="F108" i="35"/>
  <c r="I108" i="35"/>
  <c r="G108" i="35"/>
  <c r="H108" i="35"/>
  <c r="M114" i="35"/>
  <c r="L114" i="35"/>
  <c r="N114" i="35"/>
  <c r="C110" i="35"/>
  <c r="E109" i="35"/>
  <c r="J109" i="35" l="1"/>
  <c r="F109" i="35"/>
  <c r="G109" i="35"/>
  <c r="I109" i="35"/>
  <c r="H109" i="35"/>
  <c r="N115" i="35"/>
  <c r="L115" i="35"/>
  <c r="M115" i="35"/>
  <c r="C111" i="35"/>
  <c r="E110" i="35"/>
  <c r="J110" i="35" l="1"/>
  <c r="F110" i="35"/>
  <c r="H110" i="35"/>
  <c r="I110" i="35"/>
  <c r="G110" i="35"/>
  <c r="M116" i="35"/>
  <c r="L116" i="35"/>
  <c r="N116" i="35"/>
  <c r="O17" i="13"/>
  <c r="R17" i="13" s="1"/>
  <c r="AA17" i="13" s="1"/>
  <c r="C112" i="35"/>
  <c r="E111" i="35"/>
  <c r="J111" i="35" l="1"/>
  <c r="F111" i="35"/>
  <c r="I111" i="35"/>
  <c r="G111" i="35"/>
  <c r="H111" i="35"/>
  <c r="N117" i="35"/>
  <c r="L117" i="35"/>
  <c r="M117" i="35"/>
  <c r="AD17" i="13"/>
  <c r="U17" i="52"/>
  <c r="C113" i="35"/>
  <c r="E112" i="35"/>
  <c r="J112" i="35" l="1"/>
  <c r="F112" i="35"/>
  <c r="H112" i="35"/>
  <c r="G112" i="35"/>
  <c r="I112" i="35"/>
  <c r="M118" i="35"/>
  <c r="L118" i="35"/>
  <c r="N118" i="35"/>
  <c r="I50" i="13"/>
  <c r="N17" i="13"/>
  <c r="Q17" i="13" s="1"/>
  <c r="Z17" i="13" s="1"/>
  <c r="M17" i="13"/>
  <c r="P17" i="13" s="1"/>
  <c r="Y17" i="13" s="1"/>
  <c r="C114" i="35"/>
  <c r="E113" i="35"/>
  <c r="J113" i="35" l="1"/>
  <c r="F113" i="35"/>
  <c r="G113" i="35"/>
  <c r="I113" i="35"/>
  <c r="H113" i="35"/>
  <c r="N119" i="35"/>
  <c r="N25" i="61" s="1"/>
  <c r="L119" i="35"/>
  <c r="L25" i="61" s="1"/>
  <c r="M119" i="35"/>
  <c r="M25" i="61" s="1"/>
  <c r="AG17" i="13"/>
  <c r="S17" i="52"/>
  <c r="AB17" i="13"/>
  <c r="AH17" i="13"/>
  <c r="T17" i="52"/>
  <c r="AC17" i="13"/>
  <c r="C115" i="35"/>
  <c r="E114" i="35"/>
  <c r="J114" i="35" l="1"/>
  <c r="F114" i="35"/>
  <c r="G114" i="35"/>
  <c r="H114" i="35"/>
  <c r="I114" i="35"/>
  <c r="M120" i="35"/>
  <c r="L120" i="35"/>
  <c r="N120" i="35"/>
  <c r="H50" i="13"/>
  <c r="AD17" i="52"/>
  <c r="X17" i="52"/>
  <c r="C116" i="35"/>
  <c r="E115" i="35"/>
  <c r="F115" i="35" l="1"/>
  <c r="J115" i="35"/>
  <c r="I115" i="35"/>
  <c r="G115" i="35"/>
  <c r="H115" i="35"/>
  <c r="N121" i="35"/>
  <c r="L121" i="35"/>
  <c r="M121" i="35"/>
  <c r="C117" i="35"/>
  <c r="E116" i="35"/>
  <c r="J116" i="35" l="1"/>
  <c r="F116" i="35"/>
  <c r="H116" i="35"/>
  <c r="G116" i="35"/>
  <c r="I116" i="35"/>
  <c r="M122" i="35"/>
  <c r="L122" i="35"/>
  <c r="N122" i="35"/>
  <c r="O54" i="13"/>
  <c r="R54" i="13" s="1"/>
  <c r="AA54" i="13" s="1"/>
  <c r="C118" i="35"/>
  <c r="E117" i="35"/>
  <c r="F117" i="35" l="1"/>
  <c r="J117" i="35"/>
  <c r="G117" i="35"/>
  <c r="H117" i="35"/>
  <c r="I117" i="35"/>
  <c r="N123" i="35"/>
  <c r="L123" i="35"/>
  <c r="M123" i="35"/>
  <c r="O26" i="13"/>
  <c r="R26" i="13" s="1"/>
  <c r="AA26" i="13" s="1"/>
  <c r="U54" i="52"/>
  <c r="AD54" i="13"/>
  <c r="C119" i="35"/>
  <c r="E118" i="35"/>
  <c r="J118" i="35" l="1"/>
  <c r="F118" i="35"/>
  <c r="H118" i="35"/>
  <c r="G118" i="35"/>
  <c r="I118" i="35"/>
  <c r="M124" i="35"/>
  <c r="L124" i="35"/>
  <c r="N124" i="35"/>
  <c r="U26" i="52"/>
  <c r="AD26" i="13"/>
  <c r="C120" i="35"/>
  <c r="E119" i="35"/>
  <c r="J119" i="35" l="1"/>
  <c r="F119" i="35"/>
  <c r="I119" i="35"/>
  <c r="G119" i="35"/>
  <c r="H119" i="35"/>
  <c r="N125" i="35"/>
  <c r="L125" i="35"/>
  <c r="M125" i="35"/>
  <c r="M29" i="13"/>
  <c r="P29" i="13" s="1"/>
  <c r="Y29" i="13" s="1"/>
  <c r="C121" i="35"/>
  <c r="E120" i="35"/>
  <c r="J120" i="35" l="1"/>
  <c r="F120" i="35"/>
  <c r="H120" i="35"/>
  <c r="G120" i="35"/>
  <c r="I120" i="35"/>
  <c r="M126" i="35"/>
  <c r="L126" i="35"/>
  <c r="N126" i="35"/>
  <c r="H49" i="13"/>
  <c r="AB29" i="13"/>
  <c r="S29" i="52"/>
  <c r="C122" i="35"/>
  <c r="E121" i="35"/>
  <c r="J121" i="35" l="1"/>
  <c r="F121" i="35"/>
  <c r="I121" i="35"/>
  <c r="H121" i="35"/>
  <c r="G121" i="35"/>
  <c r="N127" i="35"/>
  <c r="L127" i="35"/>
  <c r="M127" i="35"/>
  <c r="C123" i="35"/>
  <c r="E122" i="35"/>
  <c r="J122" i="35" l="1"/>
  <c r="F122" i="35"/>
  <c r="H122" i="35"/>
  <c r="I122" i="35"/>
  <c r="G122" i="35"/>
  <c r="M128" i="35"/>
  <c r="L128" i="35"/>
  <c r="N128" i="35"/>
  <c r="M54" i="13"/>
  <c r="P54" i="13" s="1"/>
  <c r="Y54" i="13" s="1"/>
  <c r="C124" i="35"/>
  <c r="E123" i="35"/>
  <c r="F123" i="35" l="1"/>
  <c r="J123" i="35"/>
  <c r="I123" i="35"/>
  <c r="H123" i="35"/>
  <c r="G123" i="35"/>
  <c r="N129" i="35"/>
  <c r="L129" i="35"/>
  <c r="M129" i="35"/>
  <c r="S54" i="52"/>
  <c r="AB54" i="13"/>
  <c r="C125" i="35"/>
  <c r="E124" i="35"/>
  <c r="J124" i="35" l="1"/>
  <c r="F124" i="35"/>
  <c r="G124" i="35"/>
  <c r="I124" i="35"/>
  <c r="H124" i="35"/>
  <c r="M130" i="35"/>
  <c r="L130" i="35"/>
  <c r="N130" i="35"/>
  <c r="C126" i="35"/>
  <c r="E125" i="35"/>
  <c r="F125" i="35" l="1"/>
  <c r="J125" i="35"/>
  <c r="G125" i="35"/>
  <c r="I125" i="35"/>
  <c r="H125" i="35"/>
  <c r="N131" i="35"/>
  <c r="L131" i="35"/>
  <c r="M131" i="35"/>
  <c r="C127" i="35"/>
  <c r="E126" i="35"/>
  <c r="F126" i="35" l="1"/>
  <c r="J126" i="35"/>
  <c r="G126" i="35"/>
  <c r="I126" i="35"/>
  <c r="H126" i="35"/>
  <c r="M132" i="35"/>
  <c r="L132" i="35"/>
  <c r="N132" i="35"/>
  <c r="O13" i="13"/>
  <c r="R13" i="13" s="1"/>
  <c r="AA13" i="13" s="1"/>
  <c r="C128" i="35"/>
  <c r="E127" i="35"/>
  <c r="F127" i="35" l="1"/>
  <c r="J127" i="35"/>
  <c r="G127" i="35"/>
  <c r="I127" i="35"/>
  <c r="H127" i="35"/>
  <c r="N133" i="35"/>
  <c r="L133" i="35"/>
  <c r="M133" i="35"/>
  <c r="AD13" i="13"/>
  <c r="U13" i="52"/>
  <c r="C129" i="35"/>
  <c r="E128" i="35"/>
  <c r="J128" i="35" l="1"/>
  <c r="F128" i="35"/>
  <c r="G128" i="35"/>
  <c r="H128" i="35"/>
  <c r="I128" i="35"/>
  <c r="M134" i="35"/>
  <c r="L134" i="35"/>
  <c r="N134" i="35"/>
  <c r="C130" i="35"/>
  <c r="E129" i="35"/>
  <c r="F129" i="35" l="1"/>
  <c r="J129" i="35"/>
  <c r="G129" i="35"/>
  <c r="H129" i="35"/>
  <c r="I129" i="35"/>
  <c r="N135" i="35"/>
  <c r="L135" i="35"/>
  <c r="M135" i="35"/>
  <c r="O29" i="13"/>
  <c r="R29" i="13" s="1"/>
  <c r="AA29" i="13" s="1"/>
  <c r="C131" i="35"/>
  <c r="E130" i="35"/>
  <c r="J130" i="35" l="1"/>
  <c r="F130" i="35"/>
  <c r="G130" i="35"/>
  <c r="I130" i="35"/>
  <c r="H130" i="35"/>
  <c r="M136" i="35"/>
  <c r="L136" i="35"/>
  <c r="N136" i="35"/>
  <c r="N29" i="13"/>
  <c r="Q29" i="13" s="1"/>
  <c r="Z29" i="13" s="1"/>
  <c r="U29" i="52"/>
  <c r="AD29" i="13"/>
  <c r="C132" i="35"/>
  <c r="E131" i="35"/>
  <c r="J131" i="35" l="1"/>
  <c r="F131" i="35"/>
  <c r="G131" i="35"/>
  <c r="I131" i="35"/>
  <c r="H131" i="35"/>
  <c r="N137" i="35"/>
  <c r="L137" i="35"/>
  <c r="M137" i="35"/>
  <c r="F16" i="61"/>
  <c r="G16" i="61"/>
  <c r="H16" i="61"/>
  <c r="T29" i="52"/>
  <c r="AC29" i="13"/>
  <c r="AG29" i="13"/>
  <c r="AI29" i="13" s="1"/>
  <c r="N54" i="13"/>
  <c r="Q54" i="13" s="1"/>
  <c r="Z54" i="13" s="1"/>
  <c r="C133" i="35"/>
  <c r="E132" i="35"/>
  <c r="J132" i="35" l="1"/>
  <c r="F132" i="35"/>
  <c r="G132" i="35"/>
  <c r="H132" i="35"/>
  <c r="I132" i="35"/>
  <c r="M138" i="35"/>
  <c r="L138" i="35"/>
  <c r="N138" i="35"/>
  <c r="K16" i="61"/>
  <c r="J16" i="61"/>
  <c r="I16" i="61"/>
  <c r="X29" i="52"/>
  <c r="Y29" i="52" s="1"/>
  <c r="AD29" i="52"/>
  <c r="AE29" i="52" s="1"/>
  <c r="M13" i="13"/>
  <c r="P13" i="13" s="1"/>
  <c r="Y13" i="13" s="1"/>
  <c r="T54" i="52"/>
  <c r="X54" i="52" s="1"/>
  <c r="AC54" i="13"/>
  <c r="AG54" i="13"/>
  <c r="C134" i="35"/>
  <c r="E133" i="35"/>
  <c r="J133" i="35" l="1"/>
  <c r="F133" i="35"/>
  <c r="G133" i="35"/>
  <c r="H133" i="35"/>
  <c r="I133" i="35"/>
  <c r="N139" i="35"/>
  <c r="L139" i="35"/>
  <c r="M139" i="35"/>
  <c r="AB13" i="13"/>
  <c r="S13" i="52"/>
  <c r="N13" i="13"/>
  <c r="Q13" i="13" s="1"/>
  <c r="Z13" i="13" s="1"/>
  <c r="AC13" i="13" s="1"/>
  <c r="AI54" i="13"/>
  <c r="AH54" i="13"/>
  <c r="Y54" i="52"/>
  <c r="AD54" i="52"/>
  <c r="AE54" i="52" s="1"/>
  <c r="C135" i="35"/>
  <c r="E134" i="35"/>
  <c r="J134" i="35" l="1"/>
  <c r="F134" i="35"/>
  <c r="G134" i="35"/>
  <c r="I134" i="35"/>
  <c r="H134" i="35"/>
  <c r="M140" i="35"/>
  <c r="L140" i="35"/>
  <c r="N140" i="35"/>
  <c r="AH13" i="13"/>
  <c r="AG13" i="13"/>
  <c r="T13" i="52"/>
  <c r="C136" i="35"/>
  <c r="E135" i="35"/>
  <c r="J135" i="35" l="1"/>
  <c r="F135" i="35"/>
  <c r="I135" i="35"/>
  <c r="H135" i="35"/>
  <c r="G135" i="35"/>
  <c r="N141" i="35"/>
  <c r="L141" i="35"/>
  <c r="M141" i="35"/>
  <c r="AD13" i="52"/>
  <c r="X13" i="52"/>
  <c r="C137" i="35"/>
  <c r="E136" i="35"/>
  <c r="J136" i="35" l="1"/>
  <c r="F136" i="35"/>
  <c r="I136" i="35"/>
  <c r="G136" i="35"/>
  <c r="H136" i="35"/>
  <c r="M142" i="35"/>
  <c r="L142" i="35"/>
  <c r="N142" i="35"/>
  <c r="C138" i="35"/>
  <c r="E137" i="35"/>
  <c r="J137" i="35" l="1"/>
  <c r="F137" i="35"/>
  <c r="I137" i="35"/>
  <c r="G137" i="35"/>
  <c r="H137" i="35"/>
  <c r="N143" i="35"/>
  <c r="L143" i="35"/>
  <c r="M143" i="35"/>
  <c r="E138" i="35"/>
  <c r="C139" i="35"/>
  <c r="F138" i="35" l="1"/>
  <c r="J138" i="35"/>
  <c r="I138" i="35"/>
  <c r="G138" i="35"/>
  <c r="H138" i="35"/>
  <c r="M144" i="35"/>
  <c r="L144" i="35"/>
  <c r="N144" i="35"/>
  <c r="M28" i="13"/>
  <c r="P28" i="13" s="1"/>
  <c r="Y28" i="13" s="1"/>
  <c r="C140" i="35"/>
  <c r="E139" i="35"/>
  <c r="F139" i="35" l="1"/>
  <c r="J139" i="35"/>
  <c r="H139" i="35"/>
  <c r="I139" i="35"/>
  <c r="G139" i="35"/>
  <c r="N145" i="35"/>
  <c r="L145" i="35"/>
  <c r="M145" i="35"/>
  <c r="O34" i="13"/>
  <c r="R34" i="13" s="1"/>
  <c r="AA34" i="13" s="1"/>
  <c r="AB28" i="13"/>
  <c r="S28" i="52"/>
  <c r="M33" i="13"/>
  <c r="P33" i="13" s="1"/>
  <c r="Y33" i="13" s="1"/>
  <c r="C141" i="35"/>
  <c r="C142" i="35" s="1"/>
  <c r="E140" i="35"/>
  <c r="J140" i="35" l="1"/>
  <c r="F140" i="35"/>
  <c r="I140" i="35"/>
  <c r="G140" i="35"/>
  <c r="H140" i="35"/>
  <c r="M146" i="35"/>
  <c r="L146" i="35"/>
  <c r="N146" i="35"/>
  <c r="U34" i="52"/>
  <c r="AD34" i="13"/>
  <c r="O33" i="13"/>
  <c r="R33" i="13" s="1"/>
  <c r="AA33" i="13" s="1"/>
  <c r="S33" i="52"/>
  <c r="AB33" i="13"/>
  <c r="E141" i="35"/>
  <c r="C143" i="35"/>
  <c r="C144" i="35" s="1"/>
  <c r="E142" i="35"/>
  <c r="J142" i="35" l="1"/>
  <c r="F142" i="35"/>
  <c r="F141" i="35"/>
  <c r="J141" i="35"/>
  <c r="G142" i="35"/>
  <c r="I142" i="35"/>
  <c r="H142" i="35"/>
  <c r="I141" i="35"/>
  <c r="H141" i="35"/>
  <c r="G141" i="35"/>
  <c r="N147" i="35"/>
  <c r="N26" i="61" s="1"/>
  <c r="L147" i="35"/>
  <c r="L26" i="61" s="1"/>
  <c r="M147" i="35"/>
  <c r="M26" i="61" s="1"/>
  <c r="AD33" i="13"/>
  <c r="U33" i="52"/>
  <c r="E143" i="35"/>
  <c r="J143" i="35" l="1"/>
  <c r="F143" i="35"/>
  <c r="H143" i="35"/>
  <c r="I143" i="35"/>
  <c r="G143" i="35"/>
  <c r="M148" i="35"/>
  <c r="L148" i="35"/>
  <c r="N148" i="35"/>
  <c r="H18" i="13"/>
  <c r="C145" i="35"/>
  <c r="E144" i="35"/>
  <c r="J144" i="35" l="1"/>
  <c r="F144" i="35"/>
  <c r="G144" i="35"/>
  <c r="I144" i="35"/>
  <c r="H144" i="35"/>
  <c r="N149" i="35"/>
  <c r="L149" i="35"/>
  <c r="M149" i="35"/>
  <c r="C146" i="35"/>
  <c r="E145" i="35"/>
  <c r="J145" i="35" l="1"/>
  <c r="F145" i="35"/>
  <c r="H145" i="35"/>
  <c r="G145" i="35"/>
  <c r="I145" i="35"/>
  <c r="M150" i="35"/>
  <c r="L150" i="35"/>
  <c r="N150" i="35"/>
  <c r="C147" i="35"/>
  <c r="E146" i="35"/>
  <c r="J146" i="35" l="1"/>
  <c r="F146" i="35"/>
  <c r="G146" i="35"/>
  <c r="I146" i="35"/>
  <c r="H146" i="35"/>
  <c r="N151" i="35"/>
  <c r="L151" i="35"/>
  <c r="M151" i="35"/>
  <c r="C148" i="35"/>
  <c r="E147" i="35"/>
  <c r="F147" i="35" l="1"/>
  <c r="J147" i="35"/>
  <c r="I147" i="35"/>
  <c r="H147" i="35"/>
  <c r="G147" i="35"/>
  <c r="M152" i="35"/>
  <c r="L152" i="35"/>
  <c r="N152" i="35"/>
  <c r="C149" i="35"/>
  <c r="E148" i="35"/>
  <c r="J148" i="35" l="1"/>
  <c r="F148" i="35"/>
  <c r="I148" i="35"/>
  <c r="H148" i="35"/>
  <c r="G148" i="35"/>
  <c r="N153" i="35"/>
  <c r="L153" i="35"/>
  <c r="M153" i="35"/>
  <c r="C150" i="35"/>
  <c r="E149" i="35"/>
  <c r="F149" i="35" l="1"/>
  <c r="J149" i="35"/>
  <c r="G149" i="35"/>
  <c r="H149" i="35"/>
  <c r="I149" i="35"/>
  <c r="M154" i="35"/>
  <c r="L154" i="35"/>
  <c r="N154" i="35"/>
  <c r="N33" i="13"/>
  <c r="Q33" i="13" s="1"/>
  <c r="Z33" i="13" s="1"/>
  <c r="C151" i="35"/>
  <c r="E150" i="35"/>
  <c r="F150" i="35" l="1"/>
  <c r="J150" i="35"/>
  <c r="H150" i="35"/>
  <c r="G150" i="35"/>
  <c r="I150" i="35"/>
  <c r="N155" i="35"/>
  <c r="L155" i="35"/>
  <c r="M155" i="35"/>
  <c r="T33" i="52"/>
  <c r="AC33" i="13"/>
  <c r="AG33" i="13"/>
  <c r="AH33" i="13" s="1"/>
  <c r="C152" i="35"/>
  <c r="E151" i="35"/>
  <c r="F151" i="35" l="1"/>
  <c r="J151" i="35"/>
  <c r="G151" i="35"/>
  <c r="H151" i="35"/>
  <c r="I151" i="35"/>
  <c r="M156" i="35"/>
  <c r="L156" i="35"/>
  <c r="N156" i="35"/>
  <c r="X33" i="52"/>
  <c r="AD33" i="52"/>
  <c r="C153" i="35"/>
  <c r="E152" i="35"/>
  <c r="F152" i="35" l="1"/>
  <c r="J152" i="35"/>
  <c r="H152" i="35"/>
  <c r="G152" i="35"/>
  <c r="I152" i="35"/>
  <c r="N157" i="35"/>
  <c r="L157" i="35"/>
  <c r="M157" i="35"/>
  <c r="C154" i="35"/>
  <c r="E153" i="35"/>
  <c r="F153" i="35" l="1"/>
  <c r="J153" i="35"/>
  <c r="H153" i="35"/>
  <c r="I153" i="35"/>
  <c r="G153" i="35"/>
  <c r="M158" i="35"/>
  <c r="L158" i="35"/>
  <c r="N158" i="35"/>
  <c r="C155" i="35"/>
  <c r="E154" i="35"/>
  <c r="J154" i="35" l="1"/>
  <c r="F154" i="35"/>
  <c r="I154" i="35"/>
  <c r="H154" i="35"/>
  <c r="G154" i="35"/>
  <c r="N159" i="35"/>
  <c r="L159" i="35"/>
  <c r="M159" i="35"/>
  <c r="C156" i="35"/>
  <c r="E155" i="35"/>
  <c r="J155" i="35" l="1"/>
  <c r="F155" i="35"/>
  <c r="H155" i="35"/>
  <c r="G155" i="35"/>
  <c r="I155" i="35"/>
  <c r="M160" i="35"/>
  <c r="L160" i="35"/>
  <c r="N160" i="35"/>
  <c r="C157" i="35"/>
  <c r="E156" i="35"/>
  <c r="J156" i="35" l="1"/>
  <c r="F156" i="35"/>
  <c r="G156" i="35"/>
  <c r="I156" i="35"/>
  <c r="H156" i="35"/>
  <c r="N161" i="35"/>
  <c r="L161" i="35"/>
  <c r="M161" i="35"/>
  <c r="C158" i="35"/>
  <c r="E157" i="35"/>
  <c r="J157" i="35" l="1"/>
  <c r="F157" i="35"/>
  <c r="H157" i="35"/>
  <c r="G157" i="35"/>
  <c r="I157" i="35"/>
  <c r="M162" i="35"/>
  <c r="L162" i="35"/>
  <c r="N162" i="35"/>
  <c r="E158" i="35"/>
  <c r="C159" i="35"/>
  <c r="J158" i="35" l="1"/>
  <c r="F158" i="35"/>
  <c r="G158" i="35"/>
  <c r="H158" i="35"/>
  <c r="I158" i="35"/>
  <c r="N163" i="35"/>
  <c r="L163" i="35"/>
  <c r="M163" i="35"/>
  <c r="C160" i="35"/>
  <c r="E159" i="35"/>
  <c r="F159" i="35" l="1"/>
  <c r="J159" i="35"/>
  <c r="I159" i="35"/>
  <c r="G159" i="35"/>
  <c r="H159" i="35"/>
  <c r="M164" i="35"/>
  <c r="L164" i="35"/>
  <c r="N164" i="35"/>
  <c r="C161" i="35"/>
  <c r="E160" i="35"/>
  <c r="F160" i="35" l="1"/>
  <c r="J160" i="35"/>
  <c r="I160" i="35"/>
  <c r="H160" i="35"/>
  <c r="G160" i="35"/>
  <c r="N165" i="35"/>
  <c r="L165" i="35"/>
  <c r="M165" i="35"/>
  <c r="G18" i="13"/>
  <c r="C162" i="35"/>
  <c r="E161" i="35"/>
  <c r="F161" i="35" l="1"/>
  <c r="J161" i="35"/>
  <c r="H161" i="35"/>
  <c r="G161" i="35"/>
  <c r="I161" i="35"/>
  <c r="M166" i="35"/>
  <c r="L166" i="35"/>
  <c r="N166" i="35"/>
  <c r="G17" i="61"/>
  <c r="H17" i="61"/>
  <c r="F17" i="61"/>
  <c r="I18" i="13"/>
  <c r="C163" i="35"/>
  <c r="E162" i="35"/>
  <c r="J162" i="35" l="1"/>
  <c r="F162" i="35"/>
  <c r="G162" i="35"/>
  <c r="H162" i="35"/>
  <c r="I162" i="35"/>
  <c r="N167" i="35"/>
  <c r="L167" i="35"/>
  <c r="M167" i="35"/>
  <c r="I17" i="61"/>
  <c r="J17" i="61"/>
  <c r="K17" i="61"/>
  <c r="C164" i="35"/>
  <c r="E163" i="35"/>
  <c r="F163" i="35" l="1"/>
  <c r="J163" i="35"/>
  <c r="H163" i="35"/>
  <c r="G163" i="35"/>
  <c r="I163" i="35"/>
  <c r="M168" i="35"/>
  <c r="L168" i="35"/>
  <c r="N168" i="35"/>
  <c r="C165" i="35"/>
  <c r="E164" i="35"/>
  <c r="F164" i="35" l="1"/>
  <c r="J164" i="35"/>
  <c r="H164" i="35"/>
  <c r="I164" i="35"/>
  <c r="G164" i="35"/>
  <c r="N169" i="35"/>
  <c r="L169" i="35"/>
  <c r="M169" i="35"/>
  <c r="C166" i="35"/>
  <c r="E165" i="35"/>
  <c r="F165" i="35" l="1"/>
  <c r="J165" i="35"/>
  <c r="H165" i="35"/>
  <c r="G165" i="35"/>
  <c r="I165" i="35"/>
  <c r="M170" i="35"/>
  <c r="L170" i="35"/>
  <c r="N170" i="35"/>
  <c r="C167" i="35"/>
  <c r="E166" i="35"/>
  <c r="J166" i="35" l="1"/>
  <c r="F166" i="35"/>
  <c r="I166" i="35"/>
  <c r="G166" i="35"/>
  <c r="H166" i="35"/>
  <c r="N171" i="35"/>
  <c r="L171" i="35"/>
  <c r="M171" i="35"/>
  <c r="C168" i="35"/>
  <c r="E167" i="35"/>
  <c r="J167" i="35" l="1"/>
  <c r="F167" i="35"/>
  <c r="H167" i="35"/>
  <c r="G167" i="35"/>
  <c r="I167" i="35"/>
  <c r="M172" i="35"/>
  <c r="L172" i="35"/>
  <c r="N172" i="35"/>
  <c r="C169" i="35"/>
  <c r="E168" i="35"/>
  <c r="J168" i="35" l="1"/>
  <c r="F168" i="35"/>
  <c r="G168" i="35"/>
  <c r="H168" i="35"/>
  <c r="I168" i="35"/>
  <c r="N173" i="35"/>
  <c r="L173" i="35"/>
  <c r="M173" i="35"/>
  <c r="C170" i="35"/>
  <c r="E169" i="35"/>
  <c r="J169" i="35" l="1"/>
  <c r="F169" i="35"/>
  <c r="I169" i="35"/>
  <c r="H169" i="35"/>
  <c r="G169" i="35"/>
  <c r="M174" i="35"/>
  <c r="L174" i="35"/>
  <c r="N174" i="35"/>
  <c r="C171" i="35"/>
  <c r="E170" i="35"/>
  <c r="J170" i="35" l="1"/>
  <c r="F170" i="35"/>
  <c r="H170" i="35"/>
  <c r="G170" i="35"/>
  <c r="I170" i="35"/>
  <c r="N175" i="35"/>
  <c r="N27" i="61" s="1"/>
  <c r="L175" i="35"/>
  <c r="L27" i="61" s="1"/>
  <c r="M175" i="35"/>
  <c r="M27" i="61" s="1"/>
  <c r="C172" i="35"/>
  <c r="E171" i="35"/>
  <c r="J171" i="35" l="1"/>
  <c r="F171" i="35"/>
  <c r="G171" i="35"/>
  <c r="H171" i="35"/>
  <c r="I171" i="35"/>
  <c r="M176" i="35"/>
  <c r="L176" i="35"/>
  <c r="N176" i="35"/>
  <c r="N21" i="13"/>
  <c r="Q21" i="13" s="1"/>
  <c r="Z21" i="13" s="1"/>
  <c r="C173" i="35"/>
  <c r="E172" i="35"/>
  <c r="J172" i="35" l="1"/>
  <c r="F172" i="35"/>
  <c r="I172" i="35"/>
  <c r="H172" i="35"/>
  <c r="G172" i="35"/>
  <c r="N177" i="35"/>
  <c r="L177" i="35"/>
  <c r="M177" i="35"/>
  <c r="AH21" i="13"/>
  <c r="AK21" i="13" s="1"/>
  <c r="AC21" i="13"/>
  <c r="T21" i="52"/>
  <c r="H13" i="13"/>
  <c r="E173" i="35"/>
  <c r="C174" i="35"/>
  <c r="J173" i="35" l="1"/>
  <c r="F173" i="35"/>
  <c r="G173" i="35"/>
  <c r="H173" i="35"/>
  <c r="I173" i="35"/>
  <c r="M178" i="35"/>
  <c r="L178" i="35"/>
  <c r="N178" i="35"/>
  <c r="X21" i="52"/>
  <c r="AD21" i="52"/>
  <c r="M32" i="13"/>
  <c r="P32" i="13" s="1"/>
  <c r="Y32" i="13" s="1"/>
  <c r="C175" i="35"/>
  <c r="E174" i="35"/>
  <c r="F174" i="35" l="1"/>
  <c r="J174" i="35"/>
  <c r="H174" i="35"/>
  <c r="I174" i="35"/>
  <c r="G174" i="35"/>
  <c r="L179" i="35"/>
  <c r="N179" i="35"/>
  <c r="M179" i="35"/>
  <c r="S32" i="52"/>
  <c r="AB32" i="13"/>
  <c r="G13" i="13"/>
  <c r="I13" i="13"/>
  <c r="C176" i="35"/>
  <c r="E175" i="35"/>
  <c r="F175" i="35" l="1"/>
  <c r="J175" i="35"/>
  <c r="I175" i="35"/>
  <c r="H175" i="35"/>
  <c r="G175" i="35"/>
  <c r="M180" i="35"/>
  <c r="N180" i="35"/>
  <c r="L180" i="35"/>
  <c r="H21" i="13"/>
  <c r="C177" i="35"/>
  <c r="E176" i="35"/>
  <c r="F176" i="35" l="1"/>
  <c r="J176" i="35"/>
  <c r="G176" i="35"/>
  <c r="I176" i="35"/>
  <c r="H176" i="35"/>
  <c r="L181" i="35"/>
  <c r="N181" i="35"/>
  <c r="M181" i="35"/>
  <c r="O21" i="13"/>
  <c r="R21" i="13" s="1"/>
  <c r="AA21" i="13" s="1"/>
  <c r="I21" i="13"/>
  <c r="C178" i="35"/>
  <c r="E177" i="35"/>
  <c r="F177" i="35" l="1"/>
  <c r="J177" i="35"/>
  <c r="I177" i="35"/>
  <c r="G177" i="35"/>
  <c r="H177" i="35"/>
  <c r="N182" i="35"/>
  <c r="M182" i="35"/>
  <c r="L182" i="35"/>
  <c r="U21" i="52"/>
  <c r="AD21" i="13"/>
  <c r="AG21" i="13"/>
  <c r="N24" i="13"/>
  <c r="Q24" i="13" s="1"/>
  <c r="Z24" i="13" s="1"/>
  <c r="C179" i="35"/>
  <c r="E178" i="35"/>
  <c r="J178" i="35" l="1"/>
  <c r="F178" i="35"/>
  <c r="H178" i="35"/>
  <c r="I178" i="35"/>
  <c r="G178" i="35"/>
  <c r="L183" i="35"/>
  <c r="M183" i="35"/>
  <c r="N183" i="35"/>
  <c r="AH24" i="13"/>
  <c r="AK24" i="13" s="1"/>
  <c r="T24" i="52"/>
  <c r="AC24" i="13"/>
  <c r="C180" i="35"/>
  <c r="E179" i="35"/>
  <c r="J179" i="35" l="1"/>
  <c r="F179" i="35"/>
  <c r="G179" i="35"/>
  <c r="H179" i="35"/>
  <c r="I179" i="35"/>
  <c r="M184" i="35"/>
  <c r="N184" i="35"/>
  <c r="L184" i="35"/>
  <c r="X24" i="52"/>
  <c r="AD24" i="52"/>
  <c r="M24" i="13"/>
  <c r="P24" i="13" s="1"/>
  <c r="Y24" i="13" s="1"/>
  <c r="C181" i="35"/>
  <c r="C182" i="35" s="1"/>
  <c r="E180" i="35"/>
  <c r="J180" i="35" l="1"/>
  <c r="F180" i="35"/>
  <c r="I180" i="35"/>
  <c r="H180" i="35"/>
  <c r="G180" i="35"/>
  <c r="L185" i="35"/>
  <c r="N185" i="35"/>
  <c r="M185" i="35"/>
  <c r="AB24" i="13"/>
  <c r="S24" i="52"/>
  <c r="C183" i="35"/>
  <c r="E182" i="35"/>
  <c r="E181" i="35"/>
  <c r="J182" i="35" l="1"/>
  <c r="F182" i="35"/>
  <c r="J181" i="35"/>
  <c r="F181" i="35"/>
  <c r="H182" i="35"/>
  <c r="G182" i="35"/>
  <c r="I182" i="35"/>
  <c r="I181" i="35"/>
  <c r="H181" i="35"/>
  <c r="G181" i="35"/>
  <c r="M186" i="35"/>
  <c r="N186" i="35"/>
  <c r="L186" i="35"/>
  <c r="C184" i="35"/>
  <c r="E183" i="35"/>
  <c r="F183" i="35" l="1"/>
  <c r="J183" i="35"/>
  <c r="G183" i="35"/>
  <c r="I183" i="35"/>
  <c r="H183" i="35"/>
  <c r="L187" i="35"/>
  <c r="N187" i="35"/>
  <c r="M187" i="35"/>
  <c r="H22" i="13"/>
  <c r="C185" i="35"/>
  <c r="E184" i="35"/>
  <c r="F184" i="35" l="1"/>
  <c r="J184" i="35"/>
  <c r="I184" i="35"/>
  <c r="H184" i="35"/>
  <c r="G184" i="35"/>
  <c r="M188" i="35"/>
  <c r="N188" i="35"/>
  <c r="L188" i="35"/>
  <c r="G19" i="13"/>
  <c r="C186" i="35"/>
  <c r="E185" i="35"/>
  <c r="J185" i="35" l="1"/>
  <c r="F185" i="35"/>
  <c r="I185" i="35"/>
  <c r="H185" i="35"/>
  <c r="G185" i="35"/>
  <c r="L189" i="35"/>
  <c r="N189" i="35"/>
  <c r="M189" i="35"/>
  <c r="H19" i="13"/>
  <c r="O32" i="13"/>
  <c r="R32" i="13" s="1"/>
  <c r="AA32" i="13" s="1"/>
  <c r="O31" i="13"/>
  <c r="R31" i="13" s="1"/>
  <c r="AA31" i="13" s="1"/>
  <c r="C187" i="35"/>
  <c r="E186" i="35"/>
  <c r="F186" i="35" l="1"/>
  <c r="J186" i="35"/>
  <c r="G186" i="35"/>
  <c r="I186" i="35"/>
  <c r="H186" i="35"/>
  <c r="M190" i="35"/>
  <c r="N190" i="35"/>
  <c r="L190" i="35"/>
  <c r="AD32" i="13"/>
  <c r="U32" i="52"/>
  <c r="AG32" i="13"/>
  <c r="M31" i="13"/>
  <c r="P31" i="13" s="1"/>
  <c r="Y31" i="13" s="1"/>
  <c r="AD31" i="13"/>
  <c r="U31" i="52"/>
  <c r="I19" i="13"/>
  <c r="C188" i="35"/>
  <c r="E187" i="35"/>
  <c r="J187" i="35" l="1"/>
  <c r="F187" i="35"/>
  <c r="G187" i="35"/>
  <c r="H187" i="35"/>
  <c r="I187" i="35"/>
  <c r="L191" i="35"/>
  <c r="N191" i="35"/>
  <c r="M191" i="35"/>
  <c r="AH32" i="13"/>
  <c r="S31" i="52"/>
  <c r="AB31" i="13"/>
  <c r="C189" i="35"/>
  <c r="C190" i="35" s="1"/>
  <c r="E188" i="35"/>
  <c r="J188" i="35" l="1"/>
  <c r="F188" i="35"/>
  <c r="H188" i="35"/>
  <c r="G188" i="35"/>
  <c r="I188" i="35"/>
  <c r="M192" i="35"/>
  <c r="N192" i="35"/>
  <c r="L192" i="35"/>
  <c r="G49" i="13"/>
  <c r="C191" i="35"/>
  <c r="E190" i="35"/>
  <c r="E189" i="35"/>
  <c r="F189" i="35" l="1"/>
  <c r="J189" i="35"/>
  <c r="J190" i="35"/>
  <c r="F190" i="35"/>
  <c r="I189" i="35"/>
  <c r="G189" i="35"/>
  <c r="H189" i="35"/>
  <c r="I190" i="35"/>
  <c r="G190" i="35"/>
  <c r="H190" i="35"/>
  <c r="L193" i="35"/>
  <c r="N193" i="35"/>
  <c r="M193" i="35"/>
  <c r="I49" i="13"/>
  <c r="C192" i="35"/>
  <c r="E191" i="35"/>
  <c r="J191" i="35" l="1"/>
  <c r="F191" i="35"/>
  <c r="G191" i="35"/>
  <c r="H191" i="35"/>
  <c r="I191" i="35"/>
  <c r="M194" i="35"/>
  <c r="N194" i="35"/>
  <c r="L194" i="35"/>
  <c r="C193" i="35"/>
  <c r="E192" i="35"/>
  <c r="J192" i="35" l="1"/>
  <c r="F192" i="35"/>
  <c r="H192" i="35"/>
  <c r="I192" i="35"/>
  <c r="G192" i="35"/>
  <c r="L195" i="35"/>
  <c r="N195" i="35"/>
  <c r="M195" i="35"/>
  <c r="H18" i="61"/>
  <c r="F18" i="61"/>
  <c r="G18" i="61"/>
  <c r="H20" i="13"/>
  <c r="C194" i="35"/>
  <c r="E193" i="35"/>
  <c r="J193" i="35" l="1"/>
  <c r="F193" i="35"/>
  <c r="G193" i="35"/>
  <c r="H193" i="35"/>
  <c r="I193" i="35"/>
  <c r="M196" i="35"/>
  <c r="N196" i="35"/>
  <c r="L196" i="35"/>
  <c r="I18" i="61"/>
  <c r="J18" i="61"/>
  <c r="K18" i="61"/>
  <c r="N31" i="13"/>
  <c r="Q31" i="13" s="1"/>
  <c r="Z31" i="13" s="1"/>
  <c r="G22" i="13"/>
  <c r="C195" i="35"/>
  <c r="E194" i="35"/>
  <c r="J194" i="35" l="1"/>
  <c r="F194" i="35"/>
  <c r="H194" i="35"/>
  <c r="I194" i="35"/>
  <c r="G194" i="35"/>
  <c r="L197" i="35"/>
  <c r="N197" i="35"/>
  <c r="M197" i="35"/>
  <c r="T31" i="52"/>
  <c r="AC31" i="13"/>
  <c r="AG31" i="13"/>
  <c r="AH31" i="13" s="1"/>
  <c r="C196" i="35"/>
  <c r="E195" i="35"/>
  <c r="J195" i="35" l="1"/>
  <c r="F195" i="35"/>
  <c r="G195" i="35"/>
  <c r="I195" i="35"/>
  <c r="H195" i="35"/>
  <c r="M198" i="35"/>
  <c r="N198" i="35"/>
  <c r="L198" i="35"/>
  <c r="X31" i="52"/>
  <c r="AD31" i="52"/>
  <c r="C197" i="35"/>
  <c r="E196" i="35"/>
  <c r="J196" i="35" l="1"/>
  <c r="F196" i="35"/>
  <c r="H196" i="35"/>
  <c r="G196" i="35"/>
  <c r="I196" i="35"/>
  <c r="L199" i="35"/>
  <c r="N199" i="35"/>
  <c r="M199" i="35"/>
  <c r="C198" i="35"/>
  <c r="E197" i="35"/>
  <c r="J197" i="35" l="1"/>
  <c r="F197" i="35"/>
  <c r="I197" i="35"/>
  <c r="G197" i="35"/>
  <c r="H197" i="35"/>
  <c r="M200" i="35"/>
  <c r="N200" i="35"/>
  <c r="L200" i="35"/>
  <c r="C199" i="35"/>
  <c r="E198" i="35"/>
  <c r="F198" i="35" l="1"/>
  <c r="J198" i="35"/>
  <c r="I198" i="35"/>
  <c r="G198" i="35"/>
  <c r="H198" i="35"/>
  <c r="L201" i="35"/>
  <c r="N201" i="35"/>
  <c r="M201" i="35"/>
  <c r="C200" i="35"/>
  <c r="E199" i="35"/>
  <c r="F199" i="35" l="1"/>
  <c r="J199" i="35"/>
  <c r="I199" i="35"/>
  <c r="H199" i="35"/>
  <c r="G199" i="35"/>
  <c r="M202" i="35"/>
  <c r="N202" i="35"/>
  <c r="N29" i="61" s="1"/>
  <c r="L202" i="35"/>
  <c r="C201" i="35"/>
  <c r="E200" i="35"/>
  <c r="F200" i="35" l="1"/>
  <c r="J200" i="35"/>
  <c r="L29" i="61"/>
  <c r="M29" i="61"/>
  <c r="I200" i="35"/>
  <c r="H200" i="35"/>
  <c r="G200" i="35"/>
  <c r="L203" i="35"/>
  <c r="N203" i="35"/>
  <c r="M203" i="35"/>
  <c r="C202" i="35"/>
  <c r="C203" i="35" s="1"/>
  <c r="E201" i="35"/>
  <c r="F201" i="35" l="1"/>
  <c r="J201" i="35"/>
  <c r="G201" i="35"/>
  <c r="H201" i="35"/>
  <c r="I201" i="35"/>
  <c r="M204" i="35"/>
  <c r="N204" i="35"/>
  <c r="L204" i="35"/>
  <c r="C204" i="35"/>
  <c r="E203" i="35"/>
  <c r="E202" i="35"/>
  <c r="J202" i="35" l="1"/>
  <c r="F202" i="35"/>
  <c r="H203" i="35"/>
  <c r="J203" i="35"/>
  <c r="F203" i="35"/>
  <c r="I202" i="35"/>
  <c r="G202" i="35"/>
  <c r="H202" i="35"/>
  <c r="I203" i="35"/>
  <c r="G203" i="35"/>
  <c r="L205" i="35"/>
  <c r="N205" i="35"/>
  <c r="M205" i="35"/>
  <c r="N26" i="13"/>
  <c r="Q26" i="13" s="1"/>
  <c r="Z26" i="13" s="1"/>
  <c r="C205" i="35"/>
  <c r="E204" i="35"/>
  <c r="H204" i="35" l="1"/>
  <c r="J204" i="35"/>
  <c r="F204" i="35"/>
  <c r="I204" i="35"/>
  <c r="G204" i="35"/>
  <c r="M206" i="35"/>
  <c r="N206" i="35"/>
  <c r="L206" i="35"/>
  <c r="T26" i="52"/>
  <c r="AC26" i="13"/>
  <c r="O18" i="13"/>
  <c r="R18" i="13" s="1"/>
  <c r="AA18" i="13" s="1"/>
  <c r="C206" i="35"/>
  <c r="E205" i="35"/>
  <c r="G205" i="35" l="1"/>
  <c r="J205" i="35"/>
  <c r="F205" i="35"/>
  <c r="H205" i="35"/>
  <c r="I205" i="35"/>
  <c r="L207" i="35"/>
  <c r="N207" i="35"/>
  <c r="M207" i="35"/>
  <c r="X26" i="52"/>
  <c r="AD26" i="52"/>
  <c r="U18" i="52"/>
  <c r="AD18" i="13"/>
  <c r="C207" i="35"/>
  <c r="E206" i="35"/>
  <c r="H206" i="35" l="1"/>
  <c r="J206" i="35"/>
  <c r="F206" i="35"/>
  <c r="G206" i="35"/>
  <c r="I206" i="35"/>
  <c r="M208" i="35"/>
  <c r="N208" i="35"/>
  <c r="L208" i="35"/>
  <c r="N34" i="13"/>
  <c r="Q34" i="13" s="1"/>
  <c r="Z34" i="13" s="1"/>
  <c r="C208" i="35"/>
  <c r="E207" i="35"/>
  <c r="H207" i="35" l="1"/>
  <c r="J207" i="35"/>
  <c r="F207" i="35"/>
  <c r="G207" i="35"/>
  <c r="I207" i="35"/>
  <c r="L209" i="35"/>
  <c r="N209" i="35"/>
  <c r="M209" i="35"/>
  <c r="N20" i="13"/>
  <c r="Q20" i="13" s="1"/>
  <c r="Z20" i="13" s="1"/>
  <c r="AC34" i="13"/>
  <c r="T34" i="52"/>
  <c r="C209" i="35"/>
  <c r="C210" i="35" s="1"/>
  <c r="E208" i="35"/>
  <c r="I208" i="35" l="1"/>
  <c r="F208" i="35"/>
  <c r="J208" i="35"/>
  <c r="H208" i="35"/>
  <c r="G208" i="35"/>
  <c r="M210" i="35"/>
  <c r="M28" i="61" s="1"/>
  <c r="N210" i="35"/>
  <c r="N28" i="61" s="1"/>
  <c r="L210" i="35"/>
  <c r="L28" i="61" s="1"/>
  <c r="AC20" i="13"/>
  <c r="AH20" i="13"/>
  <c r="AK20" i="13" s="1"/>
  <c r="T20" i="52"/>
  <c r="AG20" i="13"/>
  <c r="AD34" i="52"/>
  <c r="X34" i="52"/>
  <c r="C211" i="35"/>
  <c r="E210" i="35"/>
  <c r="E209" i="35"/>
  <c r="G209" i="35" l="1"/>
  <c r="F209" i="35"/>
  <c r="J209" i="35"/>
  <c r="J210" i="35"/>
  <c r="F210" i="35"/>
  <c r="G210" i="35"/>
  <c r="I210" i="35"/>
  <c r="H210" i="35"/>
  <c r="I209" i="35"/>
  <c r="H209" i="35"/>
  <c r="L211" i="35"/>
  <c r="N211" i="35"/>
  <c r="M211" i="35"/>
  <c r="X20" i="52"/>
  <c r="AD20" i="52"/>
  <c r="I23" i="13"/>
  <c r="C212" i="35"/>
  <c r="E211" i="35"/>
  <c r="J211" i="35" l="1"/>
  <c r="F211" i="35"/>
  <c r="I211" i="35"/>
  <c r="H211" i="35"/>
  <c r="G211" i="35"/>
  <c r="M212" i="35"/>
  <c r="N212" i="35"/>
  <c r="L212" i="35"/>
  <c r="C213" i="35"/>
  <c r="E212" i="35"/>
  <c r="J212" i="35" l="1"/>
  <c r="F212" i="35"/>
  <c r="G212" i="35"/>
  <c r="H212" i="35"/>
  <c r="I212" i="35"/>
  <c r="L213" i="35"/>
  <c r="N213" i="35"/>
  <c r="M213" i="35"/>
  <c r="C214" i="35"/>
  <c r="E213" i="35"/>
  <c r="F213" i="35" l="1"/>
  <c r="J213" i="35"/>
  <c r="H213" i="35"/>
  <c r="I213" i="35"/>
  <c r="G213" i="35"/>
  <c r="M214" i="35"/>
  <c r="N214" i="35"/>
  <c r="L214" i="35"/>
  <c r="I22" i="13"/>
  <c r="C215" i="35"/>
  <c r="E214" i="35"/>
  <c r="J214" i="35" l="1"/>
  <c r="F214" i="35"/>
  <c r="G214" i="35"/>
  <c r="I214" i="35"/>
  <c r="H214" i="35"/>
  <c r="L215" i="35"/>
  <c r="N215" i="35"/>
  <c r="M215" i="35"/>
  <c r="M18" i="13"/>
  <c r="P18" i="13" s="1"/>
  <c r="Y18" i="13" s="1"/>
  <c r="C216" i="35"/>
  <c r="E215" i="35"/>
  <c r="J215" i="35" l="1"/>
  <c r="F215" i="35"/>
  <c r="H215" i="35"/>
  <c r="I215" i="35"/>
  <c r="G215" i="35"/>
  <c r="M216" i="35"/>
  <c r="N216" i="35"/>
  <c r="L216" i="35"/>
  <c r="M34" i="13"/>
  <c r="P34" i="13" s="1"/>
  <c r="Y34" i="13" s="1"/>
  <c r="O12" i="13"/>
  <c r="R12" i="13" s="1"/>
  <c r="AA12" i="13" s="1"/>
  <c r="S18" i="52"/>
  <c r="AB18" i="13"/>
  <c r="AG18" i="13"/>
  <c r="G23" i="13"/>
  <c r="H23" i="13"/>
  <c r="C217" i="35"/>
  <c r="C218" i="35" s="1"/>
  <c r="E216" i="35"/>
  <c r="E218" i="35" l="1"/>
  <c r="C219" i="35"/>
  <c r="J216" i="35"/>
  <c r="F216" i="35"/>
  <c r="G216" i="35"/>
  <c r="I216" i="35"/>
  <c r="H216" i="35"/>
  <c r="L217" i="35"/>
  <c r="N217" i="35"/>
  <c r="M217" i="35"/>
  <c r="N42" i="13"/>
  <c r="S34" i="52"/>
  <c r="AB34" i="13"/>
  <c r="AG34" i="13"/>
  <c r="AH34" i="13" s="1"/>
  <c r="U12" i="52"/>
  <c r="AD12" i="13"/>
  <c r="E217" i="35"/>
  <c r="E219" i="35" l="1"/>
  <c r="C220" i="35"/>
  <c r="G218" i="35"/>
  <c r="J218" i="35"/>
  <c r="H218" i="35"/>
  <c r="I218" i="35"/>
  <c r="F218" i="35"/>
  <c r="J217" i="35"/>
  <c r="F217" i="35"/>
  <c r="I217" i="35"/>
  <c r="H217" i="35"/>
  <c r="G217" i="35"/>
  <c r="E220" i="35" l="1"/>
  <c r="C221" i="35"/>
  <c r="I219" i="35"/>
  <c r="G219" i="35"/>
  <c r="H219" i="35"/>
  <c r="J219" i="35"/>
  <c r="F219" i="35"/>
  <c r="O28" i="13"/>
  <c r="R28" i="13" s="1"/>
  <c r="AA28" i="13" s="1"/>
  <c r="N12" i="13"/>
  <c r="Q12" i="13" s="1"/>
  <c r="Z12" i="13" s="1"/>
  <c r="E221" i="35" l="1"/>
  <c r="C222" i="35"/>
  <c r="I220" i="35"/>
  <c r="H220" i="35"/>
  <c r="G220" i="35"/>
  <c r="J220" i="35"/>
  <c r="F220" i="35"/>
  <c r="O35" i="13"/>
  <c r="R35" i="13" s="1"/>
  <c r="AA35" i="13" s="1"/>
  <c r="U28" i="52"/>
  <c r="AD28" i="13"/>
  <c r="N28" i="13"/>
  <c r="Q28" i="13" s="1"/>
  <c r="Z28" i="13" s="1"/>
  <c r="AJ32" i="13"/>
  <c r="T12" i="52"/>
  <c r="AC12" i="13"/>
  <c r="AH12" i="13"/>
  <c r="C223" i="35" l="1"/>
  <c r="E222" i="35"/>
  <c r="J221" i="35"/>
  <c r="I221" i="35"/>
  <c r="H221" i="35"/>
  <c r="G221" i="35"/>
  <c r="F221" i="35"/>
  <c r="AC28" i="13"/>
  <c r="AJ25" i="13"/>
  <c r="T28" i="52"/>
  <c r="AG28" i="13"/>
  <c r="U35" i="52"/>
  <c r="AD35" i="13"/>
  <c r="AI32" i="13"/>
  <c r="AD12" i="52"/>
  <c r="X12" i="52"/>
  <c r="AF12" i="52"/>
  <c r="N15" i="13"/>
  <c r="Q15" i="13" s="1"/>
  <c r="Z15" i="13" s="1"/>
  <c r="M15" i="13"/>
  <c r="P15" i="13" s="1"/>
  <c r="Y15" i="13" s="1"/>
  <c r="J222" i="35" l="1"/>
  <c r="I222" i="35"/>
  <c r="G222" i="35"/>
  <c r="H222" i="35"/>
  <c r="F222" i="35"/>
  <c r="C224" i="35"/>
  <c r="E223" i="35"/>
  <c r="G19" i="61"/>
  <c r="F19" i="61"/>
  <c r="H19" i="61"/>
  <c r="AD28" i="52"/>
  <c r="AE25" i="52" s="1"/>
  <c r="X28" i="52"/>
  <c r="S15" i="52"/>
  <c r="AB15" i="13"/>
  <c r="AH15" i="13"/>
  <c r="AC15" i="13"/>
  <c r="T15" i="52"/>
  <c r="I223" i="35" l="1"/>
  <c r="J223" i="35"/>
  <c r="G223" i="35"/>
  <c r="H223" i="35"/>
  <c r="F223" i="35"/>
  <c r="E224" i="35"/>
  <c r="C225" i="35"/>
  <c r="J19" i="61"/>
  <c r="I19" i="61"/>
  <c r="K19" i="61"/>
  <c r="M35" i="13"/>
  <c r="P35" i="13" s="1"/>
  <c r="Y35" i="13" s="1"/>
  <c r="X15" i="52"/>
  <c r="AD15" i="52"/>
  <c r="O53" i="13"/>
  <c r="R53" i="13" s="1"/>
  <c r="AA53" i="13" s="1"/>
  <c r="C226" i="35" l="1"/>
  <c r="E225" i="35"/>
  <c r="I224" i="35"/>
  <c r="J224" i="35"/>
  <c r="H224" i="35"/>
  <c r="G224" i="35"/>
  <c r="F224" i="35"/>
  <c r="AB35" i="13"/>
  <c r="S35" i="52"/>
  <c r="AD53" i="13"/>
  <c r="U53" i="52"/>
  <c r="I225" i="35" l="1"/>
  <c r="J225" i="35"/>
  <c r="G225" i="35"/>
  <c r="H225" i="35"/>
  <c r="F225" i="35"/>
  <c r="C227" i="35"/>
  <c r="E226" i="35"/>
  <c r="N35" i="13"/>
  <c r="Q35" i="13" s="1"/>
  <c r="Z35" i="13" s="1"/>
  <c r="M36" i="13"/>
  <c r="P36" i="13" s="1"/>
  <c r="Y36" i="13" s="1"/>
  <c r="O15" i="13"/>
  <c r="R15" i="13" s="1"/>
  <c r="AA15" i="13" s="1"/>
  <c r="C228" i="35" l="1"/>
  <c r="E227" i="35"/>
  <c r="J226" i="35"/>
  <c r="I226" i="35"/>
  <c r="H226" i="35"/>
  <c r="G226" i="35"/>
  <c r="F226" i="35"/>
  <c r="AB36" i="13"/>
  <c r="S36" i="52"/>
  <c r="AC35" i="13"/>
  <c r="T35" i="52"/>
  <c r="AG35" i="13"/>
  <c r="AH35" i="13" s="1"/>
  <c r="M12" i="13"/>
  <c r="P12" i="13" s="1"/>
  <c r="Y12" i="13" s="1"/>
  <c r="U15" i="52"/>
  <c r="AD15" i="13"/>
  <c r="AG15" i="13"/>
  <c r="J227" i="35" l="1"/>
  <c r="I227" i="35"/>
  <c r="G227" i="35"/>
  <c r="H227" i="35"/>
  <c r="F227" i="35"/>
  <c r="E228" i="35"/>
  <c r="C229" i="35"/>
  <c r="AD35" i="52"/>
  <c r="AE32" i="52" s="1"/>
  <c r="X35" i="52"/>
  <c r="Y32" i="52" s="1"/>
  <c r="AG12" i="13"/>
  <c r="S12" i="52"/>
  <c r="AB12" i="13"/>
  <c r="E229" i="35" l="1"/>
  <c r="C230" i="35"/>
  <c r="I228" i="35"/>
  <c r="J228" i="35"/>
  <c r="G228" i="35"/>
  <c r="H228" i="35"/>
  <c r="F228" i="35"/>
  <c r="N53" i="13"/>
  <c r="Q53" i="13" s="1"/>
  <c r="Z53" i="13" s="1"/>
  <c r="C231" i="35" l="1"/>
  <c r="E230" i="35"/>
  <c r="I229" i="35"/>
  <c r="J229" i="35"/>
  <c r="G229" i="35"/>
  <c r="H229" i="35"/>
  <c r="F229" i="35"/>
  <c r="T53" i="52"/>
  <c r="X53" i="52" s="1"/>
  <c r="AC53" i="13"/>
  <c r="I230" i="35" l="1"/>
  <c r="J230" i="35"/>
  <c r="H230" i="35"/>
  <c r="G230" i="35"/>
  <c r="F230" i="35"/>
  <c r="C232" i="35"/>
  <c r="E231" i="35"/>
  <c r="AD53" i="52"/>
  <c r="I231" i="35" l="1"/>
  <c r="J231" i="35"/>
  <c r="H231" i="35"/>
  <c r="G231" i="35"/>
  <c r="F231" i="35"/>
  <c r="C233" i="35"/>
  <c r="E232" i="35"/>
  <c r="M53" i="13"/>
  <c r="P53" i="13" s="1"/>
  <c r="Y53" i="13" s="1"/>
  <c r="O30" i="13"/>
  <c r="R30" i="13" s="1"/>
  <c r="AA30" i="13" s="1"/>
  <c r="G27" i="13"/>
  <c r="C234" i="35" l="1"/>
  <c r="E233" i="35"/>
  <c r="I232" i="35"/>
  <c r="J232" i="35"/>
  <c r="G232" i="35"/>
  <c r="H232" i="35"/>
  <c r="F232" i="35"/>
  <c r="AG53" i="13"/>
  <c r="AH53" i="13" s="1"/>
  <c r="S53" i="52"/>
  <c r="AB53" i="13"/>
  <c r="AD30" i="13"/>
  <c r="U30" i="52"/>
  <c r="I233" i="35" l="1"/>
  <c r="J233" i="35"/>
  <c r="H233" i="35"/>
  <c r="G233" i="35"/>
  <c r="F233" i="35"/>
  <c r="C235" i="35"/>
  <c r="E234" i="35"/>
  <c r="G21" i="13"/>
  <c r="J234" i="35" l="1"/>
  <c r="I234" i="35"/>
  <c r="H234" i="35"/>
  <c r="G234" i="35"/>
  <c r="F234" i="35"/>
  <c r="E235" i="35"/>
  <c r="C236" i="35"/>
  <c r="O52" i="13"/>
  <c r="R52" i="13" s="1"/>
  <c r="AA52" i="13" s="1"/>
  <c r="E236" i="35" l="1"/>
  <c r="C237" i="35"/>
  <c r="I235" i="35"/>
  <c r="J235" i="35"/>
  <c r="H235" i="35"/>
  <c r="G235" i="35"/>
  <c r="F235" i="35"/>
  <c r="U52" i="52"/>
  <c r="AD52" i="13"/>
  <c r="N52" i="13"/>
  <c r="Q52" i="13" s="1"/>
  <c r="Z52" i="13" s="1"/>
  <c r="E237" i="35" l="1"/>
  <c r="C238" i="35"/>
  <c r="I236" i="35"/>
  <c r="J236" i="35"/>
  <c r="G236" i="35"/>
  <c r="H236" i="35"/>
  <c r="F236" i="35"/>
  <c r="T52" i="52"/>
  <c r="X52" i="52" s="1"/>
  <c r="AC52" i="13"/>
  <c r="AG52" i="13"/>
  <c r="N30" i="13"/>
  <c r="Q30" i="13" s="1"/>
  <c r="Z30" i="13" s="1"/>
  <c r="C239" i="35" l="1"/>
  <c r="E238" i="35"/>
  <c r="I237" i="35"/>
  <c r="J237" i="35"/>
  <c r="H237" i="35"/>
  <c r="G237" i="35"/>
  <c r="F237" i="35"/>
  <c r="AD52" i="52"/>
  <c r="AE52" i="52" s="1"/>
  <c r="Y52" i="52"/>
  <c r="AH52" i="13"/>
  <c r="AI52" i="13"/>
  <c r="AJ30" i="13"/>
  <c r="AG30" i="13"/>
  <c r="AC30" i="13"/>
  <c r="T30" i="52"/>
  <c r="I238" i="35" l="1"/>
  <c r="J238" i="35"/>
  <c r="H238" i="35"/>
  <c r="G238" i="35"/>
  <c r="F238" i="35"/>
  <c r="C240" i="35"/>
  <c r="E239" i="35"/>
  <c r="X30" i="52"/>
  <c r="Y30" i="52" s="1"/>
  <c r="AD30" i="52"/>
  <c r="AE30" i="52" s="1"/>
  <c r="AH30" i="13"/>
  <c r="AI30" i="13"/>
  <c r="H27" i="13"/>
  <c r="I239" i="35" l="1"/>
  <c r="J239" i="35"/>
  <c r="G239" i="35"/>
  <c r="H239" i="35"/>
  <c r="F239" i="35"/>
  <c r="C241" i="35"/>
  <c r="E240" i="35"/>
  <c r="M22" i="13"/>
  <c r="P22" i="13" s="1"/>
  <c r="Y22" i="13" s="1"/>
  <c r="E241" i="35" l="1"/>
  <c r="C242" i="35"/>
  <c r="I240" i="35"/>
  <c r="J240" i="35"/>
  <c r="H240" i="35"/>
  <c r="G240" i="35"/>
  <c r="F240" i="35"/>
  <c r="S22" i="52"/>
  <c r="AB22" i="13"/>
  <c r="E242" i="35" l="1"/>
  <c r="C243" i="35"/>
  <c r="I241" i="35"/>
  <c r="J241" i="35"/>
  <c r="G241" i="35"/>
  <c r="H241" i="35"/>
  <c r="F241" i="35"/>
  <c r="K20" i="61"/>
  <c r="I20" i="61"/>
  <c r="Q20" i="61"/>
  <c r="O20" i="61"/>
  <c r="P20" i="61"/>
  <c r="C244" i="35" l="1"/>
  <c r="E243" i="35"/>
  <c r="H242" i="35"/>
  <c r="J242" i="35"/>
  <c r="G242" i="35"/>
  <c r="I242" i="35"/>
  <c r="F242" i="35"/>
  <c r="F20" i="61"/>
  <c r="H20" i="61"/>
  <c r="G20" i="61"/>
  <c r="J20" i="61"/>
  <c r="I243" i="35" l="1"/>
  <c r="H243" i="35"/>
  <c r="G243" i="35"/>
  <c r="J243" i="35"/>
  <c r="F243" i="35"/>
  <c r="E244" i="35"/>
  <c r="C245" i="35"/>
  <c r="G20" i="13"/>
  <c r="I20" i="13"/>
  <c r="G244" i="35" l="1"/>
  <c r="H244" i="35"/>
  <c r="I244" i="35"/>
  <c r="J244" i="35"/>
  <c r="F244" i="35"/>
  <c r="E245" i="35"/>
  <c r="C246" i="35"/>
  <c r="H26" i="13"/>
  <c r="C247" i="35" l="1"/>
  <c r="E246" i="35"/>
  <c r="H245" i="35"/>
  <c r="I245" i="35"/>
  <c r="G245" i="35"/>
  <c r="J245" i="35"/>
  <c r="F245" i="35"/>
  <c r="O50" i="13"/>
  <c r="R50" i="13" s="1"/>
  <c r="AA50" i="13" s="1"/>
  <c r="I27" i="13"/>
  <c r="E247" i="35" l="1"/>
  <c r="C248" i="35"/>
  <c r="I246" i="35"/>
  <c r="G246" i="35"/>
  <c r="H246" i="35"/>
  <c r="J246" i="35"/>
  <c r="F246" i="35"/>
  <c r="G247" i="35"/>
  <c r="I247" i="35"/>
  <c r="H247" i="35"/>
  <c r="J247" i="35"/>
  <c r="F247" i="35"/>
  <c r="U50" i="52"/>
  <c r="AD50" i="13"/>
  <c r="E248" i="35" l="1"/>
  <c r="C249" i="35"/>
  <c r="H25" i="13"/>
  <c r="G25" i="13"/>
  <c r="E249" i="35" l="1"/>
  <c r="C250" i="35"/>
  <c r="F248" i="35"/>
  <c r="G248" i="35"/>
  <c r="H248" i="35"/>
  <c r="I248" i="35"/>
  <c r="J248" i="35"/>
  <c r="N22" i="13"/>
  <c r="Q22" i="13" s="1"/>
  <c r="Z22" i="13" s="1"/>
  <c r="I25" i="13"/>
  <c r="E250" i="35" l="1"/>
  <c r="C251" i="35"/>
  <c r="J249" i="35"/>
  <c r="F249" i="35"/>
  <c r="G249" i="35"/>
  <c r="H249" i="35"/>
  <c r="I249" i="35"/>
  <c r="AH22" i="13"/>
  <c r="AK22" i="13" s="1"/>
  <c r="AJ17" i="13"/>
  <c r="AC22" i="13"/>
  <c r="T22" i="52"/>
  <c r="AG22" i="13"/>
  <c r="E251" i="35" l="1"/>
  <c r="C252" i="35"/>
  <c r="G250" i="35"/>
  <c r="H250" i="35"/>
  <c r="I250" i="35"/>
  <c r="J250" i="35"/>
  <c r="F250" i="35"/>
  <c r="X22" i="52"/>
  <c r="AD22" i="52"/>
  <c r="AE17" i="52" s="1"/>
  <c r="E252" i="35" l="1"/>
  <c r="C253" i="35"/>
  <c r="F251" i="35"/>
  <c r="G251" i="35"/>
  <c r="H251" i="35"/>
  <c r="I251" i="35"/>
  <c r="J251" i="35"/>
  <c r="O21" i="61"/>
  <c r="P21" i="61"/>
  <c r="Q21" i="61"/>
  <c r="C254" i="35" l="1"/>
  <c r="E253" i="35"/>
  <c r="J252" i="35"/>
  <c r="I252" i="35"/>
  <c r="G252" i="35"/>
  <c r="H252" i="35"/>
  <c r="F252" i="35"/>
  <c r="J21" i="61"/>
  <c r="I21" i="61"/>
  <c r="K21" i="61"/>
  <c r="G253" i="35" l="1"/>
  <c r="I253" i="35"/>
  <c r="J253" i="35"/>
  <c r="H253" i="35"/>
  <c r="F253" i="35"/>
  <c r="E254" i="35"/>
  <c r="C255" i="35"/>
  <c r="F21" i="61"/>
  <c r="G21" i="61"/>
  <c r="H21" i="61"/>
  <c r="C256" i="35" l="1"/>
  <c r="E255" i="35"/>
  <c r="F254" i="35"/>
  <c r="I254" i="35"/>
  <c r="J254" i="35"/>
  <c r="H254" i="35"/>
  <c r="G254" i="35"/>
  <c r="O22" i="61"/>
  <c r="Q22" i="61"/>
  <c r="P22" i="61"/>
  <c r="J255" i="35" l="1"/>
  <c r="F255" i="35"/>
  <c r="G255" i="35"/>
  <c r="I255" i="35"/>
  <c r="H255" i="35"/>
  <c r="C257" i="35"/>
  <c r="E256" i="35"/>
  <c r="N50" i="13"/>
  <c r="Q50" i="13" s="1"/>
  <c r="Z50" i="13" s="1"/>
  <c r="E257" i="35" l="1"/>
  <c r="C258" i="35"/>
  <c r="I256" i="35"/>
  <c r="J256" i="35"/>
  <c r="F256" i="35"/>
  <c r="G256" i="35"/>
  <c r="H256" i="35"/>
  <c r="H257" i="35"/>
  <c r="J257" i="35"/>
  <c r="I257" i="35"/>
  <c r="G257" i="35"/>
  <c r="F257" i="35"/>
  <c r="J22" i="61"/>
  <c r="K22" i="61"/>
  <c r="I22" i="61"/>
  <c r="T50" i="52"/>
  <c r="AC50" i="13"/>
  <c r="O23" i="13"/>
  <c r="R23" i="13" s="1"/>
  <c r="AA23" i="13" s="1"/>
  <c r="E258" i="35" l="1"/>
  <c r="C259" i="35"/>
  <c r="H22" i="61"/>
  <c r="G22" i="61"/>
  <c r="F22" i="61"/>
  <c r="P23" i="61"/>
  <c r="O23" i="61"/>
  <c r="X50" i="52"/>
  <c r="AD50" i="52"/>
  <c r="U23" i="52"/>
  <c r="Y17" i="52" s="1"/>
  <c r="AD23" i="13"/>
  <c r="AG23" i="13"/>
  <c r="C260" i="35" l="1"/>
  <c r="E259" i="35"/>
  <c r="H258" i="35"/>
  <c r="I258" i="35"/>
  <c r="J258" i="35"/>
  <c r="F258" i="35"/>
  <c r="G258" i="35"/>
  <c r="Q23" i="61"/>
  <c r="J259" i="35" l="1"/>
  <c r="G259" i="35"/>
  <c r="H259" i="35"/>
  <c r="F259" i="35"/>
  <c r="I259" i="35"/>
  <c r="E260" i="35"/>
  <c r="C261" i="35"/>
  <c r="I23" i="61"/>
  <c r="J23" i="61"/>
  <c r="K23" i="61"/>
  <c r="J260" i="35" l="1"/>
  <c r="G260" i="35"/>
  <c r="F260" i="35"/>
  <c r="H260" i="35"/>
  <c r="I260" i="35"/>
  <c r="E261" i="35"/>
  <c r="C262" i="35"/>
  <c r="G23" i="61"/>
  <c r="F23" i="61"/>
  <c r="H23" i="61"/>
  <c r="P24" i="61"/>
  <c r="O24" i="61"/>
  <c r="Q24" i="61"/>
  <c r="G261" i="35" l="1"/>
  <c r="I261" i="35"/>
  <c r="J261" i="35"/>
  <c r="H261" i="35"/>
  <c r="F261" i="35"/>
  <c r="E262" i="35"/>
  <c r="C263" i="35"/>
  <c r="E263" i="35" s="1"/>
  <c r="I24" i="61"/>
  <c r="K24" i="61"/>
  <c r="J24" i="61"/>
  <c r="I262" i="35" l="1"/>
  <c r="F262" i="35"/>
  <c r="J262" i="35"/>
  <c r="H262" i="35"/>
  <c r="G262" i="35"/>
  <c r="G263" i="35"/>
  <c r="F263" i="35"/>
  <c r="H263" i="35"/>
  <c r="I263" i="35"/>
  <c r="J263" i="35"/>
  <c r="H24" i="61"/>
  <c r="F24" i="61"/>
  <c r="G24" i="61"/>
  <c r="M50" i="13"/>
  <c r="P50" i="13" s="1"/>
  <c r="Y50" i="13" s="1"/>
  <c r="P25" i="61" l="1"/>
  <c r="O25" i="61"/>
  <c r="Q25" i="61"/>
  <c r="AB50" i="13"/>
  <c r="AG50" i="13"/>
  <c r="AH50" i="13" s="1"/>
  <c r="S50" i="52"/>
  <c r="O36" i="13" l="1"/>
  <c r="R36" i="13" s="1"/>
  <c r="AA36" i="13" s="1"/>
  <c r="AD36" i="13" l="1"/>
  <c r="U36" i="52"/>
  <c r="I25" i="61" l="1"/>
  <c r="J25" i="61"/>
  <c r="K25" i="61"/>
  <c r="N36" i="13"/>
  <c r="Q36" i="13" s="1"/>
  <c r="Z36" i="13" s="1"/>
  <c r="G25" i="61" l="1"/>
  <c r="F25" i="61"/>
  <c r="H25" i="61"/>
  <c r="P26" i="61"/>
  <c r="Q26" i="61"/>
  <c r="O26" i="61"/>
  <c r="AC36" i="13"/>
  <c r="AG36" i="13"/>
  <c r="T36" i="52"/>
  <c r="AD36" i="52" l="1"/>
  <c r="AE36" i="52" s="1"/>
  <c r="X36" i="52"/>
  <c r="Y36" i="52" s="1"/>
  <c r="AI36" i="13"/>
  <c r="AH36" i="13"/>
  <c r="I26" i="61" l="1"/>
  <c r="K26" i="61"/>
  <c r="J26" i="61"/>
  <c r="P27" i="61"/>
  <c r="Q27" i="61"/>
  <c r="O27" i="61"/>
  <c r="H26" i="61" l="1"/>
  <c r="G26" i="61"/>
  <c r="F26" i="61"/>
  <c r="I27" i="61" l="1"/>
  <c r="J27" i="61"/>
  <c r="K27" i="61"/>
  <c r="G27" i="61" l="1"/>
  <c r="F27" i="61"/>
  <c r="H27" i="61"/>
  <c r="O28" i="61"/>
  <c r="Q28" i="61"/>
  <c r="P28" i="61"/>
  <c r="O24" i="13"/>
  <c r="R24" i="13" s="1"/>
  <c r="AA24" i="13" s="1"/>
  <c r="U24" i="52" l="1"/>
  <c r="AG24" i="13"/>
  <c r="AI17" i="13" s="1"/>
  <c r="AD24" i="13"/>
  <c r="P29" i="61" l="1"/>
  <c r="Q29" i="61"/>
  <c r="O29" i="61"/>
  <c r="K28" i="61" l="1"/>
  <c r="I28" i="61"/>
  <c r="J28" i="61"/>
  <c r="F28" i="61" l="1"/>
  <c r="H28" i="61"/>
  <c r="G28" i="61"/>
  <c r="J29" i="61" l="1"/>
  <c r="I29" i="61"/>
  <c r="K29" i="61"/>
  <c r="F29" i="61" l="1"/>
  <c r="H29" i="61"/>
  <c r="G29" i="61"/>
  <c r="I29" i="13"/>
  <c r="G29" i="13" l="1"/>
  <c r="H29" i="13" l="1"/>
  <c r="M26" i="13" l="1"/>
  <c r="P26" i="13" s="1"/>
  <c r="Y26" i="13" s="1"/>
  <c r="AG26" i="13" l="1"/>
  <c r="AI25" i="13" s="1"/>
  <c r="AB26" i="13"/>
  <c r="S26" i="52"/>
  <c r="Y25" i="52" s="1"/>
  <c r="I26" i="13" l="1"/>
  <c r="G26" i="13" l="1"/>
  <c r="I24" i="13" l="1"/>
  <c r="O48" i="13" l="1"/>
  <c r="R48" i="13" s="1"/>
  <c r="AA48" i="13" s="1"/>
  <c r="M48" i="13"/>
  <c r="P48" i="13" s="1"/>
  <c r="Y48" i="13" s="1"/>
  <c r="AB48" i="13" l="1"/>
  <c r="S48" i="52"/>
  <c r="U48" i="52"/>
  <c r="AD48" i="13"/>
  <c r="G17" i="13" l="1"/>
  <c r="I17" i="13" l="1"/>
  <c r="H17" i="13" l="1"/>
  <c r="O16" i="13" l="1"/>
  <c r="R16" i="13" s="1"/>
  <c r="AA16" i="13" s="1"/>
  <c r="M49" i="13" l="1"/>
  <c r="P49" i="13" s="1"/>
  <c r="Y49" i="13" s="1"/>
  <c r="N49" i="13"/>
  <c r="Q49" i="13" s="1"/>
  <c r="Z49" i="13" s="1"/>
  <c r="AD16" i="13"/>
  <c r="U16" i="52"/>
  <c r="O49" i="13"/>
  <c r="R49" i="13" s="1"/>
  <c r="AA49" i="13" s="1"/>
  <c r="U49" i="52" l="1"/>
  <c r="AD49" i="13"/>
  <c r="AC49" i="13"/>
  <c r="T49" i="52"/>
  <c r="AG49" i="13"/>
  <c r="AH49" i="13" s="1"/>
  <c r="AB49" i="13"/>
  <c r="S49" i="52"/>
  <c r="X49" i="52" l="1"/>
  <c r="AD49" i="52"/>
  <c r="N16" i="13" l="1"/>
  <c r="Q16" i="13" s="1"/>
  <c r="Z16" i="13" s="1"/>
  <c r="AJ12" i="13" l="1"/>
  <c r="AH16" i="13"/>
  <c r="AC16" i="13"/>
  <c r="T16" i="52"/>
  <c r="AD16" i="52" l="1"/>
  <c r="AE12" i="52" s="1"/>
  <c r="X16" i="52"/>
  <c r="M16" i="13" l="1"/>
  <c r="P16" i="13" s="1"/>
  <c r="Y16" i="13" s="1"/>
  <c r="AB16" i="13" l="1"/>
  <c r="AG16" i="13"/>
  <c r="AI12" i="13" s="1"/>
  <c r="S16" i="52"/>
  <c r="Y12" i="52" s="1"/>
  <c r="H24" i="13" l="1"/>
  <c r="G24" i="13" l="1"/>
  <c r="G28" i="13" l="1"/>
  <c r="Q48" i="13" l="1"/>
  <c r="Z48" i="13" s="1"/>
  <c r="AC48" i="13" l="1"/>
  <c r="AJ48" i="13"/>
  <c r="AG48" i="13"/>
  <c r="T48" i="52"/>
  <c r="X48" i="52" s="1"/>
  <c r="AD48" i="52" l="1"/>
  <c r="AE48" i="52" s="1"/>
  <c r="AI48" i="13"/>
  <c r="AI62" i="13" s="1"/>
  <c r="AH48" i="13"/>
  <c r="Y48" i="52"/>
  <c r="AE44" i="13" l="1"/>
  <c r="AH44" i="13" l="1"/>
  <c r="AF44" i="13"/>
  <c r="V44" i="52" s="1"/>
  <c r="AC44" i="52"/>
  <c r="AB44" i="52"/>
  <c r="AL13" i="35" l="1"/>
  <c r="AL14" i="35" s="1"/>
  <c r="AL15" i="35" s="1"/>
  <c r="AL16" i="35" s="1"/>
  <c r="AL17" i="35" s="1"/>
  <c r="AL18" i="35" s="1"/>
  <c r="AL19" i="35" s="1"/>
  <c r="AL20" i="35" s="1"/>
  <c r="AL21" i="35" s="1"/>
  <c r="AL22" i="35" s="1"/>
  <c r="AL23" i="35" s="1"/>
  <c r="AL24" i="35" s="1"/>
  <c r="AL25" i="35" s="1"/>
  <c r="AL26" i="35" s="1"/>
  <c r="AL27" i="35" s="1"/>
  <c r="AL28" i="35" s="1"/>
  <c r="AL29" i="35" s="1"/>
  <c r="AL30" i="35" s="1"/>
  <c r="AL31" i="35" s="1"/>
  <c r="AL32" i="35" s="1"/>
  <c r="AL33" i="35" s="1"/>
  <c r="AL34" i="35" s="1"/>
  <c r="AL35" i="35" s="1"/>
  <c r="AL36" i="35" s="1"/>
  <c r="AL37" i="35" s="1"/>
  <c r="AL38" i="35" s="1"/>
  <c r="AL39" i="35" s="1"/>
  <c r="AL40" i="35" s="1"/>
  <c r="AL41" i="35" s="1"/>
  <c r="AL42" i="35" s="1"/>
  <c r="AL43" i="35" s="1"/>
  <c r="AL44" i="35" s="1"/>
  <c r="AL45" i="35" s="1"/>
  <c r="AL46" i="35" s="1"/>
  <c r="AL47" i="35" s="1"/>
  <c r="AL48" i="35" s="1"/>
  <c r="AL49" i="35" s="1"/>
  <c r="AL50" i="35" s="1"/>
  <c r="AL51" i="35" s="1"/>
  <c r="AL52" i="35" s="1"/>
  <c r="AL53" i="35" s="1"/>
  <c r="AL54" i="35" s="1"/>
  <c r="AL55" i="35" s="1"/>
  <c r="AL56" i="35" s="1"/>
  <c r="AL57" i="35" s="1"/>
  <c r="AL58" i="35" s="1"/>
  <c r="AL59" i="35" s="1"/>
  <c r="AL60" i="35" s="1"/>
  <c r="AL61" i="35" s="1"/>
  <c r="AL62" i="35" s="1"/>
  <c r="AL63" i="35" s="1"/>
  <c r="AL64" i="35" s="1"/>
  <c r="AL65" i="35" s="1"/>
  <c r="AL66" i="35" s="1"/>
  <c r="AL67" i="35" s="1"/>
  <c r="AL68" i="35" s="1"/>
  <c r="AL69" i="35" s="1"/>
  <c r="AL70" i="35" s="1"/>
  <c r="AL71" i="35" s="1"/>
  <c r="AL72" i="35" s="1"/>
  <c r="AL73" i="35" s="1"/>
  <c r="AL74" i="35" s="1"/>
  <c r="AL75" i="35" s="1"/>
  <c r="AL76" i="35" s="1"/>
  <c r="AL77" i="35" s="1"/>
  <c r="AL78" i="35" s="1"/>
  <c r="AL79" i="35" s="1"/>
  <c r="AL80" i="35" s="1"/>
  <c r="AL81" i="35" s="1"/>
  <c r="AL82" i="35" s="1"/>
  <c r="AL83" i="35" s="1"/>
  <c r="AL84" i="35" s="1"/>
  <c r="AL85" i="35" s="1"/>
  <c r="AL86" i="35" s="1"/>
  <c r="AL87" i="35" s="1"/>
  <c r="AL88" i="35" s="1"/>
  <c r="AL89" i="35" s="1"/>
  <c r="AL90" i="35" s="1"/>
  <c r="AL91" i="35" s="1"/>
  <c r="AL92" i="35" s="1"/>
  <c r="AL93" i="35" s="1"/>
  <c r="AL94" i="35" s="1"/>
  <c r="AL95" i="35" s="1"/>
  <c r="AL96" i="35" s="1"/>
  <c r="AL97" i="35" s="1"/>
  <c r="AL98" i="35" s="1"/>
  <c r="AL99" i="35" s="1"/>
  <c r="AL100" i="35" s="1"/>
  <c r="AL101" i="35" s="1"/>
  <c r="AL102" i="35" s="1"/>
  <c r="AL103" i="35" s="1"/>
  <c r="AL104" i="35" s="1"/>
  <c r="AL105" i="35" s="1"/>
  <c r="AL106" i="35" s="1"/>
  <c r="AL107" i="35" s="1"/>
  <c r="AL108" i="35" s="1"/>
  <c r="AL109" i="35" s="1"/>
  <c r="AL110" i="35" s="1"/>
  <c r="AL111" i="35" s="1"/>
  <c r="AL112" i="35" s="1"/>
  <c r="AL113" i="35" s="1"/>
  <c r="AL114" i="35" s="1"/>
  <c r="AL115" i="35" s="1"/>
  <c r="AL116" i="35" s="1"/>
  <c r="AL117" i="35" s="1"/>
  <c r="AL118" i="35" s="1"/>
  <c r="AL119" i="35" s="1"/>
  <c r="AL120" i="35" s="1"/>
  <c r="AL121" i="35" s="1"/>
  <c r="AL122" i="35" s="1"/>
  <c r="AL123" i="35" s="1"/>
  <c r="AL124" i="35" s="1"/>
  <c r="AL125" i="35" s="1"/>
  <c r="AL126" i="35" s="1"/>
  <c r="AL127" i="35" s="1"/>
  <c r="AL128" i="35" s="1"/>
  <c r="AL129" i="35" s="1"/>
  <c r="AL130" i="35" s="1"/>
  <c r="AL131" i="35" s="1"/>
  <c r="AL132" i="35" s="1"/>
  <c r="AL133" i="35" s="1"/>
  <c r="AL134" i="35" s="1"/>
  <c r="AL135" i="35" s="1"/>
  <c r="AL136" i="35" s="1"/>
  <c r="AL137" i="35" s="1"/>
  <c r="AL138" i="35" s="1"/>
  <c r="AL139" i="35" s="1"/>
  <c r="AL140" i="35" s="1"/>
  <c r="AL141" i="35" s="1"/>
  <c r="AL142" i="35" s="1"/>
  <c r="AL143" i="35" s="1"/>
  <c r="AL144" i="35" s="1"/>
  <c r="AL145" i="35" s="1"/>
  <c r="AL146" i="35" s="1"/>
  <c r="AL147" i="35" s="1"/>
  <c r="AL148" i="35" s="1"/>
  <c r="AL149" i="35" s="1"/>
  <c r="AL150" i="35" s="1"/>
  <c r="AL151" i="35" s="1"/>
  <c r="AL152" i="35" s="1"/>
  <c r="AL153" i="35" s="1"/>
  <c r="AL154" i="35" s="1"/>
  <c r="AL155" i="35" s="1"/>
  <c r="AL156" i="35" s="1"/>
  <c r="AL157" i="35" s="1"/>
  <c r="AL158" i="35" s="1"/>
  <c r="AL159" i="35" s="1"/>
  <c r="AL160" i="35" s="1"/>
  <c r="AL161" i="35" s="1"/>
  <c r="AL162" i="35" s="1"/>
  <c r="AL163" i="35" s="1"/>
  <c r="AL164" i="35" s="1"/>
  <c r="AL165" i="35" s="1"/>
  <c r="AL166" i="35" s="1"/>
  <c r="AL167" i="35" s="1"/>
  <c r="AL168" i="35" s="1"/>
  <c r="AL169" i="35" s="1"/>
  <c r="AL170" i="35" s="1"/>
  <c r="AL171" i="35" s="1"/>
  <c r="AL172" i="35" s="1"/>
  <c r="AL173" i="35" s="1"/>
  <c r="AL174" i="35" s="1"/>
  <c r="AL175" i="35" s="1"/>
  <c r="AL176" i="35" s="1"/>
  <c r="AL177" i="35" s="1"/>
  <c r="AL178" i="35" s="1"/>
  <c r="AL179" i="35" s="1"/>
  <c r="AL180" i="35" s="1"/>
  <c r="AL181" i="35" s="1"/>
  <c r="AL182" i="35" s="1"/>
  <c r="AL183" i="35" s="1"/>
  <c r="AL184" i="35" s="1"/>
  <c r="AL185" i="35" s="1"/>
  <c r="AL186" i="35" s="1"/>
  <c r="AL187" i="35" s="1"/>
  <c r="AL188" i="35" s="1"/>
  <c r="AL189" i="35" s="1"/>
  <c r="AL190" i="35" s="1"/>
  <c r="AL191" i="35" s="1"/>
  <c r="AL192" i="35" s="1"/>
  <c r="AL193" i="35" s="1"/>
  <c r="AL194" i="35" s="1"/>
  <c r="AL195" i="35" s="1"/>
  <c r="AL196" i="35" s="1"/>
  <c r="AL197" i="35" s="1"/>
  <c r="AL198" i="35" s="1"/>
  <c r="AL199" i="35" s="1"/>
  <c r="AL200" i="35" s="1"/>
  <c r="AL201" i="35" s="1"/>
  <c r="AL202" i="35" s="1"/>
  <c r="AL203" i="35" s="1"/>
  <c r="AL204" i="35" s="1"/>
  <c r="AL205" i="35" s="1"/>
  <c r="AL206" i="35" s="1"/>
  <c r="AL207" i="35" s="1"/>
  <c r="AL208" i="35" s="1"/>
  <c r="AL209" i="35" s="1"/>
  <c r="AL210" i="35" s="1"/>
  <c r="AL211" i="35" s="1"/>
  <c r="AL212" i="35" s="1"/>
  <c r="AL213" i="35" s="1"/>
  <c r="AL214" i="35" s="1"/>
  <c r="AL215" i="35" s="1"/>
  <c r="AL216" i="35" s="1"/>
  <c r="AL217" i="35" s="1"/>
  <c r="AL218" i="35" s="1"/>
  <c r="AL219" i="35" s="1"/>
  <c r="AL220" i="35" s="1"/>
  <c r="AL221" i="35" s="1"/>
  <c r="AL222" i="35" s="1"/>
  <c r="AL223" i="35" s="1"/>
  <c r="AL224" i="35" s="1"/>
  <c r="AL225" i="35" s="1"/>
  <c r="AL226" i="35" s="1"/>
  <c r="AL227" i="35" s="1"/>
  <c r="AL228" i="35" s="1"/>
  <c r="AL229" i="35" s="1"/>
  <c r="AL230" i="35" s="1"/>
  <c r="AL231" i="35" s="1"/>
  <c r="AL232" i="35" s="1"/>
  <c r="AL233" i="35" s="1"/>
  <c r="AL234" i="35" s="1"/>
  <c r="AL235" i="35" s="1"/>
  <c r="AL236" i="35" s="1"/>
  <c r="AL237" i="35" s="1"/>
  <c r="AL238" i="35" s="1"/>
  <c r="AL239" i="35" s="1"/>
  <c r="AL240" i="35" s="1"/>
  <c r="AL241" i="35" s="1"/>
  <c r="AL242" i="35" s="1"/>
  <c r="AL243" i="35" s="1"/>
  <c r="AL244" i="35" s="1"/>
  <c r="AL245" i="35" s="1"/>
  <c r="AL246" i="35" s="1"/>
  <c r="AL247" i="35" s="1"/>
  <c r="AL248" i="35" s="1"/>
  <c r="AL249" i="35" s="1"/>
  <c r="AL250" i="35" s="1"/>
  <c r="AL251" i="35" s="1"/>
  <c r="AL252" i="35" s="1"/>
  <c r="AL253" i="35" s="1"/>
  <c r="AL254" i="35" s="1"/>
  <c r="AL255" i="35" s="1"/>
  <c r="AL256" i="35" s="1"/>
  <c r="AL257" i="35" s="1"/>
  <c r="AL258" i="35" s="1"/>
  <c r="AL259" i="35" s="1"/>
  <c r="AL260" i="35" s="1"/>
  <c r="AL261" i="35" s="1"/>
  <c r="AL262" i="35" s="1"/>
  <c r="AL263" i="3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PC01</author>
  </authors>
  <commentList>
    <comment ref="AC20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PC01:</t>
        </r>
        <r>
          <rPr>
            <sz val="9"/>
            <color indexed="81"/>
            <rFont val="Tahoma"/>
            <family val="2"/>
          </rPr>
          <t xml:space="preserve">
KL cát dư Km34+700 - Km35+200</t>
        </r>
      </text>
    </comment>
    <comment ref="F44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PC01:</t>
        </r>
        <r>
          <rPr>
            <sz val="9"/>
            <color indexed="81"/>
            <rFont val="Tahoma"/>
            <family val="2"/>
          </rPr>
          <t xml:space="preserve">
31/12/2024
</t>
        </r>
      </text>
    </comment>
    <comment ref="F45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PC01:</t>
        </r>
        <r>
          <rPr>
            <sz val="9"/>
            <color indexed="81"/>
            <rFont val="Tahoma"/>
            <family val="2"/>
          </rPr>
          <t xml:space="preserve">
31/12/2024</t>
        </r>
      </text>
    </comment>
    <comment ref="F46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PC01:</t>
        </r>
        <r>
          <rPr>
            <sz val="9"/>
            <color indexed="81"/>
            <rFont val="Tahoma"/>
            <family val="2"/>
          </rPr>
          <t xml:space="preserve">
18/2/2025</t>
        </r>
      </text>
    </comment>
  </commentList>
</comments>
</file>

<file path=xl/sharedStrings.xml><?xml version="1.0" encoding="utf-8"?>
<sst xmlns="http://schemas.openxmlformats.org/spreadsheetml/2006/main" count="804" uniqueCount="158">
  <si>
    <t>(m)</t>
  </si>
  <si>
    <t>TT</t>
  </si>
  <si>
    <t>Ngày/ tháng quan trắc</t>
  </si>
  <si>
    <t>Số đọc mia tại mốc</t>
  </si>
  <si>
    <t xml:space="preserve">Cao độ nền đắp </t>
  </si>
  <si>
    <t>Chiều cao nền đắp</t>
  </si>
  <si>
    <t>Trái</t>
  </si>
  <si>
    <t>Tim</t>
  </si>
  <si>
    <t>Phải</t>
  </si>
  <si>
    <t>( mm)</t>
  </si>
  <si>
    <t>Cao độ mốc</t>
  </si>
  <si>
    <t>Cao độ đường ngắm</t>
  </si>
  <si>
    <t>BỘ GIAO THÔNG VẬN TẢI</t>
  </si>
  <si>
    <t>BAN QLDA MỸ THUẬN</t>
  </si>
  <si>
    <t>CỘNG HÒA XÃ HỘI CHỦ NGHĨA VIỆT NAM</t>
  </si>
  <si>
    <t>Độc lập - Tự do - Hạnh phúc</t>
  </si>
  <si>
    <t>Dự án</t>
  </si>
  <si>
    <t>: Dự án thành phần đoạn Cần Thơ - Hậu Giang thuộc Dự án xây dựng công trình đường bộ cao tốc Bắc - Nam phía Đông giai đoạn 2021-2025</t>
  </si>
  <si>
    <t>Gói thầu</t>
  </si>
  <si>
    <t>: Thi công xây dựng toàn tuyến (bao gồm khảo sát, thiết kế bản vẽ thi công)</t>
  </si>
  <si>
    <t>Hạng mục</t>
  </si>
  <si>
    <t>Địa điểm</t>
  </si>
  <si>
    <t>: Huyện Phụng Hiệp, Tỉnh Hậu Giang</t>
  </si>
  <si>
    <t>Trần Hữu Trí</t>
  </si>
  <si>
    <t>Cao độ bàn quan trắc lún sau khi lắp đặt (m)</t>
  </si>
  <si>
    <t>Cao độ bàn quan trắc lún sau khi đắp trả (m)</t>
  </si>
  <si>
    <t>Cao độ bàn quan trắc lún trước khi cắm PVD (m)</t>
  </si>
  <si>
    <t>Cao độ bàn quan trắc lún sau khi cắm PVD (m)</t>
  </si>
  <si>
    <t>Cao độ bàn quan trắc lún theo chu kỳ lần thứ …. Sau khi đắp gia tải (m)</t>
  </si>
  <si>
    <t>Lý trình</t>
  </si>
  <si>
    <t>Thời gian thực hiện</t>
  </si>
  <si>
    <t>Bắt đầu</t>
  </si>
  <si>
    <t>Kết thúc</t>
  </si>
  <si>
    <t>ngày</t>
  </si>
  <si>
    <t>Đoạn xử lý</t>
  </si>
  <si>
    <t>Tổng lượng lún đến thời điểm này (mm)</t>
  </si>
  <si>
    <t>Tốc độ lún theo ngày (mm/ngày)</t>
  </si>
  <si>
    <t>Đơn vị thi công</t>
  </si>
  <si>
    <t>: Tổng công ty xây dựng số 1 - CTCP</t>
  </si>
  <si>
    <t>ĐẠI DIỆN NHÀ THẦU THI CÔNG</t>
  </si>
  <si>
    <t>TVGS PHỤ TRÁCH HIỆN TRƯỜNG</t>
  </si>
  <si>
    <t>Km34+113 - Km34+588</t>
  </si>
  <si>
    <t>Km37+273.26 - Km37+560</t>
  </si>
  <si>
    <t>Tổng lún trung bính cả đoạn(mm)</t>
  </si>
  <si>
    <t>Tổng lún trung bính từng mặt cắt (mm)</t>
  </si>
  <si>
    <t>Km36+456.27 - Km36+482.82</t>
  </si>
  <si>
    <t>Km36+464.68</t>
  </si>
  <si>
    <t>Km36+519.01 - Km36+545.32</t>
  </si>
  <si>
    <t>Km36+540</t>
  </si>
  <si>
    <t>Km36+545.32 - Km36+680</t>
  </si>
  <si>
    <t>Km36+680 - Km36+880</t>
  </si>
  <si>
    <t>Km36+700</t>
  </si>
  <si>
    <t>Km36+800</t>
  </si>
  <si>
    <t>Km36+860</t>
  </si>
  <si>
    <t>Km36+880 - Km36+930.26</t>
  </si>
  <si>
    <t>Km36+920</t>
  </si>
  <si>
    <t>Km36+930.26 - Km37+224.9</t>
  </si>
  <si>
    <t>Km36+980</t>
  </si>
  <si>
    <t>Km37+080</t>
  </si>
  <si>
    <t>Km37+180</t>
  </si>
  <si>
    <t>Km37+224.9 - Km37+273.26</t>
  </si>
  <si>
    <t>Km37+260</t>
  </si>
  <si>
    <t>Lê Ngọc Long</t>
  </si>
  <si>
    <t>Tổng số ngày QT</t>
  </si>
  <si>
    <t>Chiều dài cần đo lún tại thời điểm QT</t>
  </si>
  <si>
    <t>CDM</t>
  </si>
  <si>
    <t>Xác nhận kiểm tra</t>
  </si>
  <si>
    <t>Nhà thầu</t>
  </si>
  <si>
    <t>TVGS</t>
  </si>
  <si>
    <t>: Xử lý nền đường</t>
  </si>
  <si>
    <t>Số đọc mia quan trắc</t>
  </si>
  <si>
    <t>Cao độ bàn đo lún</t>
  </si>
  <si>
    <t>Chiều dày lớp đắp</t>
  </si>
  <si>
    <t>Cao độ nền đường</t>
  </si>
  <si>
    <t>Thời gian kết thúc cắm bấc thấm</t>
  </si>
  <si>
    <t>Thời gian bắt đầu gia tải</t>
  </si>
  <si>
    <t>Ngày kết thúc gia tải</t>
  </si>
  <si>
    <t>Ngày cuối cùng quan trắc</t>
  </si>
  <si>
    <t>Thông số thiết kế</t>
  </si>
  <si>
    <t>Tổng lún TK (mm)</t>
  </si>
  <si>
    <t>Lún dư TK (mm)</t>
  </si>
  <si>
    <t>Thời gian chờ (tháng)</t>
  </si>
  <si>
    <t>Thông số ghi nhận thực tế</t>
  </si>
  <si>
    <t>Tổng số ngày quan sát lún ổn định</t>
  </si>
  <si>
    <t>Tổng lún trái (mm)</t>
  </si>
  <si>
    <t>Tổng lún giữa (mm)</t>
  </si>
  <si>
    <t>Tổng lún phải (mm)</t>
  </si>
  <si>
    <t>Tổng chiều dày đắp (mm)</t>
  </si>
  <si>
    <t>STT</t>
  </si>
  <si>
    <t>Km34+113 - Km34+542</t>
  </si>
  <si>
    <t xml:space="preserve">Độ cố kết (U%) </t>
  </si>
  <si>
    <t>3+6.9</t>
  </si>
  <si>
    <t>3+6.6</t>
  </si>
  <si>
    <r>
      <t xml:space="preserve">       </t>
    </r>
    <r>
      <rPr>
        <b/>
        <u/>
        <sz val="16"/>
        <color theme="1"/>
        <rFont val="Times New Roman"/>
        <family val="1"/>
      </rPr>
      <t>Độc lập - Tự do - Hạnh phúc</t>
    </r>
  </si>
  <si>
    <t>Chiều dày đắp GĐ1 (m)</t>
  </si>
  <si>
    <t>Chiều dày đắp GĐ2 (m)</t>
  </si>
  <si>
    <t>Km36+620</t>
  </si>
  <si>
    <t>3+5.5</t>
  </si>
  <si>
    <t>Cao độ đỉnh cần</t>
  </si>
  <si>
    <t>Chiều dài cần</t>
  </si>
  <si>
    <t>Độ lún hàng ngày</t>
  </si>
  <si>
    <t>Tổng độ lún</t>
  </si>
  <si>
    <t>Ko xóa</t>
  </si>
  <si>
    <t>1.5+7.5</t>
  </si>
  <si>
    <t>3+5.7</t>
  </si>
  <si>
    <t>Đang thực hiện</t>
  </si>
  <si>
    <t>1.4+8</t>
  </si>
  <si>
    <t>1.5+8</t>
  </si>
  <si>
    <t>Km38+880 - Km38+980</t>
  </si>
  <si>
    <t>Cao độ Cát</t>
  </si>
  <si>
    <t>Tổng chiều dày đắp (m)</t>
  </si>
  <si>
    <t xml:space="preserve">Trái </t>
  </si>
  <si>
    <t>ASAOKA</t>
  </si>
  <si>
    <t>Tính độ cố kết theo phương pháp</t>
  </si>
  <si>
    <t>HYBERBOLIC</t>
  </si>
  <si>
    <t>Chênh lệch chiều dày</t>
  </si>
  <si>
    <t>Độ cố kết (U%) cho một đoạn</t>
  </si>
  <si>
    <t>Độ cố kết (U%) cho đến nay (Lún TT Tim /Tống lún TK)</t>
  </si>
  <si>
    <t>Tốc độ lún 30 ngày gần nhất (mm/ngày)</t>
  </si>
  <si>
    <t>DỰ ÁN THÀNH PHẦN ĐOẠN CẦN THƠ - HẬU GIANG</t>
  </si>
  <si>
    <t>THUỘC DỰ ÁN XÂY DỰNG CÔNG TRÌNH ĐƯỜNG BỘ CAO TỐC BẮC - NAM PHÍA ĐÔNG GIAI ĐOẠN 2021 - 2025</t>
  </si>
  <si>
    <t>BIỂU GHI ĐO QUAN TRẮC LÚN</t>
  </si>
  <si>
    <t>Người lập:</t>
  </si>
  <si>
    <t>Tên mốc:</t>
  </si>
  <si>
    <t>Thời tiết:</t>
  </si>
  <si>
    <t>Cao độ mốc:</t>
  </si>
  <si>
    <t>Lý trình:</t>
  </si>
  <si>
    <t>Ngày đặt bàn:</t>
  </si>
  <si>
    <t>BẢNG TỔNG HỢP SỐ LIỆU ĐO LÚN THEO THÁNG</t>
  </si>
  <si>
    <t xml:space="preserve"> Ngày quan trắc</t>
  </si>
  <si>
    <t>Cao độ mốc (m)</t>
  </si>
  <si>
    <t>Số đọc tại mốc (m)</t>
  </si>
  <si>
    <t>Số đọc mia quan trắc (m)</t>
  </si>
  <si>
    <t xml:space="preserve">  Cao độ quan trắc  (m)</t>
  </si>
  <si>
    <t xml:space="preserve"> Độ cao thiết bị (m)</t>
  </si>
  <si>
    <t>Lượng lún lần này (m)</t>
  </si>
  <si>
    <t>Lượng lún tích lũy (m)</t>
  </si>
  <si>
    <t>Ghi chú</t>
  </si>
  <si>
    <t xml:space="preserve">Giữa </t>
  </si>
  <si>
    <t>ĐẠI DIỆN TƯ VẤN GIÁM SÁT</t>
  </si>
  <si>
    <t>ĐẠI DIỆN ĐƠN VỊ THI CÔNG</t>
  </si>
  <si>
    <t>LÝ TRÌNH: KM34+120</t>
  </si>
  <si>
    <t xml:space="preserve">GÓI THẦU: THI CÔNG XÂY DỰNG ĐOẠN TUYẾN KM38+880-KM45+000 </t>
  </si>
  <si>
    <t>Km34+120</t>
  </si>
  <si>
    <t>Chiều dày đắp</t>
  </si>
  <si>
    <t>chân ta luy trái</t>
  </si>
  <si>
    <t>chân ta luy phải</t>
  </si>
  <si>
    <t>Dự Án Thành Phần 1 :Xây Dựng Đường Vành Đai 3 Đoạn Qua thành Phố Hồ Chí Minh ( Bao Gồm Kênh Thầy Thuốc)</t>
  </si>
  <si>
    <t>Gói Thầu XL10 :Xây Dựng Đương Vành Đai 3 Đoạn Qua Huyện Bình Chánh (Từ Km78+100 Đến Km85+200)</t>
  </si>
  <si>
    <t>Nhà Thầu : Công Ty Cổ Phần Xây Dựng Dịch Vụ Và Thương Mại 68 (Thầu Phụ Cty TNHH Thương Mại Dịch Vụ Và Xây Dựng NTVThành Phát Km83+604.57 Đến Km84+397)</t>
  </si>
  <si>
    <t>Km83+720</t>
  </si>
  <si>
    <t>hút chân không zone 2</t>
  </si>
  <si>
    <t>hút chân không zone 1</t>
  </si>
  <si>
    <t>Km83+780</t>
  </si>
  <si>
    <t>Km83+860</t>
  </si>
  <si>
    <t>Km83+900</t>
  </si>
  <si>
    <t>Km83+940</t>
  </si>
  <si>
    <t>Km83+980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</si>
</sst>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\K\m00\+000"/>
    <numFmt numFmtId="166" formatCode="0.000_ "/>
    <numFmt numFmtId="167" formatCode="0.000"/>
    <numFmt numFmtId="168" formatCode="[$-1010000]d/m/yyyy;@"/>
    <numFmt numFmtId="169" formatCode="0.0000000000000000"/>
    <numFmt numFmtId="170" formatCode="0.000000000000000"/>
    <numFmt numFmtId="171" formatCode="0.0"/>
    <numFmt numFmtId="172" formatCode="_(* #,##0.000_);_(* \(#,##0.000\);_(* &quot;-&quot;??_);_(@_)"/>
  </numFmts>
  <fonts count="62">
    <font>
      <sz val="13"/>
      <color theme="1"/>
      <name val="Times New Roman"/>
      <family val="2"/>
    </font>
    <font>
      <sz val="12"/>
      <name val="宋体"/>
      <charset val="134"/>
    </font>
    <font>
      <b/>
      <sz val="13"/>
      <name val="Times New Roman"/>
      <family val="1"/>
    </font>
    <font>
      <sz val="12"/>
      <name val="Times New Roman"/>
      <family val="1"/>
    </font>
    <font>
      <sz val="15"/>
      <name val="Times New Roman"/>
      <family val="1"/>
    </font>
    <font>
      <sz val="10"/>
      <name val="MS Sans Serif"/>
      <family val="2"/>
    </font>
    <font>
      <sz val="10"/>
      <name val="Arial"/>
      <family val="2"/>
    </font>
    <font>
      <sz val="13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7"/>
      <name val="Times New Roman"/>
      <family val="1"/>
      <charset val="163"/>
    </font>
    <font>
      <sz val="11"/>
      <color theme="1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b/>
      <u/>
      <sz val="16"/>
      <color theme="1"/>
      <name val="Times New Roman"/>
      <family val="1"/>
    </font>
    <font>
      <b/>
      <sz val="12.5"/>
      <color rgb="FF0000CC"/>
      <name val="Times New Roman"/>
      <family val="1"/>
    </font>
    <font>
      <b/>
      <sz val="14"/>
      <name val="Times New Roman"/>
      <family val="1"/>
    </font>
    <font>
      <b/>
      <sz val="16"/>
      <color rgb="FFFF0000"/>
      <name val="Times New Roman"/>
      <family val="1"/>
    </font>
    <font>
      <sz val="12"/>
      <color rgb="FFFF0000"/>
      <name val="Times New Roman"/>
      <family val="1"/>
    </font>
    <font>
      <sz val="15"/>
      <color rgb="FFFF0000"/>
      <name val="Times New Roman"/>
      <family val="1"/>
    </font>
    <font>
      <sz val="12"/>
      <color rgb="FF00B050"/>
      <name val="Times New Roman"/>
      <family val="1"/>
    </font>
    <font>
      <sz val="12"/>
      <color rgb="FF00B0F0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Times New Roman"/>
      <family val="2"/>
    </font>
    <font>
      <b/>
      <sz val="13"/>
      <name val="Times New Romahn"/>
    </font>
    <font>
      <b/>
      <sz val="13"/>
      <color rgb="FFFF0000"/>
      <name val="Times New Romahn"/>
    </font>
    <font>
      <b/>
      <sz val="13"/>
      <color rgb="FFFF0000"/>
      <name val="Times New Roman"/>
      <family val="1"/>
    </font>
    <font>
      <sz val="13"/>
      <color theme="1"/>
      <name val="Times New Roman"/>
      <family val="2"/>
    </font>
    <font>
      <b/>
      <sz val="12"/>
      <name val="Times New Roman"/>
      <family val="1"/>
    </font>
    <font>
      <b/>
      <u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00B050"/>
      <name val="Times New Roman"/>
      <family val="1"/>
    </font>
    <font>
      <sz val="11"/>
      <color rgb="FF7030A0"/>
      <name val="Times New Roman"/>
      <family val="1"/>
    </font>
    <font>
      <sz val="11"/>
      <color rgb="FF00B0F0"/>
      <name val="Times New Roman"/>
      <family val="1"/>
    </font>
    <font>
      <b/>
      <sz val="14"/>
      <color rgb="FFFF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Times New Roman"/>
      <family val="1"/>
    </font>
    <font>
      <sz val="15"/>
      <name val="Times New Roman"/>
      <family val="1"/>
      <charset val="163"/>
    </font>
    <font>
      <sz val="12"/>
      <color rgb="FF7030A0"/>
      <name val="Times New Roman"/>
      <family val="1"/>
    </font>
    <font>
      <b/>
      <sz val="13"/>
      <color rgb="FF7030A0"/>
      <name val="Times New Romahn"/>
    </font>
    <font>
      <b/>
      <sz val="13"/>
      <color rgb="FF7030A0"/>
      <name val="Times New Roman"/>
      <family val="1"/>
    </font>
    <font>
      <b/>
      <sz val="14"/>
      <color rgb="FF7030A0"/>
      <name val="Times New Roman"/>
      <family val="1"/>
    </font>
    <font>
      <b/>
      <sz val="16"/>
      <color rgb="FF7030A0"/>
      <name val="Times New Roman"/>
      <family val="1"/>
    </font>
    <font>
      <sz val="15"/>
      <color rgb="FF7030A0"/>
      <name val="Times New Roman"/>
      <family val="1"/>
    </font>
    <font>
      <b/>
      <sz val="12.5"/>
      <color rgb="FF7030A0"/>
      <name val="Times New Roman"/>
      <family val="1"/>
    </font>
    <font>
      <b/>
      <sz val="12"/>
      <color rgb="FF7030A0"/>
      <name val="Times New Roman"/>
      <family val="1"/>
    </font>
    <font>
      <sz val="7"/>
      <color rgb="FF7030A0"/>
      <name val="Times New Roman"/>
      <family val="1"/>
      <charset val="163"/>
    </font>
    <font>
      <sz val="11"/>
      <color theme="0"/>
      <name val="Times New Roman"/>
      <family val="1"/>
    </font>
    <font>
      <b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5" fillId="0" borderId="0"/>
    <xf numFmtId="0" fontId="6" fillId="0" borderId="0"/>
    <xf numFmtId="0" fontId="6" fillId="0" borderId="0"/>
    <xf numFmtId="0" fontId="9" fillId="0" borderId="0"/>
    <xf numFmtId="0" fontId="17" fillId="0" borderId="0"/>
    <xf numFmtId="0" fontId="31" fillId="0" borderId="0"/>
    <xf numFmtId="164" fontId="35" fillId="0" borderId="0" applyFont="0" applyFill="0" applyBorder="0" applyAlignment="0" applyProtection="0"/>
    <xf numFmtId="0" fontId="6" fillId="0" borderId="0"/>
  </cellStyleXfs>
  <cellXfs count="378">
    <xf numFmtId="0" fontId="0" fillId="0" borderId="0" xfId="0"/>
    <xf numFmtId="0" fontId="3" fillId="0" borderId="0" xfId="1" applyFont="1">
      <alignment vertical="center"/>
    </xf>
    <xf numFmtId="0" fontId="8" fillId="0" borderId="0" xfId="2" applyFont="1" applyAlignment="1">
      <alignment horizontal="left" vertical="center" wrapText="1"/>
    </xf>
    <xf numFmtId="0" fontId="2" fillId="0" borderId="0" xfId="1" applyFont="1">
      <alignment vertical="center"/>
    </xf>
    <xf numFmtId="0" fontId="15" fillId="2" borderId="0" xfId="1" applyFont="1" applyFill="1" applyAlignment="1">
      <alignment horizontal="center" vertical="center" wrapText="1"/>
    </xf>
    <xf numFmtId="0" fontId="10" fillId="2" borderId="0" xfId="1" applyFont="1" applyFill="1" applyAlignment="1">
      <alignment horizontal="center" vertical="center" wrapText="1"/>
    </xf>
    <xf numFmtId="0" fontId="16" fillId="0" borderId="0" xfId="1" applyFont="1" applyAlignment="1">
      <alignment horizontal="center" vertical="center"/>
    </xf>
    <xf numFmtId="168" fontId="3" fillId="0" borderId="0" xfId="1" applyNumberFormat="1" applyFont="1">
      <alignment vertical="center"/>
    </xf>
    <xf numFmtId="0" fontId="19" fillId="0" borderId="0" xfId="1" applyFont="1" applyAlignment="1">
      <alignment vertical="center" wrapText="1"/>
    </xf>
    <xf numFmtId="0" fontId="21" fillId="0" borderId="0" xfId="1" applyFont="1">
      <alignment vertical="center"/>
    </xf>
    <xf numFmtId="0" fontId="19" fillId="0" borderId="0" xfId="1" applyFont="1">
      <alignment vertical="center"/>
    </xf>
    <xf numFmtId="0" fontId="4" fillId="0" borderId="0" xfId="1" applyFont="1">
      <alignment vertical="center"/>
    </xf>
    <xf numFmtId="0" fontId="4" fillId="0" borderId="0" xfId="1" quotePrefix="1" applyFont="1">
      <alignment vertical="center"/>
    </xf>
    <xf numFmtId="0" fontId="23" fillId="2" borderId="0" xfId="0" applyFont="1" applyFill="1"/>
    <xf numFmtId="0" fontId="4" fillId="2" borderId="0" xfId="1" quotePrefix="1" applyFont="1" applyFill="1">
      <alignment vertical="center"/>
    </xf>
    <xf numFmtId="0" fontId="4" fillId="2" borderId="0" xfId="1" quotePrefix="1" applyFont="1" applyFill="1" applyAlignment="1">
      <alignment horizontal="center" vertical="center"/>
    </xf>
    <xf numFmtId="0" fontId="4" fillId="2" borderId="0" xfId="2" applyFont="1" applyFill="1" applyAlignment="1">
      <alignment horizontal="left" vertical="center" wrapText="1"/>
    </xf>
    <xf numFmtId="0" fontId="8" fillId="2" borderId="0" xfId="2" applyFont="1" applyFill="1" applyAlignment="1">
      <alignment horizontal="left" vertical="center" wrapText="1"/>
    </xf>
    <xf numFmtId="0" fontId="3" fillId="2" borderId="0" xfId="1" applyFont="1" applyFill="1">
      <alignment vertical="center"/>
    </xf>
    <xf numFmtId="0" fontId="7" fillId="2" borderId="0" xfId="1" applyFont="1" applyFill="1">
      <alignment vertical="center"/>
    </xf>
    <xf numFmtId="0" fontId="16" fillId="2" borderId="0" xfId="1" applyFont="1" applyFill="1" applyAlignment="1">
      <alignment horizontal="center" vertical="center"/>
    </xf>
    <xf numFmtId="2" fontId="3" fillId="2" borderId="0" xfId="1" applyNumberFormat="1" applyFont="1" applyFill="1">
      <alignment vertical="center"/>
    </xf>
    <xf numFmtId="168" fontId="3" fillId="2" borderId="0" xfId="1" applyNumberFormat="1" applyFont="1" applyFill="1">
      <alignment vertical="center"/>
    </xf>
    <xf numFmtId="0" fontId="19" fillId="2" borderId="0" xfId="1" applyFont="1" applyFill="1" applyAlignment="1">
      <alignment vertical="center" wrapText="1"/>
    </xf>
    <xf numFmtId="0" fontId="19" fillId="2" borderId="0" xfId="1" applyFont="1" applyFill="1">
      <alignment vertical="center"/>
    </xf>
    <xf numFmtId="0" fontId="4" fillId="0" borderId="0" xfId="1" quotePrefix="1" applyFont="1" applyAlignment="1">
      <alignment horizontal="center" vertical="center"/>
    </xf>
    <xf numFmtId="0" fontId="4" fillId="0" borderId="0" xfId="2" applyFont="1" applyAlignment="1">
      <alignment horizontal="left" vertical="center" wrapText="1"/>
    </xf>
    <xf numFmtId="0" fontId="21" fillId="2" borderId="0" xfId="1" applyFont="1" applyFill="1">
      <alignment vertical="center"/>
    </xf>
    <xf numFmtId="0" fontId="4" fillId="2" borderId="0" xfId="1" applyFont="1" applyFill="1">
      <alignment vertical="center"/>
    </xf>
    <xf numFmtId="0" fontId="8" fillId="2" borderId="0" xfId="1" applyFont="1" applyFill="1" applyAlignment="1">
      <alignment horizontal="center" vertical="center" wrapText="1"/>
    </xf>
    <xf numFmtId="168" fontId="32" fillId="2" borderId="0" xfId="1" applyNumberFormat="1" applyFont="1" applyFill="1">
      <alignment vertical="center"/>
    </xf>
    <xf numFmtId="168" fontId="2" fillId="2" borderId="0" xfId="1" applyNumberFormat="1" applyFont="1" applyFill="1">
      <alignment vertical="center"/>
    </xf>
    <xf numFmtId="0" fontId="26" fillId="2" borderId="0" xfId="1" applyFont="1" applyFill="1">
      <alignment vertical="center"/>
    </xf>
    <xf numFmtId="0" fontId="2" fillId="2" borderId="0" xfId="1" applyFont="1" applyFill="1">
      <alignment vertical="center"/>
    </xf>
    <xf numFmtId="0" fontId="3" fillId="2" borderId="0" xfId="1" applyFont="1" applyFill="1" applyAlignment="1">
      <alignment horizontal="center" vertical="center"/>
    </xf>
    <xf numFmtId="0" fontId="32" fillId="2" borderId="0" xfId="1" applyFont="1" applyFill="1">
      <alignment vertical="center"/>
    </xf>
    <xf numFmtId="0" fontId="32" fillId="2" borderId="0" xfId="1" applyFont="1" applyFill="1" applyAlignment="1">
      <alignment horizontal="center" vertical="center"/>
    </xf>
    <xf numFmtId="167" fontId="33" fillId="2" borderId="0" xfId="1" applyNumberFormat="1" applyFont="1" applyFill="1">
      <alignment vertical="center"/>
    </xf>
    <xf numFmtId="167" fontId="32" fillId="2" borderId="0" xfId="1" applyNumberFormat="1" applyFont="1" applyFill="1">
      <alignment vertical="center"/>
    </xf>
    <xf numFmtId="169" fontId="26" fillId="2" borderId="0" xfId="1" applyNumberFormat="1" applyFont="1" applyFill="1">
      <alignment vertical="center"/>
    </xf>
    <xf numFmtId="167" fontId="26" fillId="2" borderId="0" xfId="1" applyNumberFormat="1" applyFont="1" applyFill="1">
      <alignment vertical="center"/>
    </xf>
    <xf numFmtId="167" fontId="3" fillId="2" borderId="0" xfId="1" applyNumberFormat="1" applyFont="1" applyFill="1">
      <alignment vertical="center"/>
    </xf>
    <xf numFmtId="0" fontId="2" fillId="2" borderId="0" xfId="1" applyFont="1" applyFill="1" applyAlignment="1">
      <alignment horizontal="center" vertical="center"/>
    </xf>
    <xf numFmtId="167" fontId="34" fillId="2" borderId="0" xfId="1" applyNumberFormat="1" applyFont="1" applyFill="1">
      <alignment vertical="center"/>
    </xf>
    <xf numFmtId="167" fontId="2" fillId="2" borderId="0" xfId="1" applyNumberFormat="1" applyFont="1" applyFill="1">
      <alignment vertical="center"/>
    </xf>
    <xf numFmtId="0" fontId="18" fillId="2" borderId="0" xfId="0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38" fillId="2" borderId="3" xfId="1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 wrapText="1"/>
    </xf>
    <xf numFmtId="168" fontId="15" fillId="2" borderId="3" xfId="1" applyNumberFormat="1" applyFont="1" applyFill="1" applyBorder="1" applyAlignment="1">
      <alignment horizontal="center" vertical="center" wrapText="1"/>
    </xf>
    <xf numFmtId="167" fontId="15" fillId="2" borderId="3" xfId="1" applyNumberFormat="1" applyFont="1" applyFill="1" applyBorder="1" applyAlignment="1">
      <alignment horizontal="center" vertical="center" wrapText="1"/>
    </xf>
    <xf numFmtId="3" fontId="15" fillId="2" borderId="3" xfId="1" applyNumberFormat="1" applyFont="1" applyFill="1" applyBorder="1" applyAlignment="1" applyProtection="1">
      <alignment horizontal="center" vertical="center" wrapText="1"/>
      <protection hidden="1"/>
    </xf>
    <xf numFmtId="4" fontId="15" fillId="2" borderId="3" xfId="1" applyNumberFormat="1" applyFont="1" applyFill="1" applyBorder="1" applyAlignment="1" applyProtection="1">
      <alignment horizontal="center" vertical="center" wrapText="1"/>
      <protection hidden="1"/>
    </xf>
    <xf numFmtId="0" fontId="30" fillId="2" borderId="3" xfId="1" applyFont="1" applyFill="1" applyBorder="1" applyAlignment="1">
      <alignment horizontal="center" vertical="center" wrapText="1"/>
    </xf>
    <xf numFmtId="167" fontId="30" fillId="2" borderId="3" xfId="1" applyNumberFormat="1" applyFont="1" applyFill="1" applyBorder="1" applyAlignment="1" applyProtection="1">
      <alignment horizontal="center" vertical="center" wrapText="1"/>
      <protection hidden="1"/>
    </xf>
    <xf numFmtId="168" fontId="24" fillId="2" borderId="0" xfId="1" applyNumberFormat="1" applyFont="1" applyFill="1">
      <alignment vertical="center"/>
    </xf>
    <xf numFmtId="0" fontId="24" fillId="2" borderId="0" xfId="1" applyFont="1" applyFill="1">
      <alignment vertical="center"/>
    </xf>
    <xf numFmtId="167" fontId="43" fillId="2" borderId="0" xfId="1" applyNumberFormat="1" applyFont="1" applyFill="1">
      <alignment vertical="center"/>
    </xf>
    <xf numFmtId="167" fontId="24" fillId="2" borderId="0" xfId="1" applyNumberFormat="1" applyFont="1" applyFill="1">
      <alignment vertical="center"/>
    </xf>
    <xf numFmtId="1" fontId="14" fillId="2" borderId="12" xfId="1" applyNumberFormat="1" applyFont="1" applyFill="1" applyBorder="1" applyAlignment="1" applyProtection="1">
      <alignment horizontal="center" vertical="center" wrapText="1"/>
      <protection hidden="1"/>
    </xf>
    <xf numFmtId="0" fontId="33" fillId="2" borderId="0" xfId="1" applyFont="1" applyFill="1">
      <alignment vertical="center"/>
    </xf>
    <xf numFmtId="0" fontId="34" fillId="2" borderId="0" xfId="1" applyFont="1" applyFill="1">
      <alignment vertical="center"/>
    </xf>
    <xf numFmtId="168" fontId="43" fillId="2" borderId="0" xfId="1" applyNumberFormat="1" applyFont="1" applyFill="1">
      <alignment vertical="center"/>
    </xf>
    <xf numFmtId="0" fontId="15" fillId="2" borderId="3" xfId="2" applyFont="1" applyFill="1" applyBorder="1" applyAlignment="1">
      <alignment horizontal="center" vertical="center" wrapText="1"/>
    </xf>
    <xf numFmtId="168" fontId="15" fillId="2" borderId="5" xfId="1" applyNumberFormat="1" applyFont="1" applyFill="1" applyBorder="1" applyAlignment="1">
      <alignment horizontal="center" vertical="center" wrapText="1"/>
    </xf>
    <xf numFmtId="0" fontId="30" fillId="2" borderId="3" xfId="2" applyFont="1" applyFill="1" applyBorder="1" applyAlignment="1">
      <alignment horizontal="center" vertical="center" wrapText="1"/>
    </xf>
    <xf numFmtId="0" fontId="30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1" fontId="30" fillId="2" borderId="3" xfId="1" applyNumberFormat="1" applyFont="1" applyFill="1" applyBorder="1" applyAlignment="1">
      <alignment horizontal="center" vertical="center" wrapText="1"/>
    </xf>
    <xf numFmtId="2" fontId="30" fillId="2" borderId="3" xfId="1" applyNumberFormat="1" applyFont="1" applyFill="1" applyBorder="1" applyAlignment="1">
      <alignment horizontal="center" vertical="center" wrapText="1"/>
    </xf>
    <xf numFmtId="171" fontId="30" fillId="2" borderId="3" xfId="1" applyNumberFormat="1" applyFont="1" applyFill="1" applyBorder="1" applyAlignment="1">
      <alignment horizontal="center" vertical="center" wrapText="1"/>
    </xf>
    <xf numFmtId="167" fontId="30" fillId="2" borderId="3" xfId="1" applyNumberFormat="1" applyFont="1" applyFill="1" applyBorder="1" applyAlignment="1">
      <alignment horizontal="center" vertical="center" wrapText="1"/>
    </xf>
    <xf numFmtId="2" fontId="30" fillId="2" borderId="3" xfId="1" applyNumberFormat="1" applyFont="1" applyFill="1" applyBorder="1" applyAlignment="1" applyProtection="1">
      <alignment horizontal="center" vertical="center" wrapText="1"/>
      <protection hidden="1"/>
    </xf>
    <xf numFmtId="2" fontId="30" fillId="2" borderId="3" xfId="1" quotePrefix="1" applyNumberFormat="1" applyFont="1" applyFill="1" applyBorder="1" applyAlignment="1" applyProtection="1">
      <alignment horizontal="center" vertical="center" wrapText="1"/>
      <protection hidden="1"/>
    </xf>
    <xf numFmtId="2" fontId="15" fillId="2" borderId="3" xfId="1" applyNumberFormat="1" applyFont="1" applyFill="1" applyBorder="1" applyAlignment="1" applyProtection="1">
      <alignment horizontal="center" vertical="center" wrapText="1"/>
      <protection hidden="1"/>
    </xf>
    <xf numFmtId="0" fontId="15" fillId="3" borderId="3" xfId="1" applyFont="1" applyFill="1" applyBorder="1" applyAlignment="1">
      <alignment horizontal="center" vertical="center" wrapText="1"/>
    </xf>
    <xf numFmtId="168" fontId="15" fillId="3" borderId="3" xfId="1" applyNumberFormat="1" applyFont="1" applyFill="1" applyBorder="1" applyAlignment="1">
      <alignment horizontal="center" vertical="center" wrapText="1"/>
    </xf>
    <xf numFmtId="167" fontId="15" fillId="3" borderId="3" xfId="1" applyNumberFormat="1" applyFont="1" applyFill="1" applyBorder="1" applyAlignment="1">
      <alignment horizontal="center" vertical="center" wrapText="1"/>
    </xf>
    <xf numFmtId="167" fontId="30" fillId="3" borderId="3" xfId="1" applyNumberFormat="1" applyFont="1" applyFill="1" applyBorder="1" applyAlignment="1" applyProtection="1">
      <alignment horizontal="center" vertical="center" wrapText="1"/>
      <protection hidden="1"/>
    </xf>
    <xf numFmtId="3" fontId="15" fillId="3" borderId="3" xfId="1" applyNumberFormat="1" applyFont="1" applyFill="1" applyBorder="1" applyAlignment="1" applyProtection="1">
      <alignment horizontal="center" vertical="center" wrapText="1"/>
      <protection hidden="1"/>
    </xf>
    <xf numFmtId="4" fontId="15" fillId="3" borderId="3" xfId="1" applyNumberFormat="1" applyFont="1" applyFill="1" applyBorder="1" applyAlignment="1" applyProtection="1">
      <alignment horizontal="center" vertical="center" wrapText="1"/>
      <protection hidden="1"/>
    </xf>
    <xf numFmtId="3" fontId="3" fillId="2" borderId="0" xfId="1" applyNumberFormat="1" applyFont="1" applyFill="1">
      <alignment vertical="center"/>
    </xf>
    <xf numFmtId="167" fontId="2" fillId="0" borderId="0" xfId="1" applyNumberFormat="1" applyFont="1">
      <alignment vertical="center"/>
    </xf>
    <xf numFmtId="167" fontId="3" fillId="0" borderId="0" xfId="1" applyNumberFormat="1" applyFont="1">
      <alignment vertical="center"/>
    </xf>
    <xf numFmtId="167" fontId="30" fillId="2" borderId="3" xfId="1" quotePrefix="1" applyNumberFormat="1" applyFont="1" applyFill="1" applyBorder="1" applyAlignment="1" applyProtection="1">
      <alignment horizontal="center" vertical="center" wrapText="1"/>
      <protection hidden="1"/>
    </xf>
    <xf numFmtId="1" fontId="30" fillId="2" borderId="3" xfId="1" applyNumberFormat="1" applyFont="1" applyFill="1" applyBorder="1" applyAlignment="1" applyProtection="1">
      <alignment horizontal="center" vertical="center" wrapText="1"/>
      <protection hidden="1"/>
    </xf>
    <xf numFmtId="0" fontId="39" fillId="2" borderId="3" xfId="1" applyFont="1" applyFill="1" applyBorder="1" applyAlignment="1">
      <alignment horizontal="center" vertical="center" wrapText="1"/>
    </xf>
    <xf numFmtId="4" fontId="8" fillId="2" borderId="3" xfId="1" applyNumberFormat="1" applyFont="1" applyFill="1" applyBorder="1" applyAlignment="1" applyProtection="1">
      <alignment horizontal="center" vertical="center" wrapText="1"/>
      <protection hidden="1"/>
    </xf>
    <xf numFmtId="2" fontId="3" fillId="0" borderId="0" xfId="1" applyNumberFormat="1" applyFont="1">
      <alignment vertical="center"/>
    </xf>
    <xf numFmtId="0" fontId="23" fillId="0" borderId="0" xfId="0" applyFont="1"/>
    <xf numFmtId="0" fontId="11" fillId="0" borderId="3" xfId="2" applyFont="1" applyBorder="1" applyAlignment="1">
      <alignment horizontal="center" vertical="center" wrapText="1"/>
    </xf>
    <xf numFmtId="2" fontId="28" fillId="0" borderId="0" xfId="2" applyNumberFormat="1" applyFont="1" applyAlignment="1">
      <alignment horizontal="center" vertical="center" wrapText="1"/>
    </xf>
    <xf numFmtId="2" fontId="26" fillId="0" borderId="0" xfId="2" applyNumberFormat="1" applyFont="1" applyAlignment="1">
      <alignment horizontal="center" vertical="center" wrapText="1"/>
    </xf>
    <xf numFmtId="0" fontId="12" fillId="0" borderId="0" xfId="2" applyFont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0" fontId="14" fillId="0" borderId="3" xfId="2" applyFont="1" applyBorder="1" applyAlignment="1">
      <alignment horizontal="center" vertical="center" wrapText="1"/>
    </xf>
    <xf numFmtId="168" fontId="14" fillId="0" borderId="5" xfId="1" applyNumberFormat="1" applyFont="1" applyBorder="1" applyAlignment="1">
      <alignment horizontal="center" vertical="center" wrapText="1"/>
    </xf>
    <xf numFmtId="168" fontId="14" fillId="0" borderId="3" xfId="1" applyNumberFormat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2" fontId="14" fillId="0" borderId="0" xfId="1" applyNumberFormat="1" applyFont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168" fontId="15" fillId="0" borderId="3" xfId="1" applyNumberFormat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center" vertical="center" wrapText="1"/>
    </xf>
    <xf numFmtId="3" fontId="15" fillId="0" borderId="3" xfId="1" applyNumberFormat="1" applyFont="1" applyBorder="1" applyAlignment="1" applyProtection="1">
      <alignment horizontal="center" vertical="center" wrapText="1"/>
      <protection hidden="1"/>
    </xf>
    <xf numFmtId="167" fontId="15" fillId="0" borderId="3" xfId="1" applyNumberFormat="1" applyFont="1" applyBorder="1" applyAlignment="1">
      <alignment horizontal="center" vertical="center" wrapText="1"/>
    </xf>
    <xf numFmtId="2" fontId="40" fillId="0" borderId="3" xfId="1" applyNumberFormat="1" applyFont="1" applyBorder="1" applyAlignment="1" applyProtection="1">
      <alignment horizontal="center" vertical="center" wrapText="1"/>
      <protection hidden="1"/>
    </xf>
    <xf numFmtId="166" fontId="30" fillId="0" borderId="3" xfId="1" applyNumberFormat="1" applyFont="1" applyBorder="1" applyAlignment="1" applyProtection="1">
      <alignment horizontal="center" vertical="center" wrapText="1"/>
      <protection hidden="1"/>
    </xf>
    <xf numFmtId="166" fontId="15" fillId="0" borderId="3" xfId="1" applyNumberFormat="1" applyFont="1" applyBorder="1" applyAlignment="1" applyProtection="1">
      <alignment horizontal="center" vertical="center" wrapText="1"/>
      <protection hidden="1"/>
    </xf>
    <xf numFmtId="167" fontId="40" fillId="0" borderId="3" xfId="1" applyNumberFormat="1" applyFont="1" applyBorder="1" applyAlignment="1" applyProtection="1">
      <alignment horizontal="center" vertical="center" wrapText="1"/>
      <protection hidden="1"/>
    </xf>
    <xf numFmtId="166" fontId="42" fillId="0" borderId="3" xfId="1" applyNumberFormat="1" applyFont="1" applyBorder="1" applyAlignment="1" applyProtection="1">
      <alignment horizontal="center" vertical="center" wrapText="1"/>
      <protection hidden="1"/>
    </xf>
    <xf numFmtId="0" fontId="14" fillId="0" borderId="12" xfId="1" applyFont="1" applyBorder="1" applyAlignment="1">
      <alignment horizontal="center" vertical="center" wrapText="1"/>
    </xf>
    <xf numFmtId="168" fontId="14" fillId="0" borderId="12" xfId="1" applyNumberFormat="1" applyFont="1" applyBorder="1" applyAlignment="1">
      <alignment horizontal="center" vertical="center" wrapText="1"/>
    </xf>
    <xf numFmtId="167" fontId="14" fillId="0" borderId="12" xfId="1" applyNumberFormat="1" applyFont="1" applyBorder="1" applyAlignment="1">
      <alignment horizontal="center" vertical="center" wrapText="1"/>
    </xf>
    <xf numFmtId="167" fontId="28" fillId="0" borderId="12" xfId="1" applyNumberFormat="1" applyFont="1" applyBorder="1" applyAlignment="1" applyProtection="1">
      <alignment horizontal="center" vertical="center" wrapText="1"/>
      <protection hidden="1"/>
    </xf>
    <xf numFmtId="166" fontId="26" fillId="0" borderId="12" xfId="1" applyNumberFormat="1" applyFont="1" applyBorder="1" applyAlignment="1" applyProtection="1">
      <alignment horizontal="center" vertical="center" wrapText="1"/>
      <protection hidden="1"/>
    </xf>
    <xf numFmtId="166" fontId="29" fillId="0" borderId="12" xfId="1" applyNumberFormat="1" applyFont="1" applyBorder="1" applyAlignment="1" applyProtection="1">
      <alignment horizontal="center" vertical="center" wrapText="1"/>
      <protection hidden="1"/>
    </xf>
    <xf numFmtId="166" fontId="14" fillId="0" borderId="12" xfId="1" applyNumberFormat="1" applyFont="1" applyBorder="1" applyAlignment="1" applyProtection="1">
      <alignment horizontal="center" vertical="center" wrapText="1"/>
      <protection hidden="1"/>
    </xf>
    <xf numFmtId="1" fontId="14" fillId="0" borderId="12" xfId="1" applyNumberFormat="1" applyFont="1" applyBorder="1" applyAlignment="1" applyProtection="1">
      <alignment horizontal="center" vertical="center" wrapText="1"/>
      <protection hidden="1"/>
    </xf>
    <xf numFmtId="167" fontId="14" fillId="0" borderId="12" xfId="1" applyNumberFormat="1" applyFont="1" applyBorder="1" applyAlignment="1" applyProtection="1">
      <alignment horizontal="center" vertical="center" wrapText="1"/>
      <protection hidden="1"/>
    </xf>
    <xf numFmtId="2" fontId="37" fillId="0" borderId="0" xfId="1" applyNumberFormat="1" applyFont="1" applyAlignment="1">
      <alignment horizontal="center" vertical="center" wrapText="1"/>
    </xf>
    <xf numFmtId="3" fontId="30" fillId="0" borderId="0" xfId="1" applyNumberFormat="1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32" fillId="0" borderId="0" xfId="1" applyFont="1">
      <alignment vertical="center"/>
    </xf>
    <xf numFmtId="168" fontId="32" fillId="0" borderId="0" xfId="1" applyNumberFormat="1" applyFont="1">
      <alignment vertical="center"/>
    </xf>
    <xf numFmtId="0" fontId="32" fillId="0" borderId="0" xfId="1" applyFont="1" applyAlignment="1">
      <alignment horizontal="center" vertical="center"/>
    </xf>
    <xf numFmtId="167" fontId="33" fillId="0" borderId="0" xfId="1" applyNumberFormat="1" applyFont="1">
      <alignment vertical="center"/>
    </xf>
    <xf numFmtId="167" fontId="32" fillId="0" borderId="0" xfId="1" applyNumberFormat="1" applyFont="1">
      <alignment vertical="center"/>
    </xf>
    <xf numFmtId="169" fontId="26" fillId="0" borderId="0" xfId="1" applyNumberFormat="1" applyFont="1">
      <alignment vertical="center"/>
    </xf>
    <xf numFmtId="167" fontId="26" fillId="0" borderId="0" xfId="1" applyNumberFormat="1" applyFont="1">
      <alignment vertical="center"/>
    </xf>
    <xf numFmtId="168" fontId="2" fillId="0" borderId="0" xfId="1" applyNumberFormat="1" applyFont="1">
      <alignment vertical="center"/>
    </xf>
    <xf numFmtId="0" fontId="2" fillId="0" borderId="0" xfId="1" applyFont="1" applyAlignment="1">
      <alignment horizontal="center" vertical="center"/>
    </xf>
    <xf numFmtId="167" fontId="34" fillId="0" borderId="0" xfId="1" applyNumberFormat="1" applyFont="1">
      <alignment vertical="center"/>
    </xf>
    <xf numFmtId="0" fontId="24" fillId="0" borderId="0" xfId="1" applyFont="1">
      <alignment vertical="center"/>
    </xf>
    <xf numFmtId="168" fontId="24" fillId="0" borderId="0" xfId="1" applyNumberFormat="1" applyFont="1">
      <alignment vertical="center"/>
    </xf>
    <xf numFmtId="167" fontId="43" fillId="0" borderId="0" xfId="1" applyNumberFormat="1" applyFont="1">
      <alignment vertical="center"/>
    </xf>
    <xf numFmtId="167" fontId="24" fillId="0" borderId="0" xfId="1" applyNumberFormat="1" applyFont="1">
      <alignment vertical="center"/>
    </xf>
    <xf numFmtId="1" fontId="8" fillId="2" borderId="3" xfId="1" applyNumberFormat="1" applyFont="1" applyFill="1" applyBorder="1" applyAlignment="1" applyProtection="1">
      <alignment horizontal="center" vertical="center" wrapText="1"/>
      <protection hidden="1"/>
    </xf>
    <xf numFmtId="1" fontId="8" fillId="3" borderId="3" xfId="1" applyNumberFormat="1" applyFont="1" applyFill="1" applyBorder="1" applyAlignment="1" applyProtection="1">
      <alignment horizontal="center" vertical="center" wrapText="1"/>
      <protection hidden="1"/>
    </xf>
    <xf numFmtId="1" fontId="30" fillId="2" borderId="3" xfId="1" quotePrefix="1" applyNumberFormat="1" applyFont="1" applyFill="1" applyBorder="1" applyAlignment="1" applyProtection="1">
      <alignment horizontal="center" vertical="center" wrapText="1"/>
      <protection hidden="1"/>
    </xf>
    <xf numFmtId="168" fontId="8" fillId="2" borderId="3" xfId="1" applyNumberFormat="1" applyFont="1" applyFill="1" applyBorder="1" applyAlignment="1">
      <alignment horizontal="center" vertical="center" wrapText="1"/>
    </xf>
    <xf numFmtId="3" fontId="8" fillId="2" borderId="3" xfId="1" applyNumberFormat="1" applyFont="1" applyFill="1" applyBorder="1" applyAlignment="1" applyProtection="1">
      <alignment horizontal="center" vertical="center" wrapText="1"/>
      <protection hidden="1"/>
    </xf>
    <xf numFmtId="166" fontId="8" fillId="2" borderId="3" xfId="1" applyNumberFormat="1" applyFont="1" applyFill="1" applyBorder="1" applyAlignment="1" applyProtection="1">
      <alignment horizontal="center" vertical="center" wrapText="1"/>
      <protection hidden="1"/>
    </xf>
    <xf numFmtId="0" fontId="14" fillId="2" borderId="0" xfId="2" applyFont="1" applyFill="1" applyAlignment="1">
      <alignment horizontal="center" vertical="center" wrapText="1"/>
    </xf>
    <xf numFmtId="0" fontId="14" fillId="2" borderId="3" xfId="1" applyFont="1" applyFill="1" applyBorder="1" applyAlignment="1">
      <alignment horizontal="center" vertical="center" wrapText="1"/>
    </xf>
    <xf numFmtId="167" fontId="26" fillId="2" borderId="3" xfId="1" applyNumberFormat="1" applyFont="1" applyFill="1" applyBorder="1" applyAlignment="1">
      <alignment horizontal="center" vertical="center" wrapText="1"/>
    </xf>
    <xf numFmtId="10" fontId="3" fillId="2" borderId="0" xfId="2" applyNumberFormat="1" applyFont="1" applyFill="1" applyAlignment="1">
      <alignment horizontal="center" vertical="center" wrapText="1"/>
    </xf>
    <xf numFmtId="0" fontId="11" fillId="2" borderId="0" xfId="2" applyFont="1" applyFill="1" applyAlignment="1">
      <alignment horizontal="center" vertical="center" wrapText="1"/>
    </xf>
    <xf numFmtId="2" fontId="48" fillId="3" borderId="0" xfId="2" applyNumberFormat="1" applyFont="1" applyFill="1" applyAlignment="1">
      <alignment horizontal="center" vertical="center" wrapText="1"/>
    </xf>
    <xf numFmtId="2" fontId="48" fillId="0" borderId="0" xfId="1" applyNumberFormat="1" applyFont="1">
      <alignment vertical="center"/>
    </xf>
    <xf numFmtId="2" fontId="48" fillId="0" borderId="0" xfId="1" applyNumberFormat="1" applyFont="1" applyAlignment="1">
      <alignment horizontal="center" vertical="center" wrapText="1"/>
    </xf>
    <xf numFmtId="0" fontId="49" fillId="0" borderId="0" xfId="1" applyFont="1">
      <alignment vertical="center"/>
    </xf>
    <xf numFmtId="0" fontId="48" fillId="0" borderId="0" xfId="1" applyFont="1">
      <alignment vertical="center"/>
    </xf>
    <xf numFmtId="0" fontId="50" fillId="0" borderId="0" xfId="1" applyFont="1">
      <alignment vertical="center"/>
    </xf>
    <xf numFmtId="0" fontId="51" fillId="0" borderId="0" xfId="1" applyFont="1">
      <alignment vertical="center"/>
    </xf>
    <xf numFmtId="0" fontId="25" fillId="2" borderId="0" xfId="1" applyFont="1" applyFill="1" applyAlignment="1">
      <alignment vertical="center" wrapText="1"/>
    </xf>
    <xf numFmtId="0" fontId="25" fillId="2" borderId="0" xfId="1" applyFont="1" applyFill="1">
      <alignment vertical="center"/>
    </xf>
    <xf numFmtId="0" fontId="27" fillId="2" borderId="0" xfId="1" quotePrefix="1" applyFont="1" applyFill="1">
      <alignment vertical="center"/>
    </xf>
    <xf numFmtId="2" fontId="4" fillId="0" borderId="0" xfId="1" applyNumberFormat="1" applyFont="1">
      <alignment vertical="center"/>
    </xf>
    <xf numFmtId="0" fontId="42" fillId="2" borderId="0" xfId="1" applyFont="1" applyFill="1" applyAlignment="1">
      <alignment horizontal="center" vertical="center" wrapText="1"/>
    </xf>
    <xf numFmtId="0" fontId="27" fillId="2" borderId="0" xfId="1" quotePrefix="1" applyFont="1" applyFill="1" applyAlignment="1">
      <alignment horizontal="center" vertical="center"/>
    </xf>
    <xf numFmtId="167" fontId="8" fillId="0" borderId="0" xfId="1" applyNumberFormat="1" applyFont="1" applyAlignment="1">
      <alignment horizontal="center" vertical="center" wrapText="1"/>
    </xf>
    <xf numFmtId="0" fontId="52" fillId="2" borderId="0" xfId="0" applyFont="1" applyFill="1" applyAlignment="1">
      <alignment horizontal="center" vertical="center"/>
    </xf>
    <xf numFmtId="0" fontId="52" fillId="2" borderId="0" xfId="0" applyFont="1" applyFill="1" applyAlignment="1">
      <alignment horizontal="left" vertical="center"/>
    </xf>
    <xf numFmtId="0" fontId="54" fillId="2" borderId="0" xfId="0" applyFont="1" applyFill="1"/>
    <xf numFmtId="0" fontId="53" fillId="2" borderId="0" xfId="1" quotePrefix="1" applyFont="1" applyFill="1">
      <alignment vertical="center"/>
    </xf>
    <xf numFmtId="0" fontId="53" fillId="2" borderId="0" xfId="1" quotePrefix="1" applyFont="1" applyFill="1" applyAlignment="1">
      <alignment horizontal="center" vertical="center"/>
    </xf>
    <xf numFmtId="0" fontId="53" fillId="2" borderId="0" xfId="2" applyFont="1" applyFill="1" applyAlignment="1">
      <alignment horizontal="left" vertical="center" wrapText="1"/>
    </xf>
    <xf numFmtId="0" fontId="41" fillId="2" borderId="0" xfId="2" applyFont="1" applyFill="1" applyAlignment="1">
      <alignment horizontal="left" vertical="center" wrapText="1"/>
    </xf>
    <xf numFmtId="0" fontId="41" fillId="2" borderId="3" xfId="1" applyFont="1" applyFill="1" applyBorder="1" applyAlignment="1">
      <alignment horizontal="center" vertical="center" wrapText="1"/>
    </xf>
    <xf numFmtId="168" fontId="41" fillId="2" borderId="3" xfId="1" applyNumberFormat="1" applyFont="1" applyFill="1" applyBorder="1" applyAlignment="1">
      <alignment horizontal="center" vertical="center" wrapText="1"/>
    </xf>
    <xf numFmtId="10" fontId="41" fillId="2" borderId="3" xfId="1" applyNumberFormat="1" applyFont="1" applyFill="1" applyBorder="1" applyAlignment="1" applyProtection="1">
      <alignment horizontal="center" vertical="center" wrapText="1"/>
      <protection hidden="1"/>
    </xf>
    <xf numFmtId="14" fontId="41" fillId="2" borderId="3" xfId="1" applyNumberFormat="1" applyFont="1" applyFill="1" applyBorder="1" applyAlignment="1" applyProtection="1">
      <alignment horizontal="center" vertical="center" wrapText="1"/>
      <protection hidden="1"/>
    </xf>
    <xf numFmtId="1" fontId="41" fillId="2" borderId="3" xfId="1" applyNumberFormat="1" applyFont="1" applyFill="1" applyBorder="1" applyAlignment="1" applyProtection="1">
      <alignment horizontal="center" vertical="center" wrapText="1"/>
      <protection hidden="1"/>
    </xf>
    <xf numFmtId="0" fontId="49" fillId="2" borderId="0" xfId="1" applyFont="1" applyFill="1" applyAlignment="1">
      <alignment horizontal="center" vertical="center"/>
    </xf>
    <xf numFmtId="0" fontId="56" fillId="2" borderId="0" xfId="1" applyFont="1" applyFill="1" applyAlignment="1">
      <alignment horizontal="center" vertical="center"/>
    </xf>
    <xf numFmtId="0" fontId="50" fillId="2" borderId="0" xfId="1" applyFont="1" applyFill="1" applyAlignment="1">
      <alignment horizontal="center" vertical="center"/>
    </xf>
    <xf numFmtId="0" fontId="51" fillId="2" borderId="0" xfId="1" applyFont="1" applyFill="1">
      <alignment vertical="center"/>
    </xf>
    <xf numFmtId="0" fontId="53" fillId="2" borderId="0" xfId="1" quotePrefix="1" applyFont="1" applyFill="1" applyAlignment="1">
      <alignment horizontal="left" vertical="center"/>
    </xf>
    <xf numFmtId="0" fontId="27" fillId="2" borderId="0" xfId="2" applyFont="1" applyFill="1" applyAlignment="1">
      <alignment horizontal="left" vertical="center" wrapText="1"/>
    </xf>
    <xf numFmtId="0" fontId="30" fillId="2" borderId="0" xfId="2" applyFont="1" applyFill="1" applyAlignment="1">
      <alignment horizontal="left" vertical="center" wrapText="1"/>
    </xf>
    <xf numFmtId="0" fontId="11" fillId="2" borderId="3" xfId="2" applyFont="1" applyFill="1" applyBorder="1" applyAlignment="1">
      <alignment horizontal="center" vertical="center" wrapText="1"/>
    </xf>
    <xf numFmtId="2" fontId="41" fillId="2" borderId="3" xfId="1" applyNumberFormat="1" applyFont="1" applyFill="1" applyBorder="1" applyAlignment="1" applyProtection="1">
      <alignment horizontal="center" vertical="center" wrapText="1"/>
      <protection hidden="1"/>
    </xf>
    <xf numFmtId="168" fontId="26" fillId="2" borderId="0" xfId="1" applyNumberFormat="1" applyFont="1" applyFill="1">
      <alignment vertical="center"/>
    </xf>
    <xf numFmtId="3" fontId="47" fillId="2" borderId="0" xfId="1" applyNumberFormat="1" applyFont="1" applyFill="1" applyAlignment="1">
      <alignment horizontal="center" vertical="center"/>
    </xf>
    <xf numFmtId="167" fontId="28" fillId="2" borderId="12" xfId="1" applyNumberFormat="1" applyFont="1" applyFill="1" applyBorder="1" applyAlignment="1" applyProtection="1">
      <alignment horizontal="center" vertical="center" wrapText="1"/>
      <protection hidden="1"/>
    </xf>
    <xf numFmtId="3" fontId="8" fillId="2" borderId="3" xfId="1" applyNumberFormat="1" applyFont="1" applyFill="1" applyBorder="1" applyAlignment="1">
      <alignment horizontal="center" vertical="center" wrapText="1"/>
    </xf>
    <xf numFmtId="168" fontId="3" fillId="2" borderId="0" xfId="1" applyNumberFormat="1" applyFont="1" applyFill="1" applyAlignment="1">
      <alignment horizontal="center" vertical="center"/>
    </xf>
    <xf numFmtId="0" fontId="15" fillId="0" borderId="3" xfId="2" applyFont="1" applyBorder="1" applyAlignment="1">
      <alignment horizontal="center" vertical="center" wrapText="1"/>
    </xf>
    <xf numFmtId="168" fontId="15" fillId="0" borderId="5" xfId="1" applyNumberFormat="1" applyFont="1" applyBorder="1" applyAlignment="1">
      <alignment horizontal="center" vertical="center" wrapText="1"/>
    </xf>
    <xf numFmtId="1" fontId="15" fillId="0" borderId="3" xfId="1" applyNumberFormat="1" applyFont="1" applyBorder="1" applyAlignment="1">
      <alignment horizontal="center" vertical="center" wrapText="1"/>
    </xf>
    <xf numFmtId="167" fontId="40" fillId="0" borderId="3" xfId="1" applyNumberFormat="1" applyFont="1" applyBorder="1" applyAlignment="1">
      <alignment horizontal="center" vertical="center" wrapText="1"/>
    </xf>
    <xf numFmtId="0" fontId="30" fillId="0" borderId="3" xfId="1" applyFont="1" applyBorder="1" applyAlignment="1">
      <alignment horizontal="center" vertical="center" wrapText="1"/>
    </xf>
    <xf numFmtId="0" fontId="42" fillId="0" borderId="3" xfId="1" applyFont="1" applyBorder="1" applyAlignment="1">
      <alignment horizontal="center" vertical="center" wrapText="1"/>
    </xf>
    <xf numFmtId="4" fontId="15" fillId="0" borderId="3" xfId="1" applyNumberFormat="1" applyFont="1" applyBorder="1" applyAlignment="1">
      <alignment horizontal="center" vertical="center" wrapText="1"/>
    </xf>
    <xf numFmtId="2" fontId="15" fillId="0" borderId="3" xfId="1" applyNumberFormat="1" applyFont="1" applyBorder="1" applyAlignment="1" applyProtection="1">
      <alignment horizontal="center" vertical="center" wrapText="1"/>
      <protection hidden="1"/>
    </xf>
    <xf numFmtId="2" fontId="15" fillId="0" borderId="0" xfId="1" applyNumberFormat="1" applyFont="1" applyAlignment="1">
      <alignment horizontal="center" vertical="center" wrapText="1"/>
    </xf>
    <xf numFmtId="2" fontId="41" fillId="0" borderId="0" xfId="1" applyNumberFormat="1" applyFont="1" applyAlignment="1">
      <alignment horizontal="center" vertical="center" wrapText="1"/>
    </xf>
    <xf numFmtId="0" fontId="15" fillId="0" borderId="5" xfId="1" applyFont="1" applyBorder="1" applyAlignment="1">
      <alignment horizontal="center" vertical="center" wrapText="1"/>
    </xf>
    <xf numFmtId="3" fontId="15" fillId="0" borderId="0" xfId="1" applyNumberFormat="1" applyFont="1" applyAlignment="1">
      <alignment horizontal="center" vertical="center" wrapText="1"/>
    </xf>
    <xf numFmtId="2" fontId="8" fillId="0" borderId="0" xfId="1" applyNumberFormat="1" applyFont="1" applyAlignment="1">
      <alignment horizontal="center" vertical="center" wrapText="1"/>
    </xf>
    <xf numFmtId="2" fontId="15" fillId="0" borderId="3" xfId="1" applyNumberFormat="1" applyFont="1" applyBorder="1" applyAlignment="1">
      <alignment horizontal="center" vertical="center" wrapText="1"/>
    </xf>
    <xf numFmtId="1" fontId="15" fillId="0" borderId="0" xfId="1" applyNumberFormat="1" applyFont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1" fontId="30" fillId="0" borderId="0" xfId="1" applyNumberFormat="1" applyFont="1" applyAlignment="1">
      <alignment horizontal="center" vertical="center" wrapText="1"/>
    </xf>
    <xf numFmtId="170" fontId="8" fillId="0" borderId="0" xfId="1" applyNumberFormat="1" applyFont="1" applyAlignment="1">
      <alignment horizontal="center" vertical="center" wrapText="1"/>
    </xf>
    <xf numFmtId="0" fontId="15" fillId="3" borderId="3" xfId="2" applyFont="1" applyFill="1" applyBorder="1" applyAlignment="1">
      <alignment horizontal="center" vertical="center" wrapText="1"/>
    </xf>
    <xf numFmtId="2" fontId="30" fillId="3" borderId="3" xfId="1" applyNumberFormat="1" applyFont="1" applyFill="1" applyBorder="1" applyAlignment="1">
      <alignment horizontal="center" vertical="center" wrapText="1"/>
    </xf>
    <xf numFmtId="1" fontId="30" fillId="3" borderId="3" xfId="1" applyNumberFormat="1" applyFont="1" applyFill="1" applyBorder="1" applyAlignment="1">
      <alignment horizontal="center" vertical="center" wrapText="1"/>
    </xf>
    <xf numFmtId="0" fontId="30" fillId="3" borderId="3" xfId="1" applyFont="1" applyFill="1" applyBorder="1" applyAlignment="1">
      <alignment horizontal="center" vertical="center" wrapText="1"/>
    </xf>
    <xf numFmtId="171" fontId="30" fillId="3" borderId="3" xfId="1" applyNumberFormat="1" applyFont="1" applyFill="1" applyBorder="1" applyAlignment="1">
      <alignment horizontal="center" vertical="center" wrapText="1"/>
    </xf>
    <xf numFmtId="1" fontId="15" fillId="3" borderId="3" xfId="1" applyNumberFormat="1" applyFont="1" applyFill="1" applyBorder="1" applyAlignment="1">
      <alignment horizontal="center" vertical="center" wrapText="1"/>
    </xf>
    <xf numFmtId="0" fontId="15" fillId="2" borderId="5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center" vertical="center"/>
    </xf>
    <xf numFmtId="4" fontId="15" fillId="2" borderId="0" xfId="1" applyNumberFormat="1" applyFont="1" applyFill="1" applyAlignment="1">
      <alignment horizontal="center" vertical="center" wrapText="1"/>
    </xf>
    <xf numFmtId="0" fontId="18" fillId="2" borderId="0" xfId="0" applyFont="1" applyFill="1" applyAlignment="1">
      <alignment horizontal="left" vertical="center"/>
    </xf>
    <xf numFmtId="0" fontId="4" fillId="2" borderId="0" xfId="1" quotePrefix="1" applyFont="1" applyFill="1" applyAlignment="1">
      <alignment horizontal="left" vertical="center"/>
    </xf>
    <xf numFmtId="2" fontId="30" fillId="3" borderId="3" xfId="1" applyNumberFormat="1" applyFont="1" applyFill="1" applyBorder="1" applyAlignment="1" applyProtection="1">
      <alignment horizontal="center" vertical="center" wrapText="1"/>
      <protection hidden="1"/>
    </xf>
    <xf numFmtId="1" fontId="15" fillId="2" borderId="3" xfId="1" applyNumberFormat="1" applyFont="1" applyFill="1" applyBorder="1" applyAlignment="1">
      <alignment horizontal="center" vertical="center" wrapText="1"/>
    </xf>
    <xf numFmtId="0" fontId="57" fillId="2" borderId="3" xfId="1" applyFont="1" applyFill="1" applyBorder="1" applyAlignment="1">
      <alignment horizontal="center" vertical="center" wrapText="1"/>
    </xf>
    <xf numFmtId="10" fontId="38" fillId="2" borderId="3" xfId="1" applyNumberFormat="1" applyFont="1" applyFill="1" applyBorder="1" applyAlignment="1" applyProtection="1">
      <alignment horizontal="center" vertical="center" wrapText="1"/>
      <protection hidden="1"/>
    </xf>
    <xf numFmtId="1" fontId="38" fillId="2" borderId="3" xfId="1" applyNumberFormat="1" applyFont="1" applyFill="1" applyBorder="1" applyAlignment="1" applyProtection="1">
      <alignment horizontal="center" vertical="center" wrapText="1"/>
      <protection hidden="1"/>
    </xf>
    <xf numFmtId="10" fontId="38" fillId="2" borderId="6" xfId="1" applyNumberFormat="1" applyFont="1" applyFill="1" applyBorder="1" applyAlignment="1" applyProtection="1">
      <alignment horizontal="center" vertical="center" wrapText="1"/>
      <protection hidden="1"/>
    </xf>
    <xf numFmtId="0" fontId="19" fillId="2" borderId="0" xfId="7" applyFont="1" applyFill="1" applyAlignment="1">
      <alignment horizontal="center" vertical="center"/>
    </xf>
    <xf numFmtId="168" fontId="8" fillId="3" borderId="3" xfId="1" applyNumberFormat="1" applyFont="1" applyFill="1" applyBorder="1" applyAlignment="1">
      <alignment horizontal="center" vertical="center" wrapText="1"/>
    </xf>
    <xf numFmtId="167" fontId="30" fillId="3" borderId="3" xfId="1" quotePrefix="1" applyNumberFormat="1" applyFont="1" applyFill="1" applyBorder="1" applyAlignment="1" applyProtection="1">
      <alignment horizontal="center" vertical="center" wrapText="1"/>
      <protection hidden="1"/>
    </xf>
    <xf numFmtId="0" fontId="57" fillId="3" borderId="3" xfId="1" applyFont="1" applyFill="1" applyBorder="1" applyAlignment="1">
      <alignment horizontal="center" vertical="center" wrapText="1"/>
    </xf>
    <xf numFmtId="10" fontId="38" fillId="3" borderId="3" xfId="1" applyNumberFormat="1" applyFont="1" applyFill="1" applyBorder="1" applyAlignment="1" applyProtection="1">
      <alignment horizontal="center" vertical="center" wrapText="1"/>
      <protection hidden="1"/>
    </xf>
    <xf numFmtId="168" fontId="15" fillId="3" borderId="5" xfId="1" applyNumberFormat="1" applyFont="1" applyFill="1" applyBorder="1" applyAlignment="1">
      <alignment horizontal="center" vertical="center" wrapText="1"/>
    </xf>
    <xf numFmtId="167" fontId="40" fillId="3" borderId="3" xfId="1" applyNumberFormat="1" applyFont="1" applyFill="1" applyBorder="1" applyAlignment="1">
      <alignment horizontal="center" vertical="center" wrapText="1"/>
    </xf>
    <xf numFmtId="167" fontId="30" fillId="3" borderId="3" xfId="1" applyNumberFormat="1" applyFont="1" applyFill="1" applyBorder="1" applyAlignment="1">
      <alignment horizontal="center" vertical="center" wrapText="1"/>
    </xf>
    <xf numFmtId="0" fontId="42" fillId="3" borderId="3" xfId="1" applyFont="1" applyFill="1" applyBorder="1" applyAlignment="1">
      <alignment horizontal="center" vertical="center" wrapText="1"/>
    </xf>
    <xf numFmtId="0" fontId="15" fillId="0" borderId="9" xfId="0" applyFont="1" applyBorder="1"/>
    <xf numFmtId="0" fontId="15" fillId="0" borderId="9" xfId="0" applyFont="1" applyBorder="1" applyAlignment="1">
      <alignment vertical="center"/>
    </xf>
    <xf numFmtId="0" fontId="15" fillId="0" borderId="21" xfId="0" applyFont="1" applyBorder="1"/>
    <xf numFmtId="0" fontId="15" fillId="0" borderId="21" xfId="0" applyFont="1" applyBorder="1" applyAlignment="1">
      <alignment vertical="center"/>
    </xf>
    <xf numFmtId="0" fontId="15" fillId="0" borderId="19" xfId="0" applyFont="1" applyBorder="1"/>
    <xf numFmtId="0" fontId="15" fillId="0" borderId="10" xfId="0" applyFont="1" applyBorder="1"/>
    <xf numFmtId="0" fontId="15" fillId="0" borderId="23" xfId="0" applyFont="1" applyBorder="1"/>
    <xf numFmtId="0" fontId="15" fillId="0" borderId="23" xfId="0" applyFont="1" applyBorder="1" applyAlignment="1">
      <alignment vertical="center"/>
    </xf>
    <xf numFmtId="0" fontId="15" fillId="0" borderId="24" xfId="0" applyFont="1" applyBorder="1"/>
    <xf numFmtId="0" fontId="8" fillId="0" borderId="0" xfId="0" applyFont="1"/>
    <xf numFmtId="0" fontId="38" fillId="0" borderId="14" xfId="0" applyFont="1" applyBorder="1" applyAlignment="1">
      <alignment horizontal="center" vertical="center" wrapText="1"/>
    </xf>
    <xf numFmtId="0" fontId="38" fillId="0" borderId="12" xfId="0" applyFont="1" applyBorder="1" applyAlignment="1">
      <alignment horizontal="center" vertical="center" wrapText="1"/>
    </xf>
    <xf numFmtId="0" fontId="38" fillId="0" borderId="15" xfId="0" applyFont="1" applyBorder="1" applyAlignment="1">
      <alignment horizontal="center" vertical="center" wrapText="1"/>
    </xf>
    <xf numFmtId="0" fontId="38" fillId="0" borderId="18" xfId="0" applyFont="1" applyBorder="1" applyAlignment="1">
      <alignment horizontal="center" vertical="center" wrapText="1"/>
    </xf>
    <xf numFmtId="0" fontId="38" fillId="0" borderId="13" xfId="0" applyFont="1" applyBorder="1" applyAlignment="1">
      <alignment horizontal="center" vertical="center" wrapText="1"/>
    </xf>
    <xf numFmtId="0" fontId="38" fillId="0" borderId="17" xfId="0" applyFont="1" applyBorder="1" applyAlignment="1">
      <alignment horizontal="center" vertical="center" wrapText="1"/>
    </xf>
    <xf numFmtId="0" fontId="39" fillId="0" borderId="3" xfId="4" applyFont="1" applyBorder="1" applyAlignment="1">
      <alignment horizontal="center" vertical="center" wrapText="1"/>
    </xf>
    <xf numFmtId="3" fontId="38" fillId="0" borderId="3" xfId="4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14" fontId="8" fillId="0" borderId="3" xfId="0" applyNumberFormat="1" applyFont="1" applyBorder="1" applyAlignment="1">
      <alignment horizontal="center"/>
    </xf>
    <xf numFmtId="172" fontId="8" fillId="0" borderId="3" xfId="8" applyNumberFormat="1" applyFont="1" applyBorder="1"/>
    <xf numFmtId="0" fontId="8" fillId="0" borderId="3" xfId="0" applyFont="1" applyBorder="1"/>
    <xf numFmtId="172" fontId="8" fillId="0" borderId="4" xfId="8" applyNumberFormat="1" applyFont="1" applyBorder="1"/>
    <xf numFmtId="2" fontId="15" fillId="2" borderId="3" xfId="1" applyNumberFormat="1" applyFont="1" applyFill="1" applyBorder="1" applyAlignment="1">
      <alignment horizontal="center" vertical="center" wrapText="1"/>
    </xf>
    <xf numFmtId="1" fontId="15" fillId="2" borderId="0" xfId="1" applyNumberFormat="1" applyFont="1" applyFill="1" applyAlignment="1">
      <alignment horizontal="center" vertical="center" wrapText="1"/>
    </xf>
    <xf numFmtId="2" fontId="15" fillId="3" borderId="3" xfId="1" applyNumberFormat="1" applyFont="1" applyFill="1" applyBorder="1" applyAlignment="1">
      <alignment horizontal="center" vertical="center" wrapText="1"/>
    </xf>
    <xf numFmtId="4" fontId="8" fillId="3" borderId="3" xfId="1" applyNumberFormat="1" applyFont="1" applyFill="1" applyBorder="1" applyAlignment="1" applyProtection="1">
      <alignment horizontal="center" vertical="center" wrapText="1"/>
      <protection hidden="1"/>
    </xf>
    <xf numFmtId="0" fontId="8" fillId="3" borderId="0" xfId="1" applyFont="1" applyFill="1" applyAlignment="1">
      <alignment horizontal="center" vertical="center" wrapText="1"/>
    </xf>
    <xf numFmtId="4" fontId="15" fillId="0" borderId="3" xfId="1" applyNumberFormat="1" applyFont="1" applyBorder="1" applyAlignment="1" applyProtection="1">
      <alignment horizontal="center" vertical="center" wrapText="1"/>
      <protection hidden="1"/>
    </xf>
    <xf numFmtId="4" fontId="8" fillId="0" borderId="3" xfId="1" applyNumberFormat="1" applyFont="1" applyBorder="1" applyAlignment="1" applyProtection="1">
      <alignment horizontal="center" vertical="center" wrapText="1"/>
      <protection hidden="1"/>
    </xf>
    <xf numFmtId="0" fontId="61" fillId="0" borderId="3" xfId="9" applyFont="1" applyBorder="1" applyAlignment="1">
      <alignment horizontal="center" vertical="center" wrapText="1"/>
    </xf>
    <xf numFmtId="0" fontId="38" fillId="2" borderId="4" xfId="2" applyFont="1" applyFill="1" applyBorder="1" applyAlignment="1">
      <alignment vertical="center" wrapText="1"/>
    </xf>
    <xf numFmtId="0" fontId="38" fillId="2" borderId="2" xfId="2" applyFont="1" applyFill="1" applyBorder="1" applyAlignment="1">
      <alignment vertical="center" wrapText="1"/>
    </xf>
    <xf numFmtId="0" fontId="38" fillId="2" borderId="3" xfId="2" applyFont="1" applyFill="1" applyBorder="1" applyAlignment="1">
      <alignment vertical="center" wrapText="1"/>
    </xf>
    <xf numFmtId="0" fontId="38" fillId="2" borderId="3" xfId="1" applyFont="1" applyFill="1" applyBorder="1" applyAlignment="1">
      <alignment vertical="center" wrapText="1"/>
    </xf>
    <xf numFmtId="0" fontId="38" fillId="2" borderId="2" xfId="1" applyFont="1" applyFill="1" applyBorder="1" applyAlignment="1">
      <alignment vertical="center" wrapText="1"/>
    </xf>
    <xf numFmtId="10" fontId="38" fillId="2" borderId="5" xfId="1" applyNumberFormat="1" applyFont="1" applyFill="1" applyBorder="1" applyAlignment="1" applyProtection="1">
      <alignment horizontal="center" vertical="center" wrapText="1"/>
      <protection hidden="1"/>
    </xf>
    <xf numFmtId="10" fontId="38" fillId="2" borderId="7" xfId="1" applyNumberFormat="1" applyFont="1" applyFill="1" applyBorder="1" applyAlignment="1" applyProtection="1">
      <alignment horizontal="center" vertical="center" wrapText="1"/>
      <protection hidden="1"/>
    </xf>
    <xf numFmtId="10" fontId="38" fillId="2" borderId="6" xfId="1" applyNumberFormat="1" applyFont="1" applyFill="1" applyBorder="1" applyAlignment="1" applyProtection="1">
      <alignment horizontal="center" vertical="center" wrapText="1"/>
      <protection hidden="1"/>
    </xf>
    <xf numFmtId="0" fontId="15" fillId="2" borderId="0" xfId="1" applyFont="1" applyFill="1" applyAlignment="1">
      <alignment horizontal="center" vertical="center" wrapText="1"/>
    </xf>
    <xf numFmtId="0" fontId="15" fillId="2" borderId="5" xfId="1" applyFont="1" applyFill="1" applyBorder="1" applyAlignment="1">
      <alignment horizontal="center" vertical="center" wrapText="1"/>
    </xf>
    <xf numFmtId="0" fontId="15" fillId="2" borderId="7" xfId="1" applyFont="1" applyFill="1" applyBorder="1" applyAlignment="1">
      <alignment horizontal="center" vertical="center" wrapText="1"/>
    </xf>
    <xf numFmtId="0" fontId="15" fillId="2" borderId="6" xfId="1" applyFont="1" applyFill="1" applyBorder="1" applyAlignment="1">
      <alignment horizontal="center" vertical="center" wrapText="1"/>
    </xf>
    <xf numFmtId="168" fontId="24" fillId="2" borderId="0" xfId="1" applyNumberFormat="1" applyFont="1" applyFill="1" applyAlignment="1">
      <alignment horizontal="center" vertical="center"/>
    </xf>
    <xf numFmtId="0" fontId="43" fillId="2" borderId="0" xfId="1" applyFont="1" applyFill="1" applyAlignment="1">
      <alignment horizontal="center" vertical="center"/>
    </xf>
    <xf numFmtId="165" fontId="8" fillId="2" borderId="5" xfId="2" applyNumberFormat="1" applyFont="1" applyFill="1" applyBorder="1" applyAlignment="1">
      <alignment horizontal="center" vertical="center"/>
    </xf>
    <xf numFmtId="165" fontId="8" fillId="2" borderId="7" xfId="2" applyNumberFormat="1" applyFont="1" applyFill="1" applyBorder="1" applyAlignment="1">
      <alignment horizontal="center" vertical="center"/>
    </xf>
    <xf numFmtId="165" fontId="8" fillId="2" borderId="6" xfId="2" applyNumberFormat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 vertical="center"/>
    </xf>
    <xf numFmtId="10" fontId="38" fillId="3" borderId="5" xfId="1" applyNumberFormat="1" applyFont="1" applyFill="1" applyBorder="1" applyAlignment="1" applyProtection="1">
      <alignment horizontal="center" vertical="center" wrapText="1"/>
      <protection hidden="1"/>
    </xf>
    <xf numFmtId="10" fontId="38" fillId="3" borderId="6" xfId="1" applyNumberFormat="1" applyFont="1" applyFill="1" applyBorder="1" applyAlignment="1" applyProtection="1">
      <alignment horizontal="center" vertical="center" wrapText="1"/>
      <protection hidden="1"/>
    </xf>
    <xf numFmtId="0" fontId="20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left" vertical="center"/>
    </xf>
    <xf numFmtId="0" fontId="4" fillId="2" borderId="0" xfId="1" quotePrefix="1" applyFont="1" applyFill="1" applyAlignment="1">
      <alignment horizontal="center" vertical="center"/>
    </xf>
    <xf numFmtId="0" fontId="38" fillId="2" borderId="5" xfId="2" applyFont="1" applyFill="1" applyBorder="1" applyAlignment="1">
      <alignment horizontal="center" vertical="center" wrapText="1"/>
    </xf>
    <xf numFmtId="0" fontId="38" fillId="2" borderId="6" xfId="2" applyFont="1" applyFill="1" applyBorder="1" applyAlignment="1">
      <alignment horizontal="center" vertical="center" wrapText="1"/>
    </xf>
    <xf numFmtId="0" fontId="4" fillId="2" borderId="0" xfId="1" quotePrefix="1" applyFont="1" applyFill="1" applyAlignment="1">
      <alignment horizontal="right" vertical="center"/>
    </xf>
    <xf numFmtId="0" fontId="4" fillId="2" borderId="0" xfId="1" quotePrefix="1" applyFont="1" applyFill="1" applyAlignment="1">
      <alignment horizontal="left" vertical="center"/>
    </xf>
    <xf numFmtId="0" fontId="4" fillId="2" borderId="0" xfId="2" applyFont="1" applyFill="1" applyAlignment="1">
      <alignment horizontal="right" vertical="center" wrapText="1"/>
    </xf>
    <xf numFmtId="0" fontId="4" fillId="2" borderId="0" xfId="2" applyFont="1" applyFill="1" applyAlignment="1">
      <alignment horizontal="left" vertical="center" wrapText="1"/>
    </xf>
    <xf numFmtId="0" fontId="46" fillId="2" borderId="4" xfId="2" applyFont="1" applyFill="1" applyBorder="1" applyAlignment="1">
      <alignment horizontal="center" vertical="center" wrapText="1"/>
    </xf>
    <xf numFmtId="0" fontId="46" fillId="2" borderId="1" xfId="2" applyFont="1" applyFill="1" applyBorder="1" applyAlignment="1">
      <alignment horizontal="center" vertical="center" wrapText="1"/>
    </xf>
    <xf numFmtId="0" fontId="55" fillId="2" borderId="4" xfId="2" applyFont="1" applyFill="1" applyBorder="1" applyAlignment="1">
      <alignment horizontal="center" vertical="center" wrapText="1"/>
    </xf>
    <xf numFmtId="0" fontId="55" fillId="2" borderId="2" xfId="2" applyFont="1" applyFill="1" applyBorder="1" applyAlignment="1">
      <alignment horizontal="center" vertical="center" wrapText="1"/>
    </xf>
    <xf numFmtId="0" fontId="19" fillId="2" borderId="0" xfId="7" applyFont="1" applyFill="1" applyAlignment="1">
      <alignment horizontal="center" vertical="center"/>
    </xf>
    <xf numFmtId="0" fontId="15" fillId="2" borderId="5" xfId="2" applyFont="1" applyFill="1" applyBorder="1" applyAlignment="1">
      <alignment horizontal="center" vertical="center" wrapText="1"/>
    </xf>
    <xf numFmtId="0" fontId="15" fillId="2" borderId="7" xfId="2" applyFont="1" applyFill="1" applyBorder="1" applyAlignment="1">
      <alignment horizontal="center" vertical="center" wrapText="1"/>
    </xf>
    <xf numFmtId="0" fontId="15" fillId="2" borderId="6" xfId="2" applyFont="1" applyFill="1" applyBorder="1" applyAlignment="1">
      <alignment horizontal="center" vertical="center" wrapText="1"/>
    </xf>
    <xf numFmtId="0" fontId="11" fillId="2" borderId="4" xfId="2" applyFont="1" applyFill="1" applyBorder="1" applyAlignment="1">
      <alignment horizontal="center" vertical="center" wrapText="1"/>
    </xf>
    <xf numFmtId="0" fontId="11" fillId="2" borderId="1" xfId="2" applyFont="1" applyFill="1" applyBorder="1" applyAlignment="1">
      <alignment horizontal="center" vertical="center" wrapText="1"/>
    </xf>
    <xf numFmtId="0" fontId="11" fillId="2" borderId="2" xfId="2" applyFont="1" applyFill="1" applyBorder="1" applyAlignment="1">
      <alignment horizontal="center" vertical="center" wrapText="1"/>
    </xf>
    <xf numFmtId="4" fontId="15" fillId="2" borderId="0" xfId="1" applyNumberFormat="1" applyFont="1" applyFill="1" applyAlignment="1">
      <alignment horizontal="center" vertical="center" wrapText="1"/>
    </xf>
    <xf numFmtId="0" fontId="24" fillId="0" borderId="0" xfId="1" applyFont="1" applyAlignment="1">
      <alignment horizontal="center" vertical="center"/>
    </xf>
    <xf numFmtId="168" fontId="24" fillId="0" borderId="0" xfId="1" applyNumberFormat="1" applyFont="1" applyAlignment="1">
      <alignment horizontal="center" vertical="center"/>
    </xf>
    <xf numFmtId="2" fontId="15" fillId="0" borderId="0" xfId="1" applyNumberFormat="1" applyFont="1" applyAlignment="1">
      <alignment horizontal="center" vertical="center" wrapText="1"/>
    </xf>
    <xf numFmtId="0" fontId="4" fillId="0" borderId="0" xfId="2" applyFont="1" applyAlignment="1">
      <alignment horizontal="left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3" xfId="2" applyFont="1" applyBorder="1" applyAlignment="1">
      <alignment horizontal="center" vertical="center" wrapText="1"/>
    </xf>
    <xf numFmtId="0" fontId="11" fillId="0" borderId="4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11" fillId="0" borderId="2" xfId="2" applyFont="1" applyBorder="1" applyAlignment="1">
      <alignment horizontal="center" vertical="center" wrapText="1"/>
    </xf>
    <xf numFmtId="0" fontId="15" fillId="0" borderId="5" xfId="1" applyFont="1" applyBorder="1" applyAlignment="1">
      <alignment horizontal="center"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6" xfId="1" applyFont="1" applyBorder="1" applyAlignment="1">
      <alignment horizontal="center" vertical="center" wrapText="1"/>
    </xf>
    <xf numFmtId="0" fontId="4" fillId="0" borderId="0" xfId="1" quotePrefix="1" applyFont="1" applyAlignment="1">
      <alignment horizontal="right" vertical="center"/>
    </xf>
    <xf numFmtId="0" fontId="4" fillId="0" borderId="0" xfId="2" applyFont="1" applyAlignment="1">
      <alignment horizontal="right" vertical="center" wrapText="1"/>
    </xf>
    <xf numFmtId="0" fontId="15" fillId="0" borderId="5" xfId="2" applyFont="1" applyBorder="1" applyAlignment="1">
      <alignment horizontal="center" vertical="center" wrapText="1"/>
    </xf>
    <xf numFmtId="0" fontId="15" fillId="0" borderId="7" xfId="2" applyFont="1" applyBorder="1" applyAlignment="1">
      <alignment horizontal="center" vertical="center" wrapText="1"/>
    </xf>
    <xf numFmtId="0" fontId="15" fillId="0" borderId="6" xfId="2" applyFont="1" applyBorder="1" applyAlignment="1">
      <alignment horizontal="center" vertical="center" wrapText="1"/>
    </xf>
    <xf numFmtId="0" fontId="4" fillId="0" borderId="0" xfId="1" quotePrefix="1" applyFont="1" applyAlignment="1">
      <alignment horizontal="left" vertical="center"/>
    </xf>
    <xf numFmtId="0" fontId="19" fillId="0" borderId="0" xfId="7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" fillId="0" borderId="0" xfId="1" quotePrefix="1" applyFont="1" applyAlignment="1">
      <alignment horizontal="center" vertical="center"/>
    </xf>
    <xf numFmtId="165" fontId="8" fillId="0" borderId="5" xfId="2" applyNumberFormat="1" applyFont="1" applyBorder="1" applyAlignment="1">
      <alignment horizontal="center" vertical="center" wrapText="1"/>
    </xf>
    <xf numFmtId="165" fontId="8" fillId="0" borderId="7" xfId="2" applyNumberFormat="1" applyFont="1" applyBorder="1" applyAlignment="1">
      <alignment horizontal="center" vertical="center" wrapText="1"/>
    </xf>
    <xf numFmtId="165" fontId="8" fillId="0" borderId="6" xfId="2" applyNumberFormat="1" applyFont="1" applyBorder="1" applyAlignment="1">
      <alignment horizontal="center" vertical="center" wrapText="1"/>
    </xf>
    <xf numFmtId="3" fontId="30" fillId="0" borderId="0" xfId="1" applyNumberFormat="1" applyFont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22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168" fontId="15" fillId="0" borderId="23" xfId="0" applyNumberFormat="1" applyFont="1" applyBorder="1" applyAlignment="1">
      <alignment horizontal="left"/>
    </xf>
    <xf numFmtId="0" fontId="58" fillId="0" borderId="14" xfId="0" applyFont="1" applyBorder="1" applyAlignment="1">
      <alignment horizontal="center" vertical="center" wrapText="1"/>
    </xf>
    <xf numFmtId="0" fontId="58" fillId="0" borderId="12" xfId="0" applyFont="1" applyBorder="1" applyAlignment="1">
      <alignment horizontal="center" vertical="center" wrapText="1"/>
    </xf>
    <xf numFmtId="0" fontId="58" fillId="0" borderId="15" xfId="0" applyFont="1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 wrapText="1"/>
    </xf>
    <xf numFmtId="0" fontId="58" fillId="0" borderId="0" xfId="0" applyFont="1" applyAlignment="1">
      <alignment horizontal="center" vertical="center" wrapText="1"/>
    </xf>
    <xf numFmtId="0" fontId="58" fillId="0" borderId="16" xfId="0" applyFont="1" applyBorder="1" applyAlignment="1">
      <alignment horizontal="center" vertical="center" wrapText="1"/>
    </xf>
    <xf numFmtId="0" fontId="59" fillId="0" borderId="11" xfId="0" applyFont="1" applyBorder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59" fillId="0" borderId="16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38" fillId="2" borderId="4" xfId="1" applyFont="1" applyFill="1" applyBorder="1" applyAlignment="1">
      <alignment horizontal="center" vertical="center" wrapText="1"/>
    </xf>
    <xf numFmtId="0" fontId="38" fillId="2" borderId="2" xfId="1" applyFont="1" applyFill="1" applyBorder="1" applyAlignment="1">
      <alignment horizontal="center" vertical="center" wrapText="1"/>
    </xf>
    <xf numFmtId="0" fontId="38" fillId="2" borderId="3" xfId="1" applyFont="1" applyFill="1" applyBorder="1" applyAlignment="1">
      <alignment horizontal="center" vertical="center" wrapText="1"/>
    </xf>
    <xf numFmtId="0" fontId="38" fillId="2" borderId="1" xfId="1" applyFont="1" applyFill="1" applyBorder="1" applyAlignment="1">
      <alignment horizontal="center" vertical="center" wrapText="1"/>
    </xf>
    <xf numFmtId="168" fontId="38" fillId="2" borderId="3" xfId="1" applyNumberFormat="1" applyFont="1" applyFill="1" applyBorder="1" applyAlignment="1">
      <alignment horizontal="center" vertical="center" wrapText="1"/>
    </xf>
    <xf numFmtId="168" fontId="38" fillId="2" borderId="5" xfId="1" applyNumberFormat="1" applyFont="1" applyFill="1" applyBorder="1" applyAlignment="1">
      <alignment horizontal="center" vertical="center" wrapText="1"/>
    </xf>
    <xf numFmtId="168" fontId="38" fillId="2" borderId="6" xfId="1" applyNumberFormat="1" applyFont="1" applyFill="1" applyBorder="1" applyAlignment="1">
      <alignment horizontal="center" vertical="center" wrapText="1"/>
    </xf>
    <xf numFmtId="0" fontId="38" fillId="2" borderId="4" xfId="2" applyFont="1" applyFill="1" applyBorder="1" applyAlignment="1">
      <alignment horizontal="center" vertical="center" wrapText="1"/>
    </xf>
    <xf numFmtId="0" fontId="38" fillId="2" borderId="1" xfId="2" applyFont="1" applyFill="1" applyBorder="1" applyAlignment="1">
      <alignment horizontal="center" vertical="center" wrapText="1"/>
    </xf>
    <xf numFmtId="0" fontId="38" fillId="2" borderId="2" xfId="2" applyFont="1" applyFill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3" fontId="38" fillId="0" borderId="3" xfId="4" applyNumberFormat="1" applyFont="1" applyBorder="1" applyAlignment="1">
      <alignment horizontal="center" vertical="center" wrapText="1"/>
    </xf>
    <xf numFmtId="0" fontId="39" fillId="0" borderId="3" xfId="4" applyFont="1" applyBorder="1" applyAlignment="1">
      <alignment horizontal="center" vertical="center" wrapText="1"/>
    </xf>
    <xf numFmtId="0" fontId="39" fillId="0" borderId="3" xfId="0" applyFont="1" applyBorder="1" applyAlignment="1">
      <alignment horizontal="center" vertical="center"/>
    </xf>
    <xf numFmtId="3" fontId="39" fillId="0" borderId="3" xfId="4" applyNumberFormat="1" applyFont="1" applyBorder="1" applyAlignment="1">
      <alignment horizontal="center" vertical="center" wrapText="1"/>
    </xf>
    <xf numFmtId="0" fontId="38" fillId="2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60" fillId="0" borderId="11" xfId="0" applyFont="1" applyBorder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60" fillId="0" borderId="16" xfId="0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8" fillId="0" borderId="16" xfId="0" applyFont="1" applyBorder="1" applyAlignment="1">
      <alignment horizontal="center" vertical="center" wrapText="1"/>
    </xf>
  </cellXfs>
  <cellStyles count="10">
    <cellStyle name="Bình thường 2" xfId="4" xr:uid="{00000000-0005-0000-0000-000000000000}"/>
    <cellStyle name="Comma" xfId="8" builtinId="3"/>
    <cellStyle name="Normal" xfId="0" builtinId="0"/>
    <cellStyle name="Normal 17" xfId="6" xr:uid="{00000000-0005-0000-0000-000003000000}"/>
    <cellStyle name="Normal 3" xfId="5" xr:uid="{00000000-0005-0000-0000-000004000000}"/>
    <cellStyle name="Normal 4 4" xfId="3" xr:uid="{00000000-0005-0000-0000-000005000000}"/>
    <cellStyle name="Normal 5" xfId="7" xr:uid="{00000000-0005-0000-0000-000006000000}"/>
    <cellStyle name="Normal_form so moc" xfId="9" xr:uid="{B2CE34A5-3C96-4EAE-AF9A-DB56692E024E}"/>
    <cellStyle name="常规_Sheet1" xfId="2" xr:uid="{00000000-0005-0000-0000-000007000000}"/>
    <cellStyle name="常规_路堤稳定和沉降观测 - 沉降板" xfId="1" xr:uid="{00000000-0005-0000-0000-000008000000}"/>
  </cellStyles>
  <dxfs count="0"/>
  <tableStyles count="0" defaultTableStyle="TableStyleMedium2" defaultPivotStyle="PivotStyleLight16"/>
  <colors>
    <mruColors>
      <color rgb="FF250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 sz="1500"/>
              <a:t>Biểu</a:t>
            </a:r>
            <a:r>
              <a:rPr lang="en-US" sz="1500" baseline="0"/>
              <a:t> đồ </a:t>
            </a:r>
            <a:r>
              <a:rPr lang="en-US" sz="1500"/>
              <a:t>Bàn quan trắc lún-Lý trình: Km83+720</a:t>
            </a:r>
          </a:p>
        </c:rich>
      </c:tx>
      <c:layout>
        <c:manualLayout>
          <c:xMode val="edge"/>
          <c:yMode val="edge"/>
          <c:x val="0.39979352028130694"/>
          <c:y val="4.3462874572937134E-2"/>
        </c:manualLayout>
      </c:layout>
      <c:overlay val="0"/>
      <c:spPr>
        <a:solidFill>
          <a:srgbClr val="FFFFFF"/>
        </a:solidFill>
        <a:ln w="6350">
          <a:solidFill>
            <a:srgbClr val="000000"/>
          </a:solidFill>
          <a:prstDash val="solid"/>
        </a:ln>
        <a:effectLst>
          <a:outerShdw sx="1000" sy="1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7.4589286974132543E-2"/>
          <c:y val="0.13662332142282568"/>
          <c:w val="0.83566878980891657"/>
          <c:h val="0.69972640034865863"/>
        </c:manualLayout>
      </c:layout>
      <c:scatterChart>
        <c:scatterStyle val="lineMarker"/>
        <c:varyColors val="0"/>
        <c:ser>
          <c:idx val="1"/>
          <c:order val="1"/>
          <c:tx>
            <c:strRef>
              <c:f>'Km83+720'!$AF$9</c:f>
              <c:strCache>
                <c:ptCount val="1"/>
                <c:pt idx="0">
                  <c:v>Trái</c:v>
                </c:pt>
              </c:strCache>
            </c:strRef>
          </c:tx>
          <c:marker>
            <c:symbol val="circle"/>
            <c:size val="2"/>
            <c:spPr>
              <a:solidFill>
                <a:srgbClr val="FF00FF"/>
              </a:solidFill>
              <a:ln w="12700">
                <a:solidFill>
                  <a:srgbClr val="FF00FF"/>
                </a:solidFill>
                <a:prstDash val="solid"/>
              </a:ln>
            </c:spPr>
          </c:marker>
          <c:xVal>
            <c:numRef>
              <c:f>'Km83+720'!$B$11:$B$368</c:f>
              <c:numCache>
                <c:formatCode>[$-1010000]d/m/yyyy;@</c:formatCode>
                <c:ptCount val="358"/>
                <c:pt idx="0">
                  <c:v>45554</c:v>
                </c:pt>
                <c:pt idx="1">
                  <c:v>45555</c:v>
                </c:pt>
                <c:pt idx="2">
                  <c:v>45556</c:v>
                </c:pt>
                <c:pt idx="3">
                  <c:v>45557</c:v>
                </c:pt>
                <c:pt idx="4">
                  <c:v>45558</c:v>
                </c:pt>
                <c:pt idx="5">
                  <c:v>45559</c:v>
                </c:pt>
                <c:pt idx="6">
                  <c:v>45560</c:v>
                </c:pt>
                <c:pt idx="7">
                  <c:v>45561</c:v>
                </c:pt>
                <c:pt idx="8">
                  <c:v>45562</c:v>
                </c:pt>
                <c:pt idx="9">
                  <c:v>45563</c:v>
                </c:pt>
                <c:pt idx="10">
                  <c:v>45564</c:v>
                </c:pt>
                <c:pt idx="11">
                  <c:v>45565</c:v>
                </c:pt>
                <c:pt idx="12">
                  <c:v>45566</c:v>
                </c:pt>
                <c:pt idx="13">
                  <c:v>45567</c:v>
                </c:pt>
                <c:pt idx="14">
                  <c:v>45568</c:v>
                </c:pt>
                <c:pt idx="15">
                  <c:v>45569</c:v>
                </c:pt>
                <c:pt idx="16">
                  <c:v>45570</c:v>
                </c:pt>
                <c:pt idx="17">
                  <c:v>45571</c:v>
                </c:pt>
                <c:pt idx="18">
                  <c:v>45572</c:v>
                </c:pt>
                <c:pt idx="19">
                  <c:v>45573</c:v>
                </c:pt>
                <c:pt idx="20">
                  <c:v>45574</c:v>
                </c:pt>
                <c:pt idx="21">
                  <c:v>45575</c:v>
                </c:pt>
                <c:pt idx="22">
                  <c:v>45576</c:v>
                </c:pt>
                <c:pt idx="23">
                  <c:v>45577</c:v>
                </c:pt>
                <c:pt idx="24">
                  <c:v>45578</c:v>
                </c:pt>
                <c:pt idx="25">
                  <c:v>45579</c:v>
                </c:pt>
                <c:pt idx="26">
                  <c:v>45580</c:v>
                </c:pt>
                <c:pt idx="27">
                  <c:v>45581</c:v>
                </c:pt>
                <c:pt idx="28">
                  <c:v>45582</c:v>
                </c:pt>
                <c:pt idx="29">
                  <c:v>45583</c:v>
                </c:pt>
                <c:pt idx="30">
                  <c:v>45584</c:v>
                </c:pt>
                <c:pt idx="31">
                  <c:v>45585</c:v>
                </c:pt>
                <c:pt idx="32">
                  <c:v>45586</c:v>
                </c:pt>
                <c:pt idx="33">
                  <c:v>45587</c:v>
                </c:pt>
                <c:pt idx="34">
                  <c:v>45588</c:v>
                </c:pt>
                <c:pt idx="35">
                  <c:v>45589</c:v>
                </c:pt>
                <c:pt idx="36">
                  <c:v>45590</c:v>
                </c:pt>
                <c:pt idx="37">
                  <c:v>45591</c:v>
                </c:pt>
                <c:pt idx="38">
                  <c:v>45592</c:v>
                </c:pt>
                <c:pt idx="39">
                  <c:v>45593</c:v>
                </c:pt>
                <c:pt idx="40">
                  <c:v>45594</c:v>
                </c:pt>
                <c:pt idx="41">
                  <c:v>45595</c:v>
                </c:pt>
                <c:pt idx="42">
                  <c:v>45596</c:v>
                </c:pt>
                <c:pt idx="43">
                  <c:v>45597</c:v>
                </c:pt>
                <c:pt idx="44">
                  <c:v>45598</c:v>
                </c:pt>
                <c:pt idx="45">
                  <c:v>45599</c:v>
                </c:pt>
                <c:pt idx="46">
                  <c:v>45600</c:v>
                </c:pt>
                <c:pt idx="47">
                  <c:v>45601</c:v>
                </c:pt>
                <c:pt idx="48">
                  <c:v>45602</c:v>
                </c:pt>
                <c:pt idx="49">
                  <c:v>45603</c:v>
                </c:pt>
                <c:pt idx="50">
                  <c:v>45604</c:v>
                </c:pt>
                <c:pt idx="51">
                  <c:v>45605</c:v>
                </c:pt>
                <c:pt idx="52">
                  <c:v>45606</c:v>
                </c:pt>
                <c:pt idx="53">
                  <c:v>45607</c:v>
                </c:pt>
                <c:pt idx="54">
                  <c:v>45608</c:v>
                </c:pt>
                <c:pt idx="55">
                  <c:v>45609</c:v>
                </c:pt>
                <c:pt idx="56">
                  <c:v>45610</c:v>
                </c:pt>
                <c:pt idx="57">
                  <c:v>45611</c:v>
                </c:pt>
                <c:pt idx="58">
                  <c:v>45612</c:v>
                </c:pt>
                <c:pt idx="59">
                  <c:v>45613</c:v>
                </c:pt>
                <c:pt idx="60">
                  <c:v>45614</c:v>
                </c:pt>
                <c:pt idx="61">
                  <c:v>45615</c:v>
                </c:pt>
                <c:pt idx="62">
                  <c:v>45616</c:v>
                </c:pt>
                <c:pt idx="63">
                  <c:v>45617</c:v>
                </c:pt>
                <c:pt idx="64">
                  <c:v>45618</c:v>
                </c:pt>
                <c:pt idx="65">
                  <c:v>45619</c:v>
                </c:pt>
                <c:pt idx="66">
                  <c:v>45620</c:v>
                </c:pt>
                <c:pt idx="67">
                  <c:v>45621</c:v>
                </c:pt>
                <c:pt idx="68">
                  <c:v>45622</c:v>
                </c:pt>
                <c:pt idx="69">
                  <c:v>45623</c:v>
                </c:pt>
                <c:pt idx="70">
                  <c:v>45624</c:v>
                </c:pt>
                <c:pt idx="71">
                  <c:v>45625</c:v>
                </c:pt>
                <c:pt idx="72">
                  <c:v>45626</c:v>
                </c:pt>
                <c:pt idx="73">
                  <c:v>45627</c:v>
                </c:pt>
                <c:pt idx="74">
                  <c:v>45628</c:v>
                </c:pt>
                <c:pt idx="75">
                  <c:v>45629</c:v>
                </c:pt>
                <c:pt idx="76">
                  <c:v>45630</c:v>
                </c:pt>
                <c:pt idx="77">
                  <c:v>45631</c:v>
                </c:pt>
                <c:pt idx="78">
                  <c:v>45632</c:v>
                </c:pt>
                <c:pt idx="79">
                  <c:v>45633</c:v>
                </c:pt>
                <c:pt idx="80">
                  <c:v>45634</c:v>
                </c:pt>
                <c:pt idx="81">
                  <c:v>45635</c:v>
                </c:pt>
                <c:pt idx="82">
                  <c:v>45636</c:v>
                </c:pt>
                <c:pt idx="83">
                  <c:v>45637</c:v>
                </c:pt>
                <c:pt idx="84">
                  <c:v>45638</c:v>
                </c:pt>
                <c:pt idx="85">
                  <c:v>45639</c:v>
                </c:pt>
                <c:pt idx="86">
                  <c:v>45640</c:v>
                </c:pt>
                <c:pt idx="87">
                  <c:v>45641</c:v>
                </c:pt>
                <c:pt idx="88">
                  <c:v>45642</c:v>
                </c:pt>
                <c:pt idx="89">
                  <c:v>45643</c:v>
                </c:pt>
                <c:pt idx="90">
                  <c:v>45644</c:v>
                </c:pt>
                <c:pt idx="91">
                  <c:v>45645</c:v>
                </c:pt>
                <c:pt idx="92">
                  <c:v>45646</c:v>
                </c:pt>
                <c:pt idx="93">
                  <c:v>45647</c:v>
                </c:pt>
                <c:pt idx="94">
                  <c:v>45648</c:v>
                </c:pt>
                <c:pt idx="95">
                  <c:v>45649</c:v>
                </c:pt>
                <c:pt idx="96">
                  <c:v>45650</c:v>
                </c:pt>
                <c:pt idx="97">
                  <c:v>45651</c:v>
                </c:pt>
                <c:pt idx="98">
                  <c:v>45652</c:v>
                </c:pt>
                <c:pt idx="99">
                  <c:v>45653</c:v>
                </c:pt>
                <c:pt idx="100">
                  <c:v>45654</c:v>
                </c:pt>
                <c:pt idx="101">
                  <c:v>45655</c:v>
                </c:pt>
                <c:pt idx="102">
                  <c:v>45656</c:v>
                </c:pt>
                <c:pt idx="103">
                  <c:v>45657</c:v>
                </c:pt>
                <c:pt idx="104">
                  <c:v>45658</c:v>
                </c:pt>
                <c:pt idx="105">
                  <c:v>45659</c:v>
                </c:pt>
                <c:pt idx="106">
                  <c:v>45660</c:v>
                </c:pt>
                <c:pt idx="107">
                  <c:v>45661</c:v>
                </c:pt>
                <c:pt idx="108">
                  <c:v>45662</c:v>
                </c:pt>
                <c:pt idx="109">
                  <c:v>45663</c:v>
                </c:pt>
                <c:pt idx="110">
                  <c:v>45664</c:v>
                </c:pt>
                <c:pt idx="111">
                  <c:v>45665</c:v>
                </c:pt>
                <c:pt idx="112">
                  <c:v>45666</c:v>
                </c:pt>
                <c:pt idx="113">
                  <c:v>45667</c:v>
                </c:pt>
                <c:pt idx="114">
                  <c:v>45668</c:v>
                </c:pt>
                <c:pt idx="115">
                  <c:v>45669</c:v>
                </c:pt>
                <c:pt idx="116">
                  <c:v>45670</c:v>
                </c:pt>
                <c:pt idx="117">
                  <c:v>45671</c:v>
                </c:pt>
                <c:pt idx="118">
                  <c:v>45672</c:v>
                </c:pt>
                <c:pt idx="119">
                  <c:v>45673</c:v>
                </c:pt>
                <c:pt idx="120">
                  <c:v>45674</c:v>
                </c:pt>
                <c:pt idx="121">
                  <c:v>45675</c:v>
                </c:pt>
                <c:pt idx="122">
                  <c:v>45676</c:v>
                </c:pt>
                <c:pt idx="123">
                  <c:v>45677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45682</c:v>
                </c:pt>
                <c:pt idx="129">
                  <c:v>45683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45689</c:v>
                </c:pt>
                <c:pt idx="136">
                  <c:v>45690</c:v>
                </c:pt>
                <c:pt idx="137">
                  <c:v>45691</c:v>
                </c:pt>
                <c:pt idx="138">
                  <c:v>45692</c:v>
                </c:pt>
                <c:pt idx="139">
                  <c:v>45693</c:v>
                </c:pt>
                <c:pt idx="140">
                  <c:v>45694</c:v>
                </c:pt>
                <c:pt idx="141">
                  <c:v>45695</c:v>
                </c:pt>
                <c:pt idx="142">
                  <c:v>45696</c:v>
                </c:pt>
                <c:pt idx="143">
                  <c:v>45697</c:v>
                </c:pt>
                <c:pt idx="144">
                  <c:v>45698</c:v>
                </c:pt>
                <c:pt idx="145">
                  <c:v>45699</c:v>
                </c:pt>
                <c:pt idx="146">
                  <c:v>45700</c:v>
                </c:pt>
                <c:pt idx="147">
                  <c:v>45701</c:v>
                </c:pt>
                <c:pt idx="148">
                  <c:v>45702</c:v>
                </c:pt>
                <c:pt idx="149">
                  <c:v>45703</c:v>
                </c:pt>
                <c:pt idx="150">
                  <c:v>45704</c:v>
                </c:pt>
                <c:pt idx="151">
                  <c:v>45705</c:v>
                </c:pt>
                <c:pt idx="152">
                  <c:v>45706</c:v>
                </c:pt>
                <c:pt idx="153">
                  <c:v>45707</c:v>
                </c:pt>
                <c:pt idx="154">
                  <c:v>45708</c:v>
                </c:pt>
                <c:pt idx="155">
                  <c:v>45709</c:v>
                </c:pt>
                <c:pt idx="156">
                  <c:v>45710</c:v>
                </c:pt>
                <c:pt idx="157">
                  <c:v>45711</c:v>
                </c:pt>
                <c:pt idx="158">
                  <c:v>45712</c:v>
                </c:pt>
                <c:pt idx="159">
                  <c:v>45713</c:v>
                </c:pt>
                <c:pt idx="160">
                  <c:v>45714</c:v>
                </c:pt>
                <c:pt idx="161">
                  <c:v>45715</c:v>
                </c:pt>
                <c:pt idx="162">
                  <c:v>45716</c:v>
                </c:pt>
                <c:pt idx="163">
                  <c:v>45717</c:v>
                </c:pt>
                <c:pt idx="164">
                  <c:v>45718</c:v>
                </c:pt>
                <c:pt idx="165">
                  <c:v>45719</c:v>
                </c:pt>
                <c:pt idx="166">
                  <c:v>45720</c:v>
                </c:pt>
                <c:pt idx="167">
                  <c:v>45721</c:v>
                </c:pt>
                <c:pt idx="168">
                  <c:v>45722</c:v>
                </c:pt>
                <c:pt idx="169">
                  <c:v>45723</c:v>
                </c:pt>
                <c:pt idx="170">
                  <c:v>45724</c:v>
                </c:pt>
                <c:pt idx="171">
                  <c:v>45725</c:v>
                </c:pt>
                <c:pt idx="172">
                  <c:v>45726</c:v>
                </c:pt>
                <c:pt idx="173">
                  <c:v>45727</c:v>
                </c:pt>
                <c:pt idx="174">
                  <c:v>45728</c:v>
                </c:pt>
                <c:pt idx="175">
                  <c:v>45729</c:v>
                </c:pt>
                <c:pt idx="176">
                  <c:v>45730</c:v>
                </c:pt>
                <c:pt idx="177">
                  <c:v>45731</c:v>
                </c:pt>
                <c:pt idx="178">
                  <c:v>45732</c:v>
                </c:pt>
                <c:pt idx="179">
                  <c:v>45733</c:v>
                </c:pt>
                <c:pt idx="180">
                  <c:v>45734</c:v>
                </c:pt>
                <c:pt idx="181">
                  <c:v>45735</c:v>
                </c:pt>
                <c:pt idx="182">
                  <c:v>45736</c:v>
                </c:pt>
                <c:pt idx="183">
                  <c:v>45737</c:v>
                </c:pt>
                <c:pt idx="184">
                  <c:v>45738</c:v>
                </c:pt>
                <c:pt idx="185">
                  <c:v>45739</c:v>
                </c:pt>
                <c:pt idx="186">
                  <c:v>45740</c:v>
                </c:pt>
                <c:pt idx="187">
                  <c:v>45741</c:v>
                </c:pt>
                <c:pt idx="188">
                  <c:v>45742</c:v>
                </c:pt>
                <c:pt idx="189">
                  <c:v>45743</c:v>
                </c:pt>
                <c:pt idx="190">
                  <c:v>45744</c:v>
                </c:pt>
                <c:pt idx="191">
                  <c:v>45745</c:v>
                </c:pt>
                <c:pt idx="192">
                  <c:v>45746</c:v>
                </c:pt>
                <c:pt idx="193">
                  <c:v>45747</c:v>
                </c:pt>
                <c:pt idx="194">
                  <c:v>45748</c:v>
                </c:pt>
                <c:pt idx="195">
                  <c:v>45749</c:v>
                </c:pt>
                <c:pt idx="196">
                  <c:v>45750</c:v>
                </c:pt>
                <c:pt idx="197">
                  <c:v>45751</c:v>
                </c:pt>
                <c:pt idx="198">
                  <c:v>45752</c:v>
                </c:pt>
                <c:pt idx="199">
                  <c:v>45753</c:v>
                </c:pt>
                <c:pt idx="200">
                  <c:v>45754</c:v>
                </c:pt>
                <c:pt idx="201">
                  <c:v>45755</c:v>
                </c:pt>
                <c:pt idx="202">
                  <c:v>45756</c:v>
                </c:pt>
                <c:pt idx="203">
                  <c:v>45757</c:v>
                </c:pt>
                <c:pt idx="204">
                  <c:v>45758</c:v>
                </c:pt>
                <c:pt idx="205">
                  <c:v>45759</c:v>
                </c:pt>
                <c:pt idx="206">
                  <c:v>45760</c:v>
                </c:pt>
                <c:pt idx="207">
                  <c:v>45761</c:v>
                </c:pt>
                <c:pt idx="208">
                  <c:v>45762</c:v>
                </c:pt>
                <c:pt idx="209">
                  <c:v>45763</c:v>
                </c:pt>
                <c:pt idx="210">
                  <c:v>45764</c:v>
                </c:pt>
                <c:pt idx="211">
                  <c:v>45765</c:v>
                </c:pt>
                <c:pt idx="212">
                  <c:v>45766</c:v>
                </c:pt>
                <c:pt idx="213">
                  <c:v>45767</c:v>
                </c:pt>
                <c:pt idx="214">
                  <c:v>45768</c:v>
                </c:pt>
                <c:pt idx="215">
                  <c:v>45769</c:v>
                </c:pt>
                <c:pt idx="216">
                  <c:v>45770</c:v>
                </c:pt>
                <c:pt idx="217">
                  <c:v>45771</c:v>
                </c:pt>
                <c:pt idx="218">
                  <c:v>45772</c:v>
                </c:pt>
                <c:pt idx="219">
                  <c:v>45773</c:v>
                </c:pt>
                <c:pt idx="220">
                  <c:v>45774</c:v>
                </c:pt>
                <c:pt idx="221">
                  <c:v>45775</c:v>
                </c:pt>
                <c:pt idx="222">
                  <c:v>45776</c:v>
                </c:pt>
                <c:pt idx="223">
                  <c:v>45777</c:v>
                </c:pt>
                <c:pt idx="224">
                  <c:v>45778</c:v>
                </c:pt>
                <c:pt idx="225">
                  <c:v>45779</c:v>
                </c:pt>
                <c:pt idx="226">
                  <c:v>45780</c:v>
                </c:pt>
                <c:pt idx="227">
                  <c:v>45781</c:v>
                </c:pt>
                <c:pt idx="228">
                  <c:v>45782</c:v>
                </c:pt>
                <c:pt idx="229">
                  <c:v>45783</c:v>
                </c:pt>
                <c:pt idx="230">
                  <c:v>45784</c:v>
                </c:pt>
                <c:pt idx="231">
                  <c:v>45785</c:v>
                </c:pt>
                <c:pt idx="232">
                  <c:v>45786</c:v>
                </c:pt>
                <c:pt idx="233">
                  <c:v>45787</c:v>
                </c:pt>
                <c:pt idx="234">
                  <c:v>45788</c:v>
                </c:pt>
                <c:pt idx="235">
                  <c:v>45789</c:v>
                </c:pt>
                <c:pt idx="236">
                  <c:v>45790</c:v>
                </c:pt>
                <c:pt idx="237">
                  <c:v>45791</c:v>
                </c:pt>
                <c:pt idx="238">
                  <c:v>45792</c:v>
                </c:pt>
                <c:pt idx="239">
                  <c:v>45793</c:v>
                </c:pt>
                <c:pt idx="240">
                  <c:v>45794</c:v>
                </c:pt>
                <c:pt idx="241">
                  <c:v>45795</c:v>
                </c:pt>
                <c:pt idx="242">
                  <c:v>45796</c:v>
                </c:pt>
                <c:pt idx="243">
                  <c:v>45797</c:v>
                </c:pt>
                <c:pt idx="244">
                  <c:v>45798</c:v>
                </c:pt>
                <c:pt idx="245">
                  <c:v>45799</c:v>
                </c:pt>
                <c:pt idx="246">
                  <c:v>45800</c:v>
                </c:pt>
                <c:pt idx="247">
                  <c:v>45801</c:v>
                </c:pt>
                <c:pt idx="248">
                  <c:v>45802</c:v>
                </c:pt>
                <c:pt idx="249">
                  <c:v>45803</c:v>
                </c:pt>
                <c:pt idx="250">
                  <c:v>45804</c:v>
                </c:pt>
                <c:pt idx="251">
                  <c:v>45805</c:v>
                </c:pt>
                <c:pt idx="252">
                  <c:v>45806</c:v>
                </c:pt>
                <c:pt idx="253">
                  <c:v>45807</c:v>
                </c:pt>
                <c:pt idx="254">
                  <c:v>45808</c:v>
                </c:pt>
              </c:numCache>
            </c:numRef>
          </c:xVal>
          <c:yVal>
            <c:numRef>
              <c:f>'Km83+720'!$AF$11:$AF$492</c:f>
              <c:numCache>
                <c:formatCode>0</c:formatCode>
                <c:ptCount val="482"/>
                <c:pt idx="0">
                  <c:v>-4</c:v>
                </c:pt>
                <c:pt idx="1">
                  <c:v>-8</c:v>
                </c:pt>
                <c:pt idx="2">
                  <c:v>-15</c:v>
                </c:pt>
                <c:pt idx="3">
                  <c:v>-21</c:v>
                </c:pt>
                <c:pt idx="4">
                  <c:v>-30</c:v>
                </c:pt>
                <c:pt idx="5">
                  <c:v>-39</c:v>
                </c:pt>
                <c:pt idx="6">
                  <c:v>-47</c:v>
                </c:pt>
                <c:pt idx="7">
                  <c:v>-54</c:v>
                </c:pt>
                <c:pt idx="8">
                  <c:v>-63</c:v>
                </c:pt>
                <c:pt idx="9">
                  <c:v>-72</c:v>
                </c:pt>
                <c:pt idx="10">
                  <c:v>-80</c:v>
                </c:pt>
                <c:pt idx="11">
                  <c:v>-87</c:v>
                </c:pt>
                <c:pt idx="12">
                  <c:v>-92</c:v>
                </c:pt>
                <c:pt idx="13">
                  <c:v>-101</c:v>
                </c:pt>
                <c:pt idx="14">
                  <c:v>-110</c:v>
                </c:pt>
                <c:pt idx="15">
                  <c:v>-119</c:v>
                </c:pt>
                <c:pt idx="16">
                  <c:v>-128</c:v>
                </c:pt>
                <c:pt idx="17">
                  <c:v>-136</c:v>
                </c:pt>
                <c:pt idx="18">
                  <c:v>-145</c:v>
                </c:pt>
                <c:pt idx="19">
                  <c:v>-153</c:v>
                </c:pt>
                <c:pt idx="20">
                  <c:v>-161</c:v>
                </c:pt>
                <c:pt idx="21">
                  <c:v>-169</c:v>
                </c:pt>
                <c:pt idx="22">
                  <c:v>-177</c:v>
                </c:pt>
                <c:pt idx="23">
                  <c:v>-184</c:v>
                </c:pt>
                <c:pt idx="24">
                  <c:v>-190</c:v>
                </c:pt>
                <c:pt idx="25">
                  <c:v>-196</c:v>
                </c:pt>
                <c:pt idx="26">
                  <c:v>-202</c:v>
                </c:pt>
                <c:pt idx="27">
                  <c:v>-209</c:v>
                </c:pt>
                <c:pt idx="28">
                  <c:v>-214</c:v>
                </c:pt>
                <c:pt idx="29">
                  <c:v>-219</c:v>
                </c:pt>
                <c:pt idx="30">
                  <c:v>-224</c:v>
                </c:pt>
                <c:pt idx="31">
                  <c:v>-229</c:v>
                </c:pt>
                <c:pt idx="32">
                  <c:v>-234</c:v>
                </c:pt>
                <c:pt idx="33">
                  <c:v>-238</c:v>
                </c:pt>
                <c:pt idx="34">
                  <c:v>-242</c:v>
                </c:pt>
                <c:pt idx="35">
                  <c:v>-245</c:v>
                </c:pt>
                <c:pt idx="36">
                  <c:v>-248</c:v>
                </c:pt>
                <c:pt idx="37">
                  <c:v>-251</c:v>
                </c:pt>
                <c:pt idx="38">
                  <c:v>-253</c:v>
                </c:pt>
                <c:pt idx="39">
                  <c:v>-255</c:v>
                </c:pt>
                <c:pt idx="40">
                  <c:v>-257</c:v>
                </c:pt>
                <c:pt idx="41">
                  <c:v>-259</c:v>
                </c:pt>
                <c:pt idx="42">
                  <c:v>-260</c:v>
                </c:pt>
                <c:pt idx="43">
                  <c:v>-261</c:v>
                </c:pt>
                <c:pt idx="44">
                  <c:v>-262</c:v>
                </c:pt>
                <c:pt idx="45">
                  <c:v>-263</c:v>
                </c:pt>
                <c:pt idx="46">
                  <c:v>-264</c:v>
                </c:pt>
                <c:pt idx="47">
                  <c:v>-265</c:v>
                </c:pt>
                <c:pt idx="48">
                  <c:v>-266</c:v>
                </c:pt>
                <c:pt idx="49">
                  <c:v>-266</c:v>
                </c:pt>
                <c:pt idx="50">
                  <c:v>-266</c:v>
                </c:pt>
                <c:pt idx="51">
                  <c:v>-268</c:v>
                </c:pt>
                <c:pt idx="52">
                  <c:v>-268</c:v>
                </c:pt>
                <c:pt idx="53">
                  <c:v>-271</c:v>
                </c:pt>
                <c:pt idx="54">
                  <c:v>-271</c:v>
                </c:pt>
                <c:pt idx="55">
                  <c:v>-274</c:v>
                </c:pt>
                <c:pt idx="56">
                  <c:v>-274</c:v>
                </c:pt>
                <c:pt idx="57">
                  <c:v>-274</c:v>
                </c:pt>
                <c:pt idx="58">
                  <c:v>-276</c:v>
                </c:pt>
                <c:pt idx="59">
                  <c:v>-276</c:v>
                </c:pt>
                <c:pt idx="60">
                  <c:v>-277</c:v>
                </c:pt>
                <c:pt idx="61">
                  <c:v>-278</c:v>
                </c:pt>
                <c:pt idx="62">
                  <c:v>-278</c:v>
                </c:pt>
                <c:pt idx="63">
                  <c:v>-280</c:v>
                </c:pt>
                <c:pt idx="64">
                  <c:v>-280</c:v>
                </c:pt>
                <c:pt idx="65">
                  <c:v>-280</c:v>
                </c:pt>
                <c:pt idx="66">
                  <c:v>-280</c:v>
                </c:pt>
                <c:pt idx="67">
                  <c:v>-283</c:v>
                </c:pt>
                <c:pt idx="68">
                  <c:v>-283</c:v>
                </c:pt>
                <c:pt idx="69">
                  <c:v>-283</c:v>
                </c:pt>
                <c:pt idx="70">
                  <c:v>-283</c:v>
                </c:pt>
                <c:pt idx="71">
                  <c:v>-283</c:v>
                </c:pt>
                <c:pt idx="72">
                  <c:v>-285</c:v>
                </c:pt>
                <c:pt idx="73">
                  <c:v>-288</c:v>
                </c:pt>
                <c:pt idx="74">
                  <c:v>-288</c:v>
                </c:pt>
                <c:pt idx="75">
                  <c:v>-289</c:v>
                </c:pt>
                <c:pt idx="76">
                  <c:v>-290</c:v>
                </c:pt>
                <c:pt idx="77">
                  <c:v>-293</c:v>
                </c:pt>
                <c:pt idx="78">
                  <c:v>-294</c:v>
                </c:pt>
                <c:pt idx="79">
                  <c:v>-294</c:v>
                </c:pt>
                <c:pt idx="80">
                  <c:v>-295</c:v>
                </c:pt>
                <c:pt idx="81">
                  <c:v>-297</c:v>
                </c:pt>
                <c:pt idx="82">
                  <c:v>-297</c:v>
                </c:pt>
                <c:pt idx="83">
                  <c:v>-300</c:v>
                </c:pt>
                <c:pt idx="84">
                  <c:v>-300</c:v>
                </c:pt>
                <c:pt idx="85">
                  <c:v>-300</c:v>
                </c:pt>
                <c:pt idx="86">
                  <c:v>-301</c:v>
                </c:pt>
                <c:pt idx="87">
                  <c:v>-302</c:v>
                </c:pt>
                <c:pt idx="88">
                  <c:v>-302</c:v>
                </c:pt>
                <c:pt idx="89">
                  <c:v>-302</c:v>
                </c:pt>
                <c:pt idx="90">
                  <c:v>-302</c:v>
                </c:pt>
                <c:pt idx="91">
                  <c:v>-304</c:v>
                </c:pt>
                <c:pt idx="92">
                  <c:v>-304</c:v>
                </c:pt>
                <c:pt idx="93">
                  <c:v>-304</c:v>
                </c:pt>
                <c:pt idx="94">
                  <c:v>-304</c:v>
                </c:pt>
                <c:pt idx="95">
                  <c:v>-306</c:v>
                </c:pt>
                <c:pt idx="96">
                  <c:v>-306</c:v>
                </c:pt>
                <c:pt idx="97">
                  <c:v>-306</c:v>
                </c:pt>
                <c:pt idx="98">
                  <c:v>-309</c:v>
                </c:pt>
                <c:pt idx="99">
                  <c:v>-309</c:v>
                </c:pt>
                <c:pt idx="100">
                  <c:v>-313</c:v>
                </c:pt>
                <c:pt idx="101">
                  <c:v>-313</c:v>
                </c:pt>
                <c:pt idx="102">
                  <c:v>-313</c:v>
                </c:pt>
                <c:pt idx="103">
                  <c:v>-313</c:v>
                </c:pt>
                <c:pt idx="104">
                  <c:v>-313</c:v>
                </c:pt>
                <c:pt idx="105">
                  <c:v>-317</c:v>
                </c:pt>
                <c:pt idx="106">
                  <c:v>-317</c:v>
                </c:pt>
                <c:pt idx="107">
                  <c:v>-318</c:v>
                </c:pt>
                <c:pt idx="108">
                  <c:v>-322</c:v>
                </c:pt>
                <c:pt idx="109">
                  <c:v>-322</c:v>
                </c:pt>
                <c:pt idx="110">
                  <c:v>-324</c:v>
                </c:pt>
                <c:pt idx="111">
                  <c:v>-324</c:v>
                </c:pt>
                <c:pt idx="112">
                  <c:v>-324</c:v>
                </c:pt>
                <c:pt idx="113">
                  <c:v>-324</c:v>
                </c:pt>
                <c:pt idx="114">
                  <c:v>-328</c:v>
                </c:pt>
                <c:pt idx="115">
                  <c:v>-328</c:v>
                </c:pt>
                <c:pt idx="116">
                  <c:v>-332</c:v>
                </c:pt>
                <c:pt idx="117">
                  <c:v>-334</c:v>
                </c:pt>
                <c:pt idx="118">
                  <c:v>-334</c:v>
                </c:pt>
                <c:pt idx="119">
                  <c:v>-334</c:v>
                </c:pt>
                <c:pt idx="120">
                  <c:v>-335</c:v>
                </c:pt>
                <c:pt idx="121">
                  <c:v>-336</c:v>
                </c:pt>
                <c:pt idx="122">
                  <c:v>-336</c:v>
                </c:pt>
                <c:pt idx="123">
                  <c:v>-340</c:v>
                </c:pt>
                <c:pt idx="124">
                  <c:v>-340</c:v>
                </c:pt>
                <c:pt idx="125">
                  <c:v>-341</c:v>
                </c:pt>
                <c:pt idx="126">
                  <c:v>-343</c:v>
                </c:pt>
                <c:pt idx="127">
                  <c:v>-347</c:v>
                </c:pt>
                <c:pt idx="128">
                  <c:v>-348</c:v>
                </c:pt>
                <c:pt idx="129">
                  <c:v>-348</c:v>
                </c:pt>
                <c:pt idx="130">
                  <c:v>-348</c:v>
                </c:pt>
                <c:pt idx="131">
                  <c:v>-351</c:v>
                </c:pt>
                <c:pt idx="132">
                  <c:v>-351</c:v>
                </c:pt>
                <c:pt idx="133">
                  <c:v>-351</c:v>
                </c:pt>
                <c:pt idx="134">
                  <c:v>-355</c:v>
                </c:pt>
                <c:pt idx="135">
                  <c:v>-355</c:v>
                </c:pt>
                <c:pt idx="136">
                  <c:v>-359</c:v>
                </c:pt>
                <c:pt idx="137">
                  <c:v>-362</c:v>
                </c:pt>
                <c:pt idx="138">
                  <c:v>-364</c:v>
                </c:pt>
                <c:pt idx="139">
                  <c:v>-364</c:v>
                </c:pt>
                <c:pt idx="140">
                  <c:v>-364</c:v>
                </c:pt>
                <c:pt idx="141">
                  <c:v>-364</c:v>
                </c:pt>
                <c:pt idx="142">
                  <c:v>-364</c:v>
                </c:pt>
                <c:pt idx="143">
                  <c:v>-367</c:v>
                </c:pt>
                <c:pt idx="144">
                  <c:v>-367</c:v>
                </c:pt>
                <c:pt idx="145">
                  <c:v>-367</c:v>
                </c:pt>
                <c:pt idx="146">
                  <c:v>-368</c:v>
                </c:pt>
                <c:pt idx="147">
                  <c:v>-370</c:v>
                </c:pt>
                <c:pt idx="148">
                  <c:v>-370</c:v>
                </c:pt>
                <c:pt idx="149">
                  <c:v>-371</c:v>
                </c:pt>
                <c:pt idx="150">
                  <c:v>-375</c:v>
                </c:pt>
                <c:pt idx="151">
                  <c:v>-376</c:v>
                </c:pt>
                <c:pt idx="152">
                  <c:v>-378</c:v>
                </c:pt>
                <c:pt idx="153">
                  <c:v>-378</c:v>
                </c:pt>
                <c:pt idx="154">
                  <c:v>-380</c:v>
                </c:pt>
                <c:pt idx="155">
                  <c:v>-380</c:v>
                </c:pt>
                <c:pt idx="156">
                  <c:v>-380</c:v>
                </c:pt>
                <c:pt idx="157">
                  <c:v>-382</c:v>
                </c:pt>
                <c:pt idx="158">
                  <c:v>-382</c:v>
                </c:pt>
                <c:pt idx="159">
                  <c:v>-382</c:v>
                </c:pt>
                <c:pt idx="160">
                  <c:v>-383</c:v>
                </c:pt>
                <c:pt idx="161">
                  <c:v>-383</c:v>
                </c:pt>
                <c:pt idx="162">
                  <c:v>-388</c:v>
                </c:pt>
                <c:pt idx="163">
                  <c:v>-392</c:v>
                </c:pt>
                <c:pt idx="164">
                  <c:v>-395</c:v>
                </c:pt>
                <c:pt idx="165">
                  <c:v>-399</c:v>
                </c:pt>
                <c:pt idx="166">
                  <c:v>-402</c:v>
                </c:pt>
                <c:pt idx="167">
                  <c:v>-405</c:v>
                </c:pt>
                <c:pt idx="168">
                  <c:v>-409</c:v>
                </c:pt>
                <c:pt idx="169">
                  <c:v>-413</c:v>
                </c:pt>
                <c:pt idx="170">
                  <c:v>-417</c:v>
                </c:pt>
                <c:pt idx="171">
                  <c:v>-422</c:v>
                </c:pt>
                <c:pt idx="172">
                  <c:v>-427</c:v>
                </c:pt>
                <c:pt idx="173">
                  <c:v>-432</c:v>
                </c:pt>
                <c:pt idx="174">
                  <c:v>-437</c:v>
                </c:pt>
                <c:pt idx="175">
                  <c:v>-441</c:v>
                </c:pt>
                <c:pt idx="176">
                  <c:v>-446</c:v>
                </c:pt>
                <c:pt idx="177">
                  <c:v>-453</c:v>
                </c:pt>
                <c:pt idx="178">
                  <c:v>-459</c:v>
                </c:pt>
                <c:pt idx="179">
                  <c:v>-464</c:v>
                </c:pt>
                <c:pt idx="180">
                  <c:v>-472</c:v>
                </c:pt>
                <c:pt idx="181">
                  <c:v>-477</c:v>
                </c:pt>
                <c:pt idx="182">
                  <c:v>-484</c:v>
                </c:pt>
                <c:pt idx="183">
                  <c:v>-491</c:v>
                </c:pt>
                <c:pt idx="184">
                  <c:v>-498</c:v>
                </c:pt>
                <c:pt idx="185">
                  <c:v>-505</c:v>
                </c:pt>
                <c:pt idx="186">
                  <c:v>-511</c:v>
                </c:pt>
                <c:pt idx="187">
                  <c:v>-517</c:v>
                </c:pt>
                <c:pt idx="188">
                  <c:v>-521</c:v>
                </c:pt>
                <c:pt idx="189">
                  <c:v>-524</c:v>
                </c:pt>
                <c:pt idx="190">
                  <c:v>-528</c:v>
                </c:pt>
                <c:pt idx="191">
                  <c:v>-532</c:v>
                </c:pt>
                <c:pt idx="192">
                  <c:v>-535</c:v>
                </c:pt>
                <c:pt idx="193">
                  <c:v>-538</c:v>
                </c:pt>
                <c:pt idx="194">
                  <c:v>-542</c:v>
                </c:pt>
                <c:pt idx="195">
                  <c:v>-547</c:v>
                </c:pt>
                <c:pt idx="196">
                  <c:v>-550</c:v>
                </c:pt>
                <c:pt idx="197">
                  <c:v>-553</c:v>
                </c:pt>
                <c:pt idx="198">
                  <c:v>-557</c:v>
                </c:pt>
                <c:pt idx="199">
                  <c:v>-561</c:v>
                </c:pt>
                <c:pt idx="200">
                  <c:v>-564</c:v>
                </c:pt>
                <c:pt idx="201">
                  <c:v>-567</c:v>
                </c:pt>
                <c:pt idx="202">
                  <c:v>-571</c:v>
                </c:pt>
                <c:pt idx="203">
                  <c:v>-576</c:v>
                </c:pt>
                <c:pt idx="204">
                  <c:v>-579</c:v>
                </c:pt>
                <c:pt idx="205">
                  <c:v>-583</c:v>
                </c:pt>
                <c:pt idx="206">
                  <c:v>-585</c:v>
                </c:pt>
                <c:pt idx="207">
                  <c:v>-588</c:v>
                </c:pt>
                <c:pt idx="208">
                  <c:v>-591</c:v>
                </c:pt>
                <c:pt idx="209">
                  <c:v>-593</c:v>
                </c:pt>
                <c:pt idx="210">
                  <c:v>-595</c:v>
                </c:pt>
                <c:pt idx="211">
                  <c:v>-598</c:v>
                </c:pt>
                <c:pt idx="212">
                  <c:v>-601</c:v>
                </c:pt>
                <c:pt idx="213">
                  <c:v>-603</c:v>
                </c:pt>
                <c:pt idx="214">
                  <c:v>-605</c:v>
                </c:pt>
                <c:pt idx="215">
                  <c:v>-608</c:v>
                </c:pt>
                <c:pt idx="216">
                  <c:v>-611</c:v>
                </c:pt>
                <c:pt idx="217">
                  <c:v>-613</c:v>
                </c:pt>
                <c:pt idx="218">
                  <c:v>-615</c:v>
                </c:pt>
                <c:pt idx="219">
                  <c:v>-618</c:v>
                </c:pt>
                <c:pt idx="220">
                  <c:v>-621</c:v>
                </c:pt>
                <c:pt idx="221">
                  <c:v>-623</c:v>
                </c:pt>
                <c:pt idx="222">
                  <c:v>-625</c:v>
                </c:pt>
                <c:pt idx="223">
                  <c:v>-627</c:v>
                </c:pt>
                <c:pt idx="224">
                  <c:v>-629</c:v>
                </c:pt>
                <c:pt idx="225">
                  <c:v>-632</c:v>
                </c:pt>
                <c:pt idx="226">
                  <c:v>-634</c:v>
                </c:pt>
                <c:pt idx="227">
                  <c:v>-637</c:v>
                </c:pt>
                <c:pt idx="228">
                  <c:v>-639</c:v>
                </c:pt>
                <c:pt idx="229">
                  <c:v>-641</c:v>
                </c:pt>
                <c:pt idx="230">
                  <c:v>-644</c:v>
                </c:pt>
                <c:pt idx="231">
                  <c:v>-647</c:v>
                </c:pt>
                <c:pt idx="232">
                  <c:v>-651</c:v>
                </c:pt>
                <c:pt idx="233">
                  <c:v>-654</c:v>
                </c:pt>
                <c:pt idx="234">
                  <c:v>-657</c:v>
                </c:pt>
                <c:pt idx="235">
                  <c:v>-659</c:v>
                </c:pt>
                <c:pt idx="236">
                  <c:v>-662</c:v>
                </c:pt>
                <c:pt idx="237">
                  <c:v>-665</c:v>
                </c:pt>
                <c:pt idx="238">
                  <c:v>-667</c:v>
                </c:pt>
                <c:pt idx="239">
                  <c:v>-670</c:v>
                </c:pt>
                <c:pt idx="240">
                  <c:v>-673</c:v>
                </c:pt>
                <c:pt idx="241">
                  <c:v>-675</c:v>
                </c:pt>
                <c:pt idx="242">
                  <c:v>-678</c:v>
                </c:pt>
                <c:pt idx="243">
                  <c:v>-680</c:v>
                </c:pt>
                <c:pt idx="244">
                  <c:v>-682</c:v>
                </c:pt>
                <c:pt idx="245">
                  <c:v>-685</c:v>
                </c:pt>
                <c:pt idx="246">
                  <c:v>-688</c:v>
                </c:pt>
                <c:pt idx="247">
                  <c:v>-690</c:v>
                </c:pt>
                <c:pt idx="248">
                  <c:v>-693</c:v>
                </c:pt>
                <c:pt idx="249">
                  <c:v>-696</c:v>
                </c:pt>
                <c:pt idx="250">
                  <c:v>-698</c:v>
                </c:pt>
                <c:pt idx="251">
                  <c:v>-700</c:v>
                </c:pt>
                <c:pt idx="252">
                  <c:v>-703</c:v>
                </c:pt>
                <c:pt idx="253">
                  <c:v>-705</c:v>
                </c:pt>
                <c:pt idx="254">
                  <c:v>-708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F8-45B8-8B82-A53869154705}"/>
            </c:ext>
          </c:extLst>
        </c:ser>
        <c:ser>
          <c:idx val="2"/>
          <c:order val="2"/>
          <c:tx>
            <c:strRef>
              <c:f>'Km83+720'!$AG$9</c:f>
              <c:strCache>
                <c:ptCount val="1"/>
                <c:pt idx="0">
                  <c:v>Tim</c:v>
                </c:pt>
              </c:strCache>
            </c:strRef>
          </c:tx>
          <c:marker>
            <c:symbol val="triangle"/>
            <c:size val="2"/>
            <c:spPr>
              <a:solidFill>
                <a:srgbClr val="0000FF"/>
              </a:solidFill>
              <a:ln w="12700">
                <a:solidFill>
                  <a:srgbClr val="0000FF"/>
                </a:solidFill>
                <a:prstDash val="solid"/>
              </a:ln>
            </c:spPr>
          </c:marker>
          <c:xVal>
            <c:numRef>
              <c:f>'Km83+720'!$B$11:$B$354</c:f>
              <c:numCache>
                <c:formatCode>[$-1010000]d/m/yyyy;@</c:formatCode>
                <c:ptCount val="344"/>
                <c:pt idx="0">
                  <c:v>45554</c:v>
                </c:pt>
                <c:pt idx="1">
                  <c:v>45555</c:v>
                </c:pt>
                <c:pt idx="2">
                  <c:v>45556</c:v>
                </c:pt>
                <c:pt idx="3">
                  <c:v>45557</c:v>
                </c:pt>
                <c:pt idx="4">
                  <c:v>45558</c:v>
                </c:pt>
                <c:pt idx="5">
                  <c:v>45559</c:v>
                </c:pt>
                <c:pt idx="6">
                  <c:v>45560</c:v>
                </c:pt>
                <c:pt idx="7">
                  <c:v>45561</c:v>
                </c:pt>
                <c:pt idx="8">
                  <c:v>45562</c:v>
                </c:pt>
                <c:pt idx="9">
                  <c:v>45563</c:v>
                </c:pt>
                <c:pt idx="10">
                  <c:v>45564</c:v>
                </c:pt>
                <c:pt idx="11">
                  <c:v>45565</c:v>
                </c:pt>
                <c:pt idx="12">
                  <c:v>45566</c:v>
                </c:pt>
                <c:pt idx="13">
                  <c:v>45567</c:v>
                </c:pt>
                <c:pt idx="14">
                  <c:v>45568</c:v>
                </c:pt>
                <c:pt idx="15">
                  <c:v>45569</c:v>
                </c:pt>
                <c:pt idx="16">
                  <c:v>45570</c:v>
                </c:pt>
                <c:pt idx="17">
                  <c:v>45571</c:v>
                </c:pt>
                <c:pt idx="18">
                  <c:v>45572</c:v>
                </c:pt>
                <c:pt idx="19">
                  <c:v>45573</c:v>
                </c:pt>
                <c:pt idx="20">
                  <c:v>45574</c:v>
                </c:pt>
                <c:pt idx="21">
                  <c:v>45575</c:v>
                </c:pt>
                <c:pt idx="22">
                  <c:v>45576</c:v>
                </c:pt>
                <c:pt idx="23">
                  <c:v>45577</c:v>
                </c:pt>
                <c:pt idx="24">
                  <c:v>45578</c:v>
                </c:pt>
                <c:pt idx="25">
                  <c:v>45579</c:v>
                </c:pt>
                <c:pt idx="26">
                  <c:v>45580</c:v>
                </c:pt>
                <c:pt idx="27">
                  <c:v>45581</c:v>
                </c:pt>
                <c:pt idx="28">
                  <c:v>45582</c:v>
                </c:pt>
                <c:pt idx="29">
                  <c:v>45583</c:v>
                </c:pt>
                <c:pt idx="30">
                  <c:v>45584</c:v>
                </c:pt>
                <c:pt idx="31">
                  <c:v>45585</c:v>
                </c:pt>
                <c:pt idx="32">
                  <c:v>45586</c:v>
                </c:pt>
                <c:pt idx="33">
                  <c:v>45587</c:v>
                </c:pt>
                <c:pt idx="34">
                  <c:v>45588</c:v>
                </c:pt>
                <c:pt idx="35">
                  <c:v>45589</c:v>
                </c:pt>
                <c:pt idx="36">
                  <c:v>45590</c:v>
                </c:pt>
                <c:pt idx="37">
                  <c:v>45591</c:v>
                </c:pt>
                <c:pt idx="38">
                  <c:v>45592</c:v>
                </c:pt>
                <c:pt idx="39">
                  <c:v>45593</c:v>
                </c:pt>
                <c:pt idx="40">
                  <c:v>45594</c:v>
                </c:pt>
                <c:pt idx="41">
                  <c:v>45595</c:v>
                </c:pt>
                <c:pt idx="42">
                  <c:v>45596</c:v>
                </c:pt>
                <c:pt idx="43">
                  <c:v>45597</c:v>
                </c:pt>
                <c:pt idx="44">
                  <c:v>45598</c:v>
                </c:pt>
                <c:pt idx="45">
                  <c:v>45599</c:v>
                </c:pt>
                <c:pt idx="46">
                  <c:v>45600</c:v>
                </c:pt>
                <c:pt idx="47">
                  <c:v>45601</c:v>
                </c:pt>
                <c:pt idx="48">
                  <c:v>45602</c:v>
                </c:pt>
                <c:pt idx="49">
                  <c:v>45603</c:v>
                </c:pt>
                <c:pt idx="50">
                  <c:v>45604</c:v>
                </c:pt>
                <c:pt idx="51">
                  <c:v>45605</c:v>
                </c:pt>
                <c:pt idx="52">
                  <c:v>45606</c:v>
                </c:pt>
                <c:pt idx="53">
                  <c:v>45607</c:v>
                </c:pt>
                <c:pt idx="54">
                  <c:v>45608</c:v>
                </c:pt>
                <c:pt idx="55">
                  <c:v>45609</c:v>
                </c:pt>
                <c:pt idx="56">
                  <c:v>45610</c:v>
                </c:pt>
                <c:pt idx="57">
                  <c:v>45611</c:v>
                </c:pt>
                <c:pt idx="58">
                  <c:v>45612</c:v>
                </c:pt>
                <c:pt idx="59">
                  <c:v>45613</c:v>
                </c:pt>
                <c:pt idx="60">
                  <c:v>45614</c:v>
                </c:pt>
                <c:pt idx="61">
                  <c:v>45615</c:v>
                </c:pt>
                <c:pt idx="62">
                  <c:v>45616</c:v>
                </c:pt>
                <c:pt idx="63">
                  <c:v>45617</c:v>
                </c:pt>
                <c:pt idx="64">
                  <c:v>45618</c:v>
                </c:pt>
                <c:pt idx="65">
                  <c:v>45619</c:v>
                </c:pt>
                <c:pt idx="66">
                  <c:v>45620</c:v>
                </c:pt>
                <c:pt idx="67">
                  <c:v>45621</c:v>
                </c:pt>
                <c:pt idx="68">
                  <c:v>45622</c:v>
                </c:pt>
                <c:pt idx="69">
                  <c:v>45623</c:v>
                </c:pt>
                <c:pt idx="70">
                  <c:v>45624</c:v>
                </c:pt>
                <c:pt idx="71">
                  <c:v>45625</c:v>
                </c:pt>
                <c:pt idx="72">
                  <c:v>45626</c:v>
                </c:pt>
                <c:pt idx="73">
                  <c:v>45627</c:v>
                </c:pt>
                <c:pt idx="74">
                  <c:v>45628</c:v>
                </c:pt>
                <c:pt idx="75">
                  <c:v>45629</c:v>
                </c:pt>
                <c:pt idx="76">
                  <c:v>45630</c:v>
                </c:pt>
                <c:pt idx="77">
                  <c:v>45631</c:v>
                </c:pt>
                <c:pt idx="78">
                  <c:v>45632</c:v>
                </c:pt>
                <c:pt idx="79">
                  <c:v>45633</c:v>
                </c:pt>
                <c:pt idx="80">
                  <c:v>45634</c:v>
                </c:pt>
                <c:pt idx="81">
                  <c:v>45635</c:v>
                </c:pt>
                <c:pt idx="82">
                  <c:v>45636</c:v>
                </c:pt>
                <c:pt idx="83">
                  <c:v>45637</c:v>
                </c:pt>
                <c:pt idx="84">
                  <c:v>45638</c:v>
                </c:pt>
                <c:pt idx="85">
                  <c:v>45639</c:v>
                </c:pt>
                <c:pt idx="86">
                  <c:v>45640</c:v>
                </c:pt>
                <c:pt idx="87">
                  <c:v>45641</c:v>
                </c:pt>
                <c:pt idx="88">
                  <c:v>45642</c:v>
                </c:pt>
                <c:pt idx="89">
                  <c:v>45643</c:v>
                </c:pt>
                <c:pt idx="90">
                  <c:v>45644</c:v>
                </c:pt>
                <c:pt idx="91">
                  <c:v>45645</c:v>
                </c:pt>
                <c:pt idx="92">
                  <c:v>45646</c:v>
                </c:pt>
                <c:pt idx="93">
                  <c:v>45647</c:v>
                </c:pt>
                <c:pt idx="94">
                  <c:v>45648</c:v>
                </c:pt>
                <c:pt idx="95">
                  <c:v>45649</c:v>
                </c:pt>
                <c:pt idx="96">
                  <c:v>45650</c:v>
                </c:pt>
                <c:pt idx="97">
                  <c:v>45651</c:v>
                </c:pt>
                <c:pt idx="98">
                  <c:v>45652</c:v>
                </c:pt>
                <c:pt idx="99">
                  <c:v>45653</c:v>
                </c:pt>
                <c:pt idx="100">
                  <c:v>45654</c:v>
                </c:pt>
                <c:pt idx="101">
                  <c:v>45655</c:v>
                </c:pt>
                <c:pt idx="102">
                  <c:v>45656</c:v>
                </c:pt>
                <c:pt idx="103">
                  <c:v>45657</c:v>
                </c:pt>
                <c:pt idx="104">
                  <c:v>45658</c:v>
                </c:pt>
                <c:pt idx="105">
                  <c:v>45659</c:v>
                </c:pt>
                <c:pt idx="106">
                  <c:v>45660</c:v>
                </c:pt>
                <c:pt idx="107">
                  <c:v>45661</c:v>
                </c:pt>
                <c:pt idx="108">
                  <c:v>45662</c:v>
                </c:pt>
                <c:pt idx="109">
                  <c:v>45663</c:v>
                </c:pt>
                <c:pt idx="110">
                  <c:v>45664</c:v>
                </c:pt>
                <c:pt idx="111">
                  <c:v>45665</c:v>
                </c:pt>
                <c:pt idx="112">
                  <c:v>45666</c:v>
                </c:pt>
                <c:pt idx="113">
                  <c:v>45667</c:v>
                </c:pt>
                <c:pt idx="114">
                  <c:v>45668</c:v>
                </c:pt>
                <c:pt idx="115">
                  <c:v>45669</c:v>
                </c:pt>
                <c:pt idx="116">
                  <c:v>45670</c:v>
                </c:pt>
                <c:pt idx="117">
                  <c:v>45671</c:v>
                </c:pt>
                <c:pt idx="118">
                  <c:v>45672</c:v>
                </c:pt>
                <c:pt idx="119">
                  <c:v>45673</c:v>
                </c:pt>
                <c:pt idx="120">
                  <c:v>45674</c:v>
                </c:pt>
                <c:pt idx="121">
                  <c:v>45675</c:v>
                </c:pt>
                <c:pt idx="122">
                  <c:v>45676</c:v>
                </c:pt>
                <c:pt idx="123">
                  <c:v>45677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45682</c:v>
                </c:pt>
                <c:pt idx="129">
                  <c:v>45683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45689</c:v>
                </c:pt>
                <c:pt idx="136">
                  <c:v>45690</c:v>
                </c:pt>
                <c:pt idx="137">
                  <c:v>45691</c:v>
                </c:pt>
                <c:pt idx="138">
                  <c:v>45692</c:v>
                </c:pt>
                <c:pt idx="139">
                  <c:v>45693</c:v>
                </c:pt>
                <c:pt idx="140">
                  <c:v>45694</c:v>
                </c:pt>
                <c:pt idx="141">
                  <c:v>45695</c:v>
                </c:pt>
                <c:pt idx="142">
                  <c:v>45696</c:v>
                </c:pt>
                <c:pt idx="143">
                  <c:v>45697</c:v>
                </c:pt>
                <c:pt idx="144">
                  <c:v>45698</c:v>
                </c:pt>
                <c:pt idx="145">
                  <c:v>45699</c:v>
                </c:pt>
                <c:pt idx="146">
                  <c:v>45700</c:v>
                </c:pt>
                <c:pt idx="147">
                  <c:v>45701</c:v>
                </c:pt>
                <c:pt idx="148">
                  <c:v>45702</c:v>
                </c:pt>
                <c:pt idx="149">
                  <c:v>45703</c:v>
                </c:pt>
                <c:pt idx="150">
                  <c:v>45704</c:v>
                </c:pt>
                <c:pt idx="151">
                  <c:v>45705</c:v>
                </c:pt>
                <c:pt idx="152">
                  <c:v>45706</c:v>
                </c:pt>
                <c:pt idx="153">
                  <c:v>45707</c:v>
                </c:pt>
                <c:pt idx="154">
                  <c:v>45708</c:v>
                </c:pt>
                <c:pt idx="155">
                  <c:v>45709</c:v>
                </c:pt>
                <c:pt idx="156">
                  <c:v>45710</c:v>
                </c:pt>
                <c:pt idx="157">
                  <c:v>45711</c:v>
                </c:pt>
                <c:pt idx="158">
                  <c:v>45712</c:v>
                </c:pt>
                <c:pt idx="159">
                  <c:v>45713</c:v>
                </c:pt>
                <c:pt idx="160">
                  <c:v>45714</c:v>
                </c:pt>
                <c:pt idx="161">
                  <c:v>45715</c:v>
                </c:pt>
                <c:pt idx="162">
                  <c:v>45716</c:v>
                </c:pt>
                <c:pt idx="163">
                  <c:v>45717</c:v>
                </c:pt>
                <c:pt idx="164">
                  <c:v>45718</c:v>
                </c:pt>
                <c:pt idx="165">
                  <c:v>45719</c:v>
                </c:pt>
                <c:pt idx="166">
                  <c:v>45720</c:v>
                </c:pt>
                <c:pt idx="167">
                  <c:v>45721</c:v>
                </c:pt>
                <c:pt idx="168">
                  <c:v>45722</c:v>
                </c:pt>
                <c:pt idx="169">
                  <c:v>45723</c:v>
                </c:pt>
                <c:pt idx="170">
                  <c:v>45724</c:v>
                </c:pt>
                <c:pt idx="171">
                  <c:v>45725</c:v>
                </c:pt>
                <c:pt idx="172">
                  <c:v>45726</c:v>
                </c:pt>
                <c:pt idx="173">
                  <c:v>45727</c:v>
                </c:pt>
                <c:pt idx="174">
                  <c:v>45728</c:v>
                </c:pt>
                <c:pt idx="175">
                  <c:v>45729</c:v>
                </c:pt>
                <c:pt idx="176">
                  <c:v>45730</c:v>
                </c:pt>
                <c:pt idx="177">
                  <c:v>45731</c:v>
                </c:pt>
                <c:pt idx="178">
                  <c:v>45732</c:v>
                </c:pt>
                <c:pt idx="179">
                  <c:v>45733</c:v>
                </c:pt>
                <c:pt idx="180">
                  <c:v>45734</c:v>
                </c:pt>
                <c:pt idx="181">
                  <c:v>45735</c:v>
                </c:pt>
                <c:pt idx="182">
                  <c:v>45736</c:v>
                </c:pt>
                <c:pt idx="183">
                  <c:v>45737</c:v>
                </c:pt>
                <c:pt idx="184">
                  <c:v>45738</c:v>
                </c:pt>
                <c:pt idx="185">
                  <c:v>45739</c:v>
                </c:pt>
                <c:pt idx="186">
                  <c:v>45740</c:v>
                </c:pt>
                <c:pt idx="187">
                  <c:v>45741</c:v>
                </c:pt>
                <c:pt idx="188">
                  <c:v>45742</c:v>
                </c:pt>
                <c:pt idx="189">
                  <c:v>45743</c:v>
                </c:pt>
                <c:pt idx="190">
                  <c:v>45744</c:v>
                </c:pt>
                <c:pt idx="191">
                  <c:v>45745</c:v>
                </c:pt>
                <c:pt idx="192">
                  <c:v>45746</c:v>
                </c:pt>
                <c:pt idx="193">
                  <c:v>45747</c:v>
                </c:pt>
                <c:pt idx="194">
                  <c:v>45748</c:v>
                </c:pt>
                <c:pt idx="195">
                  <c:v>45749</c:v>
                </c:pt>
                <c:pt idx="196">
                  <c:v>45750</c:v>
                </c:pt>
                <c:pt idx="197">
                  <c:v>45751</c:v>
                </c:pt>
                <c:pt idx="198">
                  <c:v>45752</c:v>
                </c:pt>
                <c:pt idx="199">
                  <c:v>45753</c:v>
                </c:pt>
                <c:pt idx="200">
                  <c:v>45754</c:v>
                </c:pt>
                <c:pt idx="201">
                  <c:v>45755</c:v>
                </c:pt>
                <c:pt idx="202">
                  <c:v>45756</c:v>
                </c:pt>
                <c:pt idx="203">
                  <c:v>45757</c:v>
                </c:pt>
                <c:pt idx="204">
                  <c:v>45758</c:v>
                </c:pt>
                <c:pt idx="205">
                  <c:v>45759</c:v>
                </c:pt>
                <c:pt idx="206">
                  <c:v>45760</c:v>
                </c:pt>
                <c:pt idx="207">
                  <c:v>45761</c:v>
                </c:pt>
                <c:pt idx="208">
                  <c:v>45762</c:v>
                </c:pt>
                <c:pt idx="209">
                  <c:v>45763</c:v>
                </c:pt>
                <c:pt idx="210">
                  <c:v>45764</c:v>
                </c:pt>
                <c:pt idx="211">
                  <c:v>45765</c:v>
                </c:pt>
                <c:pt idx="212">
                  <c:v>45766</c:v>
                </c:pt>
                <c:pt idx="213">
                  <c:v>45767</c:v>
                </c:pt>
                <c:pt idx="214">
                  <c:v>45768</c:v>
                </c:pt>
                <c:pt idx="215">
                  <c:v>45769</c:v>
                </c:pt>
                <c:pt idx="216">
                  <c:v>45770</c:v>
                </c:pt>
                <c:pt idx="217">
                  <c:v>45771</c:v>
                </c:pt>
                <c:pt idx="218">
                  <c:v>45772</c:v>
                </c:pt>
                <c:pt idx="219">
                  <c:v>45773</c:v>
                </c:pt>
                <c:pt idx="220">
                  <c:v>45774</c:v>
                </c:pt>
                <c:pt idx="221">
                  <c:v>45775</c:v>
                </c:pt>
                <c:pt idx="222">
                  <c:v>45776</c:v>
                </c:pt>
                <c:pt idx="223">
                  <c:v>45777</c:v>
                </c:pt>
                <c:pt idx="224">
                  <c:v>45778</c:v>
                </c:pt>
                <c:pt idx="225">
                  <c:v>45779</c:v>
                </c:pt>
                <c:pt idx="226">
                  <c:v>45780</c:v>
                </c:pt>
                <c:pt idx="227">
                  <c:v>45781</c:v>
                </c:pt>
                <c:pt idx="228">
                  <c:v>45782</c:v>
                </c:pt>
                <c:pt idx="229">
                  <c:v>45783</c:v>
                </c:pt>
                <c:pt idx="230">
                  <c:v>45784</c:v>
                </c:pt>
                <c:pt idx="231">
                  <c:v>45785</c:v>
                </c:pt>
                <c:pt idx="232">
                  <c:v>45786</c:v>
                </c:pt>
                <c:pt idx="233">
                  <c:v>45787</c:v>
                </c:pt>
                <c:pt idx="234">
                  <c:v>45788</c:v>
                </c:pt>
                <c:pt idx="235">
                  <c:v>45789</c:v>
                </c:pt>
                <c:pt idx="236">
                  <c:v>45790</c:v>
                </c:pt>
                <c:pt idx="237">
                  <c:v>45791</c:v>
                </c:pt>
                <c:pt idx="238">
                  <c:v>45792</c:v>
                </c:pt>
                <c:pt idx="239">
                  <c:v>45793</c:v>
                </c:pt>
                <c:pt idx="240">
                  <c:v>45794</c:v>
                </c:pt>
                <c:pt idx="241">
                  <c:v>45795</c:v>
                </c:pt>
                <c:pt idx="242">
                  <c:v>45796</c:v>
                </c:pt>
                <c:pt idx="243">
                  <c:v>45797</c:v>
                </c:pt>
                <c:pt idx="244">
                  <c:v>45798</c:v>
                </c:pt>
                <c:pt idx="245">
                  <c:v>45799</c:v>
                </c:pt>
                <c:pt idx="246">
                  <c:v>45800</c:v>
                </c:pt>
                <c:pt idx="247">
                  <c:v>45801</c:v>
                </c:pt>
                <c:pt idx="248">
                  <c:v>45802</c:v>
                </c:pt>
                <c:pt idx="249">
                  <c:v>45803</c:v>
                </c:pt>
                <c:pt idx="250">
                  <c:v>45804</c:v>
                </c:pt>
                <c:pt idx="251">
                  <c:v>45805</c:v>
                </c:pt>
                <c:pt idx="252">
                  <c:v>45806</c:v>
                </c:pt>
                <c:pt idx="253">
                  <c:v>45807</c:v>
                </c:pt>
                <c:pt idx="254">
                  <c:v>45808</c:v>
                </c:pt>
              </c:numCache>
            </c:numRef>
          </c:xVal>
          <c:yVal>
            <c:numRef>
              <c:f>'Km83+720'!$AG$11:$AG$353</c:f>
              <c:numCache>
                <c:formatCode>0</c:formatCode>
                <c:ptCount val="343"/>
                <c:pt idx="0">
                  <c:v>-4</c:v>
                </c:pt>
                <c:pt idx="1">
                  <c:v>-7</c:v>
                </c:pt>
                <c:pt idx="2">
                  <c:v>-15</c:v>
                </c:pt>
                <c:pt idx="3">
                  <c:v>-22</c:v>
                </c:pt>
                <c:pt idx="4">
                  <c:v>-31</c:v>
                </c:pt>
                <c:pt idx="5">
                  <c:v>-39</c:v>
                </c:pt>
                <c:pt idx="6">
                  <c:v>-47</c:v>
                </c:pt>
                <c:pt idx="7">
                  <c:v>-55</c:v>
                </c:pt>
                <c:pt idx="8">
                  <c:v>-62</c:v>
                </c:pt>
                <c:pt idx="9">
                  <c:v>-69</c:v>
                </c:pt>
                <c:pt idx="10">
                  <c:v>-75</c:v>
                </c:pt>
                <c:pt idx="11">
                  <c:v>-81</c:v>
                </c:pt>
                <c:pt idx="12">
                  <c:v>-86</c:v>
                </c:pt>
                <c:pt idx="13">
                  <c:v>-91</c:v>
                </c:pt>
                <c:pt idx="14">
                  <c:v>-100</c:v>
                </c:pt>
                <c:pt idx="15">
                  <c:v>-109</c:v>
                </c:pt>
                <c:pt idx="16">
                  <c:v>-118</c:v>
                </c:pt>
                <c:pt idx="17">
                  <c:v>-126</c:v>
                </c:pt>
                <c:pt idx="18">
                  <c:v>-135</c:v>
                </c:pt>
                <c:pt idx="19">
                  <c:v>-143</c:v>
                </c:pt>
                <c:pt idx="20">
                  <c:v>-152</c:v>
                </c:pt>
                <c:pt idx="21">
                  <c:v>-161</c:v>
                </c:pt>
                <c:pt idx="22">
                  <c:v>-169</c:v>
                </c:pt>
                <c:pt idx="23">
                  <c:v>-178</c:v>
                </c:pt>
                <c:pt idx="24">
                  <c:v>-186</c:v>
                </c:pt>
                <c:pt idx="25">
                  <c:v>-194</c:v>
                </c:pt>
                <c:pt idx="26">
                  <c:v>-202</c:v>
                </c:pt>
                <c:pt idx="27">
                  <c:v>-209</c:v>
                </c:pt>
                <c:pt idx="28">
                  <c:v>-216</c:v>
                </c:pt>
                <c:pt idx="29">
                  <c:v>-223</c:v>
                </c:pt>
                <c:pt idx="30">
                  <c:v>-231</c:v>
                </c:pt>
                <c:pt idx="31">
                  <c:v>-238</c:v>
                </c:pt>
                <c:pt idx="32">
                  <c:v>-244</c:v>
                </c:pt>
                <c:pt idx="33">
                  <c:v>-252</c:v>
                </c:pt>
                <c:pt idx="34">
                  <c:v>-259</c:v>
                </c:pt>
                <c:pt idx="35">
                  <c:v>-266</c:v>
                </c:pt>
                <c:pt idx="36">
                  <c:v>-273</c:v>
                </c:pt>
                <c:pt idx="37">
                  <c:v>-281</c:v>
                </c:pt>
                <c:pt idx="38">
                  <c:v>-288</c:v>
                </c:pt>
                <c:pt idx="39">
                  <c:v>-294</c:v>
                </c:pt>
                <c:pt idx="40">
                  <c:v>-302</c:v>
                </c:pt>
                <c:pt idx="41">
                  <c:v>-309</c:v>
                </c:pt>
                <c:pt idx="42">
                  <c:v>-316</c:v>
                </c:pt>
                <c:pt idx="43">
                  <c:v>-323</c:v>
                </c:pt>
                <c:pt idx="44">
                  <c:v>-331</c:v>
                </c:pt>
                <c:pt idx="45">
                  <c:v>-338</c:v>
                </c:pt>
                <c:pt idx="46">
                  <c:v>-344</c:v>
                </c:pt>
                <c:pt idx="47">
                  <c:v>-351</c:v>
                </c:pt>
                <c:pt idx="48">
                  <c:v>-356</c:v>
                </c:pt>
                <c:pt idx="49">
                  <c:v>-361</c:v>
                </c:pt>
                <c:pt idx="50">
                  <c:v>-366</c:v>
                </c:pt>
                <c:pt idx="51">
                  <c:v>-371</c:v>
                </c:pt>
                <c:pt idx="52">
                  <c:v>-376</c:v>
                </c:pt>
                <c:pt idx="53">
                  <c:v>-380</c:v>
                </c:pt>
                <c:pt idx="54">
                  <c:v>-384</c:v>
                </c:pt>
                <c:pt idx="55">
                  <c:v>-387</c:v>
                </c:pt>
                <c:pt idx="56">
                  <c:v>-390</c:v>
                </c:pt>
                <c:pt idx="57">
                  <c:v>-393</c:v>
                </c:pt>
                <c:pt idx="58">
                  <c:v>-395</c:v>
                </c:pt>
                <c:pt idx="59">
                  <c:v>-397</c:v>
                </c:pt>
                <c:pt idx="60">
                  <c:v>-399</c:v>
                </c:pt>
                <c:pt idx="61">
                  <c:v>-401</c:v>
                </c:pt>
                <c:pt idx="62">
                  <c:v>-402</c:v>
                </c:pt>
                <c:pt idx="63">
                  <c:v>-403</c:v>
                </c:pt>
                <c:pt idx="64">
                  <c:v>-404</c:v>
                </c:pt>
                <c:pt idx="65">
                  <c:v>-405</c:v>
                </c:pt>
                <c:pt idx="66">
                  <c:v>-406</c:v>
                </c:pt>
                <c:pt idx="67">
                  <c:v>-407</c:v>
                </c:pt>
                <c:pt idx="68">
                  <c:v>-408</c:v>
                </c:pt>
                <c:pt idx="69">
                  <c:v>-408</c:v>
                </c:pt>
                <c:pt idx="70">
                  <c:v>-409</c:v>
                </c:pt>
                <c:pt idx="71">
                  <c:v>-409</c:v>
                </c:pt>
                <c:pt idx="72">
                  <c:v>-409</c:v>
                </c:pt>
                <c:pt idx="73">
                  <c:v>-411</c:v>
                </c:pt>
                <c:pt idx="74">
                  <c:v>-411</c:v>
                </c:pt>
                <c:pt idx="75">
                  <c:v>-414</c:v>
                </c:pt>
                <c:pt idx="76">
                  <c:v>-414</c:v>
                </c:pt>
                <c:pt idx="77">
                  <c:v>-415</c:v>
                </c:pt>
                <c:pt idx="78">
                  <c:v>-416</c:v>
                </c:pt>
                <c:pt idx="79">
                  <c:v>-416</c:v>
                </c:pt>
                <c:pt idx="80">
                  <c:v>-416</c:v>
                </c:pt>
                <c:pt idx="81">
                  <c:v>-419</c:v>
                </c:pt>
                <c:pt idx="82">
                  <c:v>-419</c:v>
                </c:pt>
                <c:pt idx="83">
                  <c:v>-420</c:v>
                </c:pt>
                <c:pt idx="84">
                  <c:v>-420</c:v>
                </c:pt>
                <c:pt idx="85">
                  <c:v>-423</c:v>
                </c:pt>
                <c:pt idx="86">
                  <c:v>-424</c:v>
                </c:pt>
                <c:pt idx="87">
                  <c:v>-424</c:v>
                </c:pt>
                <c:pt idx="88">
                  <c:v>-427</c:v>
                </c:pt>
                <c:pt idx="89">
                  <c:v>-427</c:v>
                </c:pt>
                <c:pt idx="90">
                  <c:v>-428</c:v>
                </c:pt>
                <c:pt idx="91">
                  <c:v>-428</c:v>
                </c:pt>
                <c:pt idx="92">
                  <c:v>-429</c:v>
                </c:pt>
                <c:pt idx="93">
                  <c:v>-429</c:v>
                </c:pt>
                <c:pt idx="94">
                  <c:v>-430</c:v>
                </c:pt>
                <c:pt idx="95">
                  <c:v>-430</c:v>
                </c:pt>
                <c:pt idx="96">
                  <c:v>-430</c:v>
                </c:pt>
                <c:pt idx="97">
                  <c:v>-430</c:v>
                </c:pt>
                <c:pt idx="98">
                  <c:v>-433</c:v>
                </c:pt>
                <c:pt idx="99">
                  <c:v>-434</c:v>
                </c:pt>
                <c:pt idx="100">
                  <c:v>-434</c:v>
                </c:pt>
                <c:pt idx="101">
                  <c:v>-434</c:v>
                </c:pt>
                <c:pt idx="102">
                  <c:v>-434</c:v>
                </c:pt>
                <c:pt idx="103">
                  <c:v>-434</c:v>
                </c:pt>
                <c:pt idx="104">
                  <c:v>-436</c:v>
                </c:pt>
                <c:pt idx="105">
                  <c:v>-436</c:v>
                </c:pt>
                <c:pt idx="106">
                  <c:v>-439</c:v>
                </c:pt>
                <c:pt idx="107">
                  <c:v>-439</c:v>
                </c:pt>
                <c:pt idx="108">
                  <c:v>-440</c:v>
                </c:pt>
                <c:pt idx="109">
                  <c:v>-443</c:v>
                </c:pt>
                <c:pt idx="110">
                  <c:v>-444</c:v>
                </c:pt>
                <c:pt idx="111">
                  <c:v>-447</c:v>
                </c:pt>
                <c:pt idx="112">
                  <c:v>-447</c:v>
                </c:pt>
                <c:pt idx="113">
                  <c:v>-448</c:v>
                </c:pt>
                <c:pt idx="114">
                  <c:v>-451</c:v>
                </c:pt>
                <c:pt idx="115">
                  <c:v>-454</c:v>
                </c:pt>
                <c:pt idx="116">
                  <c:v>-455</c:v>
                </c:pt>
                <c:pt idx="117">
                  <c:v>-455</c:v>
                </c:pt>
                <c:pt idx="118">
                  <c:v>-455</c:v>
                </c:pt>
                <c:pt idx="119">
                  <c:v>-456</c:v>
                </c:pt>
                <c:pt idx="120">
                  <c:v>-456</c:v>
                </c:pt>
                <c:pt idx="121">
                  <c:v>-457</c:v>
                </c:pt>
                <c:pt idx="122">
                  <c:v>-461</c:v>
                </c:pt>
                <c:pt idx="123">
                  <c:v>-462</c:v>
                </c:pt>
                <c:pt idx="124">
                  <c:v>-466</c:v>
                </c:pt>
                <c:pt idx="125">
                  <c:v>-467</c:v>
                </c:pt>
                <c:pt idx="126">
                  <c:v>-467</c:v>
                </c:pt>
                <c:pt idx="127">
                  <c:v>-468</c:v>
                </c:pt>
                <c:pt idx="128">
                  <c:v>-469</c:v>
                </c:pt>
                <c:pt idx="129">
                  <c:v>-469</c:v>
                </c:pt>
                <c:pt idx="130">
                  <c:v>-469</c:v>
                </c:pt>
                <c:pt idx="131">
                  <c:v>-470</c:v>
                </c:pt>
                <c:pt idx="132">
                  <c:v>-471</c:v>
                </c:pt>
                <c:pt idx="133">
                  <c:v>-475</c:v>
                </c:pt>
                <c:pt idx="134">
                  <c:v>-476</c:v>
                </c:pt>
                <c:pt idx="135">
                  <c:v>-480</c:v>
                </c:pt>
                <c:pt idx="136">
                  <c:v>-481</c:v>
                </c:pt>
                <c:pt idx="137">
                  <c:v>-482</c:v>
                </c:pt>
                <c:pt idx="138">
                  <c:v>-482</c:v>
                </c:pt>
                <c:pt idx="139">
                  <c:v>-483</c:v>
                </c:pt>
                <c:pt idx="140">
                  <c:v>-484</c:v>
                </c:pt>
                <c:pt idx="141">
                  <c:v>-484</c:v>
                </c:pt>
                <c:pt idx="142">
                  <c:v>-485</c:v>
                </c:pt>
                <c:pt idx="143">
                  <c:v>-489</c:v>
                </c:pt>
                <c:pt idx="144">
                  <c:v>-492</c:v>
                </c:pt>
                <c:pt idx="145">
                  <c:v>-496</c:v>
                </c:pt>
                <c:pt idx="146">
                  <c:v>-500</c:v>
                </c:pt>
                <c:pt idx="147">
                  <c:v>-506</c:v>
                </c:pt>
                <c:pt idx="148">
                  <c:v>-507</c:v>
                </c:pt>
                <c:pt idx="149">
                  <c:v>-511</c:v>
                </c:pt>
                <c:pt idx="150">
                  <c:v>-512</c:v>
                </c:pt>
                <c:pt idx="151">
                  <c:v>-512</c:v>
                </c:pt>
                <c:pt idx="152">
                  <c:v>-513</c:v>
                </c:pt>
                <c:pt idx="153">
                  <c:v>-517</c:v>
                </c:pt>
                <c:pt idx="154">
                  <c:v>-518</c:v>
                </c:pt>
                <c:pt idx="155">
                  <c:v>-523</c:v>
                </c:pt>
                <c:pt idx="156">
                  <c:v>-524</c:v>
                </c:pt>
                <c:pt idx="157">
                  <c:v>-524</c:v>
                </c:pt>
                <c:pt idx="158">
                  <c:v>-524</c:v>
                </c:pt>
                <c:pt idx="159">
                  <c:v>-524</c:v>
                </c:pt>
                <c:pt idx="160">
                  <c:v>-525</c:v>
                </c:pt>
                <c:pt idx="161">
                  <c:v>-525</c:v>
                </c:pt>
                <c:pt idx="162">
                  <c:v>-532</c:v>
                </c:pt>
                <c:pt idx="163">
                  <c:v>-539</c:v>
                </c:pt>
                <c:pt idx="164">
                  <c:v>-546</c:v>
                </c:pt>
                <c:pt idx="165">
                  <c:v>-553</c:v>
                </c:pt>
                <c:pt idx="166">
                  <c:v>-559</c:v>
                </c:pt>
                <c:pt idx="167">
                  <c:v>-565</c:v>
                </c:pt>
                <c:pt idx="168">
                  <c:v>-571</c:v>
                </c:pt>
                <c:pt idx="169">
                  <c:v>-577</c:v>
                </c:pt>
                <c:pt idx="170">
                  <c:v>-583</c:v>
                </c:pt>
                <c:pt idx="171">
                  <c:v>-589</c:v>
                </c:pt>
                <c:pt idx="172">
                  <c:v>-595</c:v>
                </c:pt>
                <c:pt idx="173">
                  <c:v>-600</c:v>
                </c:pt>
                <c:pt idx="174">
                  <c:v>-605</c:v>
                </c:pt>
                <c:pt idx="175">
                  <c:v>-612</c:v>
                </c:pt>
                <c:pt idx="176">
                  <c:v>-617</c:v>
                </c:pt>
                <c:pt idx="177">
                  <c:v>-621</c:v>
                </c:pt>
                <c:pt idx="178">
                  <c:v>-627</c:v>
                </c:pt>
                <c:pt idx="179">
                  <c:v>-631</c:v>
                </c:pt>
                <c:pt idx="180">
                  <c:v>-634</c:v>
                </c:pt>
                <c:pt idx="181">
                  <c:v>-640</c:v>
                </c:pt>
                <c:pt idx="182">
                  <c:v>-643</c:v>
                </c:pt>
                <c:pt idx="183">
                  <c:v>-648</c:v>
                </c:pt>
                <c:pt idx="184">
                  <c:v>-652</c:v>
                </c:pt>
                <c:pt idx="185">
                  <c:v>-656</c:v>
                </c:pt>
                <c:pt idx="186">
                  <c:v>-660</c:v>
                </c:pt>
                <c:pt idx="187">
                  <c:v>-664</c:v>
                </c:pt>
                <c:pt idx="188">
                  <c:v>-669</c:v>
                </c:pt>
                <c:pt idx="189">
                  <c:v>-673</c:v>
                </c:pt>
                <c:pt idx="190">
                  <c:v>-677</c:v>
                </c:pt>
                <c:pt idx="191">
                  <c:v>-682</c:v>
                </c:pt>
                <c:pt idx="192">
                  <c:v>-686</c:v>
                </c:pt>
                <c:pt idx="193">
                  <c:v>-691</c:v>
                </c:pt>
                <c:pt idx="194">
                  <c:v>-696</c:v>
                </c:pt>
                <c:pt idx="195">
                  <c:v>-699</c:v>
                </c:pt>
                <c:pt idx="196">
                  <c:v>-703</c:v>
                </c:pt>
                <c:pt idx="197">
                  <c:v>-707</c:v>
                </c:pt>
                <c:pt idx="198">
                  <c:v>-711</c:v>
                </c:pt>
                <c:pt idx="199">
                  <c:v>-717</c:v>
                </c:pt>
                <c:pt idx="200">
                  <c:v>-722</c:v>
                </c:pt>
                <c:pt idx="201">
                  <c:v>-726</c:v>
                </c:pt>
                <c:pt idx="202">
                  <c:v>-730</c:v>
                </c:pt>
                <c:pt idx="203">
                  <c:v>-733</c:v>
                </c:pt>
                <c:pt idx="204">
                  <c:v>-738</c:v>
                </c:pt>
                <c:pt idx="205">
                  <c:v>-741</c:v>
                </c:pt>
                <c:pt idx="206">
                  <c:v>-744</c:v>
                </c:pt>
                <c:pt idx="207">
                  <c:v>-747</c:v>
                </c:pt>
                <c:pt idx="208">
                  <c:v>-749</c:v>
                </c:pt>
                <c:pt idx="209">
                  <c:v>-755</c:v>
                </c:pt>
                <c:pt idx="210">
                  <c:v>-757</c:v>
                </c:pt>
                <c:pt idx="211">
                  <c:v>-762</c:v>
                </c:pt>
                <c:pt idx="212">
                  <c:v>-765</c:v>
                </c:pt>
                <c:pt idx="213">
                  <c:v>-768</c:v>
                </c:pt>
                <c:pt idx="214">
                  <c:v>-772</c:v>
                </c:pt>
                <c:pt idx="215">
                  <c:v>-776</c:v>
                </c:pt>
                <c:pt idx="216">
                  <c:v>-779</c:v>
                </c:pt>
                <c:pt idx="217">
                  <c:v>-784</c:v>
                </c:pt>
                <c:pt idx="218">
                  <c:v>-787</c:v>
                </c:pt>
                <c:pt idx="219">
                  <c:v>-790</c:v>
                </c:pt>
                <c:pt idx="220">
                  <c:v>-795</c:v>
                </c:pt>
                <c:pt idx="221">
                  <c:v>-798</c:v>
                </c:pt>
                <c:pt idx="222">
                  <c:v>-804</c:v>
                </c:pt>
                <c:pt idx="223">
                  <c:v>-807</c:v>
                </c:pt>
                <c:pt idx="224">
                  <c:v>-811</c:v>
                </c:pt>
                <c:pt idx="225">
                  <c:v>-814</c:v>
                </c:pt>
                <c:pt idx="226">
                  <c:v>-818</c:v>
                </c:pt>
                <c:pt idx="227">
                  <c:v>-823</c:v>
                </c:pt>
                <c:pt idx="228">
                  <c:v>-826</c:v>
                </c:pt>
                <c:pt idx="229">
                  <c:v>-829</c:v>
                </c:pt>
                <c:pt idx="230">
                  <c:v>-833</c:v>
                </c:pt>
                <c:pt idx="231">
                  <c:v>-838</c:v>
                </c:pt>
                <c:pt idx="232">
                  <c:v>-844</c:v>
                </c:pt>
                <c:pt idx="233">
                  <c:v>-849</c:v>
                </c:pt>
                <c:pt idx="234">
                  <c:v>-853</c:v>
                </c:pt>
                <c:pt idx="235">
                  <c:v>-857</c:v>
                </c:pt>
                <c:pt idx="236">
                  <c:v>-861</c:v>
                </c:pt>
                <c:pt idx="237">
                  <c:v>-864</c:v>
                </c:pt>
                <c:pt idx="238">
                  <c:v>-867</c:v>
                </c:pt>
                <c:pt idx="239">
                  <c:v>-871</c:v>
                </c:pt>
                <c:pt idx="240">
                  <c:v>-874</c:v>
                </c:pt>
                <c:pt idx="241">
                  <c:v>-878</c:v>
                </c:pt>
                <c:pt idx="242">
                  <c:v>-881</c:v>
                </c:pt>
                <c:pt idx="243">
                  <c:v>-884</c:v>
                </c:pt>
                <c:pt idx="244">
                  <c:v>-888</c:v>
                </c:pt>
                <c:pt idx="245">
                  <c:v>-891</c:v>
                </c:pt>
                <c:pt idx="246">
                  <c:v>-894</c:v>
                </c:pt>
                <c:pt idx="247">
                  <c:v>-898</c:v>
                </c:pt>
                <c:pt idx="248">
                  <c:v>-901</c:v>
                </c:pt>
                <c:pt idx="249">
                  <c:v>-904</c:v>
                </c:pt>
                <c:pt idx="250">
                  <c:v>-908</c:v>
                </c:pt>
                <c:pt idx="251">
                  <c:v>-912</c:v>
                </c:pt>
                <c:pt idx="252">
                  <c:v>-915</c:v>
                </c:pt>
                <c:pt idx="253">
                  <c:v>-919</c:v>
                </c:pt>
                <c:pt idx="254">
                  <c:v>-922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F8-45B8-8B82-A53869154705}"/>
            </c:ext>
          </c:extLst>
        </c:ser>
        <c:ser>
          <c:idx val="3"/>
          <c:order val="3"/>
          <c:tx>
            <c:strRef>
              <c:f>'Km83+720'!$AH$9</c:f>
              <c:strCache>
                <c:ptCount val="1"/>
                <c:pt idx="0">
                  <c:v>Phải</c:v>
                </c:pt>
              </c:strCache>
            </c:strRef>
          </c:tx>
          <c:marker>
            <c:symbol val="x"/>
            <c:size val="2"/>
            <c:spPr>
              <a:solidFill>
                <a:srgbClr val="800000"/>
              </a:solidFill>
              <a:ln w="12700">
                <a:solidFill>
                  <a:srgbClr val="800000"/>
                </a:solidFill>
                <a:prstDash val="solid"/>
              </a:ln>
            </c:spPr>
          </c:marker>
          <c:xVal>
            <c:numRef>
              <c:f>'Km83+720'!$B$11:$B$352</c:f>
              <c:numCache>
                <c:formatCode>[$-1010000]d/m/yyyy;@</c:formatCode>
                <c:ptCount val="342"/>
                <c:pt idx="0">
                  <c:v>45554</c:v>
                </c:pt>
                <c:pt idx="1">
                  <c:v>45555</c:v>
                </c:pt>
                <c:pt idx="2">
                  <c:v>45556</c:v>
                </c:pt>
                <c:pt idx="3">
                  <c:v>45557</c:v>
                </c:pt>
                <c:pt idx="4">
                  <c:v>45558</c:v>
                </c:pt>
                <c:pt idx="5">
                  <c:v>45559</c:v>
                </c:pt>
                <c:pt idx="6">
                  <c:v>45560</c:v>
                </c:pt>
                <c:pt idx="7">
                  <c:v>45561</c:v>
                </c:pt>
                <c:pt idx="8">
                  <c:v>45562</c:v>
                </c:pt>
                <c:pt idx="9">
                  <c:v>45563</c:v>
                </c:pt>
                <c:pt idx="10">
                  <c:v>45564</c:v>
                </c:pt>
                <c:pt idx="11">
                  <c:v>45565</c:v>
                </c:pt>
                <c:pt idx="12">
                  <c:v>45566</c:v>
                </c:pt>
                <c:pt idx="13">
                  <c:v>45567</c:v>
                </c:pt>
                <c:pt idx="14">
                  <c:v>45568</c:v>
                </c:pt>
                <c:pt idx="15">
                  <c:v>45569</c:v>
                </c:pt>
                <c:pt idx="16">
                  <c:v>45570</c:v>
                </c:pt>
                <c:pt idx="17">
                  <c:v>45571</c:v>
                </c:pt>
                <c:pt idx="18">
                  <c:v>45572</c:v>
                </c:pt>
                <c:pt idx="19">
                  <c:v>45573</c:v>
                </c:pt>
                <c:pt idx="20">
                  <c:v>45574</c:v>
                </c:pt>
                <c:pt idx="21">
                  <c:v>45575</c:v>
                </c:pt>
                <c:pt idx="22">
                  <c:v>45576</c:v>
                </c:pt>
                <c:pt idx="23">
                  <c:v>45577</c:v>
                </c:pt>
                <c:pt idx="24">
                  <c:v>45578</c:v>
                </c:pt>
                <c:pt idx="25">
                  <c:v>45579</c:v>
                </c:pt>
                <c:pt idx="26">
                  <c:v>45580</c:v>
                </c:pt>
                <c:pt idx="27">
                  <c:v>45581</c:v>
                </c:pt>
                <c:pt idx="28">
                  <c:v>45582</c:v>
                </c:pt>
                <c:pt idx="29">
                  <c:v>45583</c:v>
                </c:pt>
                <c:pt idx="30">
                  <c:v>45584</c:v>
                </c:pt>
                <c:pt idx="31">
                  <c:v>45585</c:v>
                </c:pt>
                <c:pt idx="32">
                  <c:v>45586</c:v>
                </c:pt>
                <c:pt idx="33">
                  <c:v>45587</c:v>
                </c:pt>
                <c:pt idx="34">
                  <c:v>45588</c:v>
                </c:pt>
                <c:pt idx="35">
                  <c:v>45589</c:v>
                </c:pt>
                <c:pt idx="36">
                  <c:v>45590</c:v>
                </c:pt>
                <c:pt idx="37">
                  <c:v>45591</c:v>
                </c:pt>
                <c:pt idx="38">
                  <c:v>45592</c:v>
                </c:pt>
                <c:pt idx="39">
                  <c:v>45593</c:v>
                </c:pt>
                <c:pt idx="40">
                  <c:v>45594</c:v>
                </c:pt>
                <c:pt idx="41">
                  <c:v>45595</c:v>
                </c:pt>
                <c:pt idx="42">
                  <c:v>45596</c:v>
                </c:pt>
                <c:pt idx="43">
                  <c:v>45597</c:v>
                </c:pt>
                <c:pt idx="44">
                  <c:v>45598</c:v>
                </c:pt>
                <c:pt idx="45">
                  <c:v>45599</c:v>
                </c:pt>
                <c:pt idx="46">
                  <c:v>45600</c:v>
                </c:pt>
                <c:pt idx="47">
                  <c:v>45601</c:v>
                </c:pt>
                <c:pt idx="48">
                  <c:v>45602</c:v>
                </c:pt>
                <c:pt idx="49">
                  <c:v>45603</c:v>
                </c:pt>
                <c:pt idx="50">
                  <c:v>45604</c:v>
                </c:pt>
                <c:pt idx="51">
                  <c:v>45605</c:v>
                </c:pt>
                <c:pt idx="52">
                  <c:v>45606</c:v>
                </c:pt>
                <c:pt idx="53">
                  <c:v>45607</c:v>
                </c:pt>
                <c:pt idx="54">
                  <c:v>45608</c:v>
                </c:pt>
                <c:pt idx="55">
                  <c:v>45609</c:v>
                </c:pt>
                <c:pt idx="56">
                  <c:v>45610</c:v>
                </c:pt>
                <c:pt idx="57">
                  <c:v>45611</c:v>
                </c:pt>
                <c:pt idx="58">
                  <c:v>45612</c:v>
                </c:pt>
                <c:pt idx="59">
                  <c:v>45613</c:v>
                </c:pt>
                <c:pt idx="60">
                  <c:v>45614</c:v>
                </c:pt>
                <c:pt idx="61">
                  <c:v>45615</c:v>
                </c:pt>
                <c:pt idx="62">
                  <c:v>45616</c:v>
                </c:pt>
                <c:pt idx="63">
                  <c:v>45617</c:v>
                </c:pt>
                <c:pt idx="64">
                  <c:v>45618</c:v>
                </c:pt>
                <c:pt idx="65">
                  <c:v>45619</c:v>
                </c:pt>
                <c:pt idx="66">
                  <c:v>45620</c:v>
                </c:pt>
                <c:pt idx="67">
                  <c:v>45621</c:v>
                </c:pt>
                <c:pt idx="68">
                  <c:v>45622</c:v>
                </c:pt>
                <c:pt idx="69">
                  <c:v>45623</c:v>
                </c:pt>
                <c:pt idx="70">
                  <c:v>45624</c:v>
                </c:pt>
                <c:pt idx="71">
                  <c:v>45625</c:v>
                </c:pt>
                <c:pt idx="72">
                  <c:v>45626</c:v>
                </c:pt>
                <c:pt idx="73">
                  <c:v>45627</c:v>
                </c:pt>
                <c:pt idx="74">
                  <c:v>45628</c:v>
                </c:pt>
                <c:pt idx="75">
                  <c:v>45629</c:v>
                </c:pt>
                <c:pt idx="76">
                  <c:v>45630</c:v>
                </c:pt>
                <c:pt idx="77">
                  <c:v>45631</c:v>
                </c:pt>
                <c:pt idx="78">
                  <c:v>45632</c:v>
                </c:pt>
                <c:pt idx="79">
                  <c:v>45633</c:v>
                </c:pt>
                <c:pt idx="80">
                  <c:v>45634</c:v>
                </c:pt>
                <c:pt idx="81">
                  <c:v>45635</c:v>
                </c:pt>
                <c:pt idx="82">
                  <c:v>45636</c:v>
                </c:pt>
                <c:pt idx="83">
                  <c:v>45637</c:v>
                </c:pt>
                <c:pt idx="84">
                  <c:v>45638</c:v>
                </c:pt>
                <c:pt idx="85">
                  <c:v>45639</c:v>
                </c:pt>
                <c:pt idx="86">
                  <c:v>45640</c:v>
                </c:pt>
                <c:pt idx="87">
                  <c:v>45641</c:v>
                </c:pt>
                <c:pt idx="88">
                  <c:v>45642</c:v>
                </c:pt>
                <c:pt idx="89">
                  <c:v>45643</c:v>
                </c:pt>
                <c:pt idx="90">
                  <c:v>45644</c:v>
                </c:pt>
                <c:pt idx="91">
                  <c:v>45645</c:v>
                </c:pt>
                <c:pt idx="92">
                  <c:v>45646</c:v>
                </c:pt>
                <c:pt idx="93">
                  <c:v>45647</c:v>
                </c:pt>
                <c:pt idx="94">
                  <c:v>45648</c:v>
                </c:pt>
                <c:pt idx="95">
                  <c:v>45649</c:v>
                </c:pt>
                <c:pt idx="96">
                  <c:v>45650</c:v>
                </c:pt>
                <c:pt idx="97">
                  <c:v>45651</c:v>
                </c:pt>
                <c:pt idx="98">
                  <c:v>45652</c:v>
                </c:pt>
                <c:pt idx="99">
                  <c:v>45653</c:v>
                </c:pt>
                <c:pt idx="100">
                  <c:v>45654</c:v>
                </c:pt>
                <c:pt idx="101">
                  <c:v>45655</c:v>
                </c:pt>
                <c:pt idx="102">
                  <c:v>45656</c:v>
                </c:pt>
                <c:pt idx="103">
                  <c:v>45657</c:v>
                </c:pt>
                <c:pt idx="104">
                  <c:v>45658</c:v>
                </c:pt>
                <c:pt idx="105">
                  <c:v>45659</c:v>
                </c:pt>
                <c:pt idx="106">
                  <c:v>45660</c:v>
                </c:pt>
                <c:pt idx="107">
                  <c:v>45661</c:v>
                </c:pt>
                <c:pt idx="108">
                  <c:v>45662</c:v>
                </c:pt>
                <c:pt idx="109">
                  <c:v>45663</c:v>
                </c:pt>
                <c:pt idx="110">
                  <c:v>45664</c:v>
                </c:pt>
                <c:pt idx="111">
                  <c:v>45665</c:v>
                </c:pt>
                <c:pt idx="112">
                  <c:v>45666</c:v>
                </c:pt>
                <c:pt idx="113">
                  <c:v>45667</c:v>
                </c:pt>
                <c:pt idx="114">
                  <c:v>45668</c:v>
                </c:pt>
                <c:pt idx="115">
                  <c:v>45669</c:v>
                </c:pt>
                <c:pt idx="116">
                  <c:v>45670</c:v>
                </c:pt>
                <c:pt idx="117">
                  <c:v>45671</c:v>
                </c:pt>
                <c:pt idx="118">
                  <c:v>45672</c:v>
                </c:pt>
                <c:pt idx="119">
                  <c:v>45673</c:v>
                </c:pt>
                <c:pt idx="120">
                  <c:v>45674</c:v>
                </c:pt>
                <c:pt idx="121">
                  <c:v>45675</c:v>
                </c:pt>
                <c:pt idx="122">
                  <c:v>45676</c:v>
                </c:pt>
                <c:pt idx="123">
                  <c:v>45677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45682</c:v>
                </c:pt>
                <c:pt idx="129">
                  <c:v>45683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45689</c:v>
                </c:pt>
                <c:pt idx="136">
                  <c:v>45690</c:v>
                </c:pt>
                <c:pt idx="137">
                  <c:v>45691</c:v>
                </c:pt>
                <c:pt idx="138">
                  <c:v>45692</c:v>
                </c:pt>
                <c:pt idx="139">
                  <c:v>45693</c:v>
                </c:pt>
                <c:pt idx="140">
                  <c:v>45694</c:v>
                </c:pt>
                <c:pt idx="141">
                  <c:v>45695</c:v>
                </c:pt>
                <c:pt idx="142">
                  <c:v>45696</c:v>
                </c:pt>
                <c:pt idx="143">
                  <c:v>45697</c:v>
                </c:pt>
                <c:pt idx="144">
                  <c:v>45698</c:v>
                </c:pt>
                <c:pt idx="145">
                  <c:v>45699</c:v>
                </c:pt>
                <c:pt idx="146">
                  <c:v>45700</c:v>
                </c:pt>
                <c:pt idx="147">
                  <c:v>45701</c:v>
                </c:pt>
                <c:pt idx="148">
                  <c:v>45702</c:v>
                </c:pt>
                <c:pt idx="149">
                  <c:v>45703</c:v>
                </c:pt>
                <c:pt idx="150">
                  <c:v>45704</c:v>
                </c:pt>
                <c:pt idx="151">
                  <c:v>45705</c:v>
                </c:pt>
                <c:pt idx="152">
                  <c:v>45706</c:v>
                </c:pt>
                <c:pt idx="153">
                  <c:v>45707</c:v>
                </c:pt>
                <c:pt idx="154">
                  <c:v>45708</c:v>
                </c:pt>
                <c:pt idx="155">
                  <c:v>45709</c:v>
                </c:pt>
                <c:pt idx="156">
                  <c:v>45710</c:v>
                </c:pt>
                <c:pt idx="157">
                  <c:v>45711</c:v>
                </c:pt>
                <c:pt idx="158">
                  <c:v>45712</c:v>
                </c:pt>
                <c:pt idx="159">
                  <c:v>45713</c:v>
                </c:pt>
                <c:pt idx="160">
                  <c:v>45714</c:v>
                </c:pt>
                <c:pt idx="161">
                  <c:v>45715</c:v>
                </c:pt>
                <c:pt idx="162">
                  <c:v>45716</c:v>
                </c:pt>
                <c:pt idx="163">
                  <c:v>45717</c:v>
                </c:pt>
                <c:pt idx="164">
                  <c:v>45718</c:v>
                </c:pt>
                <c:pt idx="165">
                  <c:v>45719</c:v>
                </c:pt>
                <c:pt idx="166">
                  <c:v>45720</c:v>
                </c:pt>
                <c:pt idx="167">
                  <c:v>45721</c:v>
                </c:pt>
                <c:pt idx="168">
                  <c:v>45722</c:v>
                </c:pt>
                <c:pt idx="169">
                  <c:v>45723</c:v>
                </c:pt>
                <c:pt idx="170">
                  <c:v>45724</c:v>
                </c:pt>
                <c:pt idx="171">
                  <c:v>45725</c:v>
                </c:pt>
                <c:pt idx="172">
                  <c:v>45726</c:v>
                </c:pt>
                <c:pt idx="173">
                  <c:v>45727</c:v>
                </c:pt>
                <c:pt idx="174">
                  <c:v>45728</c:v>
                </c:pt>
                <c:pt idx="175">
                  <c:v>45729</c:v>
                </c:pt>
                <c:pt idx="176">
                  <c:v>45730</c:v>
                </c:pt>
                <c:pt idx="177">
                  <c:v>45731</c:v>
                </c:pt>
                <c:pt idx="178">
                  <c:v>45732</c:v>
                </c:pt>
                <c:pt idx="179">
                  <c:v>45733</c:v>
                </c:pt>
                <c:pt idx="180">
                  <c:v>45734</c:v>
                </c:pt>
                <c:pt idx="181">
                  <c:v>45735</c:v>
                </c:pt>
                <c:pt idx="182">
                  <c:v>45736</c:v>
                </c:pt>
                <c:pt idx="183">
                  <c:v>45737</c:v>
                </c:pt>
                <c:pt idx="184">
                  <c:v>45738</c:v>
                </c:pt>
                <c:pt idx="185">
                  <c:v>45739</c:v>
                </c:pt>
                <c:pt idx="186">
                  <c:v>45740</c:v>
                </c:pt>
                <c:pt idx="187">
                  <c:v>45741</c:v>
                </c:pt>
                <c:pt idx="188">
                  <c:v>45742</c:v>
                </c:pt>
                <c:pt idx="189">
                  <c:v>45743</c:v>
                </c:pt>
                <c:pt idx="190">
                  <c:v>45744</c:v>
                </c:pt>
                <c:pt idx="191">
                  <c:v>45745</c:v>
                </c:pt>
                <c:pt idx="192">
                  <c:v>45746</c:v>
                </c:pt>
                <c:pt idx="193">
                  <c:v>45747</c:v>
                </c:pt>
                <c:pt idx="194">
                  <c:v>45748</c:v>
                </c:pt>
                <c:pt idx="195">
                  <c:v>45749</c:v>
                </c:pt>
                <c:pt idx="196">
                  <c:v>45750</c:v>
                </c:pt>
                <c:pt idx="197">
                  <c:v>45751</c:v>
                </c:pt>
                <c:pt idx="198">
                  <c:v>45752</c:v>
                </c:pt>
                <c:pt idx="199">
                  <c:v>45753</c:v>
                </c:pt>
                <c:pt idx="200">
                  <c:v>45754</c:v>
                </c:pt>
                <c:pt idx="201">
                  <c:v>45755</c:v>
                </c:pt>
                <c:pt idx="202">
                  <c:v>45756</c:v>
                </c:pt>
                <c:pt idx="203">
                  <c:v>45757</c:v>
                </c:pt>
                <c:pt idx="204">
                  <c:v>45758</c:v>
                </c:pt>
                <c:pt idx="205">
                  <c:v>45759</c:v>
                </c:pt>
                <c:pt idx="206">
                  <c:v>45760</c:v>
                </c:pt>
                <c:pt idx="207">
                  <c:v>45761</c:v>
                </c:pt>
                <c:pt idx="208">
                  <c:v>45762</c:v>
                </c:pt>
                <c:pt idx="209">
                  <c:v>45763</c:v>
                </c:pt>
                <c:pt idx="210">
                  <c:v>45764</c:v>
                </c:pt>
                <c:pt idx="211">
                  <c:v>45765</c:v>
                </c:pt>
                <c:pt idx="212">
                  <c:v>45766</c:v>
                </c:pt>
                <c:pt idx="213">
                  <c:v>45767</c:v>
                </c:pt>
                <c:pt idx="214">
                  <c:v>45768</c:v>
                </c:pt>
                <c:pt idx="215">
                  <c:v>45769</c:v>
                </c:pt>
                <c:pt idx="216">
                  <c:v>45770</c:v>
                </c:pt>
                <c:pt idx="217">
                  <c:v>45771</c:v>
                </c:pt>
                <c:pt idx="218">
                  <c:v>45772</c:v>
                </c:pt>
                <c:pt idx="219">
                  <c:v>45773</c:v>
                </c:pt>
                <c:pt idx="220">
                  <c:v>45774</c:v>
                </c:pt>
                <c:pt idx="221">
                  <c:v>45775</c:v>
                </c:pt>
                <c:pt idx="222">
                  <c:v>45776</c:v>
                </c:pt>
                <c:pt idx="223">
                  <c:v>45777</c:v>
                </c:pt>
                <c:pt idx="224">
                  <c:v>45778</c:v>
                </c:pt>
                <c:pt idx="225">
                  <c:v>45779</c:v>
                </c:pt>
                <c:pt idx="226">
                  <c:v>45780</c:v>
                </c:pt>
                <c:pt idx="227">
                  <c:v>45781</c:v>
                </c:pt>
                <c:pt idx="228">
                  <c:v>45782</c:v>
                </c:pt>
                <c:pt idx="229">
                  <c:v>45783</c:v>
                </c:pt>
                <c:pt idx="230">
                  <c:v>45784</c:v>
                </c:pt>
                <c:pt idx="231">
                  <c:v>45785</c:v>
                </c:pt>
                <c:pt idx="232">
                  <c:v>45786</c:v>
                </c:pt>
                <c:pt idx="233">
                  <c:v>45787</c:v>
                </c:pt>
                <c:pt idx="234">
                  <c:v>45788</c:v>
                </c:pt>
                <c:pt idx="235">
                  <c:v>45789</c:v>
                </c:pt>
                <c:pt idx="236">
                  <c:v>45790</c:v>
                </c:pt>
                <c:pt idx="237">
                  <c:v>45791</c:v>
                </c:pt>
                <c:pt idx="238">
                  <c:v>45792</c:v>
                </c:pt>
                <c:pt idx="239">
                  <c:v>45793</c:v>
                </c:pt>
                <c:pt idx="240">
                  <c:v>45794</c:v>
                </c:pt>
                <c:pt idx="241">
                  <c:v>45795</c:v>
                </c:pt>
                <c:pt idx="242">
                  <c:v>45796</c:v>
                </c:pt>
                <c:pt idx="243">
                  <c:v>45797</c:v>
                </c:pt>
                <c:pt idx="244">
                  <c:v>45798</c:v>
                </c:pt>
                <c:pt idx="245">
                  <c:v>45799</c:v>
                </c:pt>
                <c:pt idx="246">
                  <c:v>45800</c:v>
                </c:pt>
                <c:pt idx="247">
                  <c:v>45801</c:v>
                </c:pt>
                <c:pt idx="248">
                  <c:v>45802</c:v>
                </c:pt>
                <c:pt idx="249">
                  <c:v>45803</c:v>
                </c:pt>
                <c:pt idx="250">
                  <c:v>45804</c:v>
                </c:pt>
                <c:pt idx="251">
                  <c:v>45805</c:v>
                </c:pt>
                <c:pt idx="252">
                  <c:v>45806</c:v>
                </c:pt>
                <c:pt idx="253">
                  <c:v>45807</c:v>
                </c:pt>
                <c:pt idx="254">
                  <c:v>45808</c:v>
                </c:pt>
              </c:numCache>
            </c:numRef>
          </c:xVal>
          <c:yVal>
            <c:numRef>
              <c:f>'Km83+720'!$AH$11:$AH$353</c:f>
              <c:numCache>
                <c:formatCode>0</c:formatCode>
                <c:ptCount val="343"/>
                <c:pt idx="0">
                  <c:v>-5</c:v>
                </c:pt>
                <c:pt idx="1">
                  <c:v>-10</c:v>
                </c:pt>
                <c:pt idx="2">
                  <c:v>-15</c:v>
                </c:pt>
                <c:pt idx="3">
                  <c:v>-19</c:v>
                </c:pt>
                <c:pt idx="4">
                  <c:v>-28</c:v>
                </c:pt>
                <c:pt idx="5">
                  <c:v>-37</c:v>
                </c:pt>
                <c:pt idx="6">
                  <c:v>-45</c:v>
                </c:pt>
                <c:pt idx="7">
                  <c:v>-52</c:v>
                </c:pt>
                <c:pt idx="8">
                  <c:v>-61</c:v>
                </c:pt>
                <c:pt idx="9">
                  <c:v>-70</c:v>
                </c:pt>
                <c:pt idx="10">
                  <c:v>-78</c:v>
                </c:pt>
                <c:pt idx="11">
                  <c:v>-85</c:v>
                </c:pt>
                <c:pt idx="12">
                  <c:v>-90</c:v>
                </c:pt>
                <c:pt idx="13">
                  <c:v>-99</c:v>
                </c:pt>
                <c:pt idx="14">
                  <c:v>-108</c:v>
                </c:pt>
                <c:pt idx="15">
                  <c:v>-116</c:v>
                </c:pt>
                <c:pt idx="16">
                  <c:v>-123</c:v>
                </c:pt>
                <c:pt idx="17">
                  <c:v>-129</c:v>
                </c:pt>
                <c:pt idx="18">
                  <c:v>-134</c:v>
                </c:pt>
                <c:pt idx="19">
                  <c:v>-138</c:v>
                </c:pt>
                <c:pt idx="20">
                  <c:v>-143</c:v>
                </c:pt>
                <c:pt idx="21">
                  <c:v>-147</c:v>
                </c:pt>
                <c:pt idx="22">
                  <c:v>-152</c:v>
                </c:pt>
                <c:pt idx="23">
                  <c:v>-156</c:v>
                </c:pt>
                <c:pt idx="24">
                  <c:v>-160</c:v>
                </c:pt>
                <c:pt idx="25">
                  <c:v>-163</c:v>
                </c:pt>
                <c:pt idx="26">
                  <c:v>-165</c:v>
                </c:pt>
                <c:pt idx="27">
                  <c:v>-167</c:v>
                </c:pt>
                <c:pt idx="28">
                  <c:v>-169</c:v>
                </c:pt>
                <c:pt idx="29">
                  <c:v>-171</c:v>
                </c:pt>
                <c:pt idx="30">
                  <c:v>-172</c:v>
                </c:pt>
                <c:pt idx="31">
                  <c:v>-173</c:v>
                </c:pt>
                <c:pt idx="32">
                  <c:v>-174</c:v>
                </c:pt>
                <c:pt idx="33">
                  <c:v>-175</c:v>
                </c:pt>
                <c:pt idx="34">
                  <c:v>-176</c:v>
                </c:pt>
                <c:pt idx="35">
                  <c:v>-177</c:v>
                </c:pt>
                <c:pt idx="36">
                  <c:v>-178</c:v>
                </c:pt>
                <c:pt idx="37">
                  <c:v>-178</c:v>
                </c:pt>
                <c:pt idx="38">
                  <c:v>-178</c:v>
                </c:pt>
                <c:pt idx="39">
                  <c:v>-183</c:v>
                </c:pt>
                <c:pt idx="40">
                  <c:v>-188</c:v>
                </c:pt>
                <c:pt idx="41">
                  <c:v>-193</c:v>
                </c:pt>
                <c:pt idx="42">
                  <c:v>-197</c:v>
                </c:pt>
                <c:pt idx="43">
                  <c:v>-201</c:v>
                </c:pt>
                <c:pt idx="44">
                  <c:v>-202</c:v>
                </c:pt>
                <c:pt idx="45">
                  <c:v>-203</c:v>
                </c:pt>
                <c:pt idx="46">
                  <c:v>-204</c:v>
                </c:pt>
                <c:pt idx="47">
                  <c:v>-205</c:v>
                </c:pt>
                <c:pt idx="48">
                  <c:v>-206</c:v>
                </c:pt>
                <c:pt idx="49">
                  <c:v>-207</c:v>
                </c:pt>
                <c:pt idx="50">
                  <c:v>-207</c:v>
                </c:pt>
                <c:pt idx="51">
                  <c:v>-207</c:v>
                </c:pt>
                <c:pt idx="52">
                  <c:v>-209</c:v>
                </c:pt>
                <c:pt idx="53">
                  <c:v>-209</c:v>
                </c:pt>
                <c:pt idx="54">
                  <c:v>-212</c:v>
                </c:pt>
                <c:pt idx="55">
                  <c:v>-212</c:v>
                </c:pt>
                <c:pt idx="56">
                  <c:v>-215</c:v>
                </c:pt>
                <c:pt idx="57">
                  <c:v>-215</c:v>
                </c:pt>
                <c:pt idx="58">
                  <c:v>-217</c:v>
                </c:pt>
                <c:pt idx="59">
                  <c:v>-217</c:v>
                </c:pt>
                <c:pt idx="60">
                  <c:v>-220</c:v>
                </c:pt>
                <c:pt idx="61">
                  <c:v>-221</c:v>
                </c:pt>
                <c:pt idx="62">
                  <c:v>-221</c:v>
                </c:pt>
                <c:pt idx="63">
                  <c:v>-223</c:v>
                </c:pt>
                <c:pt idx="64">
                  <c:v>-223</c:v>
                </c:pt>
                <c:pt idx="65">
                  <c:v>-226</c:v>
                </c:pt>
                <c:pt idx="66">
                  <c:v>-226</c:v>
                </c:pt>
                <c:pt idx="67">
                  <c:v>-226</c:v>
                </c:pt>
                <c:pt idx="68">
                  <c:v>-229</c:v>
                </c:pt>
                <c:pt idx="69">
                  <c:v>-232</c:v>
                </c:pt>
                <c:pt idx="70">
                  <c:v>-235</c:v>
                </c:pt>
                <c:pt idx="71">
                  <c:v>-238</c:v>
                </c:pt>
                <c:pt idx="72">
                  <c:v>-240</c:v>
                </c:pt>
                <c:pt idx="73">
                  <c:v>-240</c:v>
                </c:pt>
                <c:pt idx="74">
                  <c:v>-240</c:v>
                </c:pt>
                <c:pt idx="75">
                  <c:v>-241</c:v>
                </c:pt>
                <c:pt idx="76">
                  <c:v>-242</c:v>
                </c:pt>
                <c:pt idx="77">
                  <c:v>-242</c:v>
                </c:pt>
                <c:pt idx="78">
                  <c:v>-243</c:v>
                </c:pt>
                <c:pt idx="79">
                  <c:v>-246</c:v>
                </c:pt>
                <c:pt idx="80">
                  <c:v>-247</c:v>
                </c:pt>
                <c:pt idx="81">
                  <c:v>-249</c:v>
                </c:pt>
                <c:pt idx="82">
                  <c:v>-249</c:v>
                </c:pt>
                <c:pt idx="83">
                  <c:v>-252</c:v>
                </c:pt>
                <c:pt idx="84">
                  <c:v>-252</c:v>
                </c:pt>
                <c:pt idx="85">
                  <c:v>-252</c:v>
                </c:pt>
                <c:pt idx="86">
                  <c:v>-253</c:v>
                </c:pt>
                <c:pt idx="87">
                  <c:v>-254</c:v>
                </c:pt>
                <c:pt idx="88">
                  <c:v>-254</c:v>
                </c:pt>
                <c:pt idx="89">
                  <c:v>-254</c:v>
                </c:pt>
                <c:pt idx="90">
                  <c:v>-258</c:v>
                </c:pt>
                <c:pt idx="91">
                  <c:v>-260</c:v>
                </c:pt>
                <c:pt idx="92">
                  <c:v>-260</c:v>
                </c:pt>
                <c:pt idx="93">
                  <c:v>-260</c:v>
                </c:pt>
                <c:pt idx="94">
                  <c:v>-260</c:v>
                </c:pt>
                <c:pt idx="95">
                  <c:v>-262</c:v>
                </c:pt>
                <c:pt idx="96">
                  <c:v>-262</c:v>
                </c:pt>
                <c:pt idx="97">
                  <c:v>-262</c:v>
                </c:pt>
                <c:pt idx="98">
                  <c:v>-265</c:v>
                </c:pt>
                <c:pt idx="99">
                  <c:v>-269</c:v>
                </c:pt>
                <c:pt idx="100">
                  <c:v>-271</c:v>
                </c:pt>
                <c:pt idx="101">
                  <c:v>-271</c:v>
                </c:pt>
                <c:pt idx="102">
                  <c:v>-271</c:v>
                </c:pt>
                <c:pt idx="103">
                  <c:v>-271</c:v>
                </c:pt>
                <c:pt idx="104">
                  <c:v>-271</c:v>
                </c:pt>
                <c:pt idx="105">
                  <c:v>-274</c:v>
                </c:pt>
                <c:pt idx="106">
                  <c:v>-274</c:v>
                </c:pt>
                <c:pt idx="107">
                  <c:v>-278</c:v>
                </c:pt>
                <c:pt idx="108">
                  <c:v>-278</c:v>
                </c:pt>
                <c:pt idx="109">
                  <c:v>-278</c:v>
                </c:pt>
                <c:pt idx="110">
                  <c:v>-280</c:v>
                </c:pt>
                <c:pt idx="111">
                  <c:v>-280</c:v>
                </c:pt>
                <c:pt idx="112">
                  <c:v>-281</c:v>
                </c:pt>
                <c:pt idx="113">
                  <c:v>-282</c:v>
                </c:pt>
                <c:pt idx="114">
                  <c:v>-285</c:v>
                </c:pt>
                <c:pt idx="115">
                  <c:v>-289</c:v>
                </c:pt>
                <c:pt idx="116">
                  <c:v>-289</c:v>
                </c:pt>
                <c:pt idx="117">
                  <c:v>-289</c:v>
                </c:pt>
                <c:pt idx="118">
                  <c:v>-293</c:v>
                </c:pt>
                <c:pt idx="119">
                  <c:v>-293</c:v>
                </c:pt>
                <c:pt idx="120">
                  <c:v>-293</c:v>
                </c:pt>
                <c:pt idx="121">
                  <c:v>-293</c:v>
                </c:pt>
                <c:pt idx="122">
                  <c:v>-295</c:v>
                </c:pt>
                <c:pt idx="123">
                  <c:v>-295</c:v>
                </c:pt>
                <c:pt idx="124">
                  <c:v>-295</c:v>
                </c:pt>
                <c:pt idx="125">
                  <c:v>-296</c:v>
                </c:pt>
                <c:pt idx="126">
                  <c:v>-297</c:v>
                </c:pt>
                <c:pt idx="127">
                  <c:v>-301</c:v>
                </c:pt>
                <c:pt idx="128">
                  <c:v>-302</c:v>
                </c:pt>
                <c:pt idx="129">
                  <c:v>-302</c:v>
                </c:pt>
                <c:pt idx="130">
                  <c:v>-303</c:v>
                </c:pt>
                <c:pt idx="131">
                  <c:v>-305</c:v>
                </c:pt>
                <c:pt idx="132">
                  <c:v>-307</c:v>
                </c:pt>
                <c:pt idx="133">
                  <c:v>-308</c:v>
                </c:pt>
                <c:pt idx="134">
                  <c:v>-308</c:v>
                </c:pt>
                <c:pt idx="135">
                  <c:v>-308</c:v>
                </c:pt>
                <c:pt idx="136">
                  <c:v>-308</c:v>
                </c:pt>
                <c:pt idx="137">
                  <c:v>-308</c:v>
                </c:pt>
                <c:pt idx="138">
                  <c:v>-308</c:v>
                </c:pt>
                <c:pt idx="139">
                  <c:v>-309</c:v>
                </c:pt>
                <c:pt idx="140">
                  <c:v>-309</c:v>
                </c:pt>
                <c:pt idx="141">
                  <c:v>-309</c:v>
                </c:pt>
                <c:pt idx="142">
                  <c:v>-309</c:v>
                </c:pt>
                <c:pt idx="143">
                  <c:v>-311</c:v>
                </c:pt>
                <c:pt idx="144">
                  <c:v>-311</c:v>
                </c:pt>
                <c:pt idx="145">
                  <c:v>-315</c:v>
                </c:pt>
                <c:pt idx="146">
                  <c:v>-318</c:v>
                </c:pt>
                <c:pt idx="147">
                  <c:v>-318</c:v>
                </c:pt>
                <c:pt idx="148">
                  <c:v>-322</c:v>
                </c:pt>
                <c:pt idx="149">
                  <c:v>-322</c:v>
                </c:pt>
                <c:pt idx="150">
                  <c:v>-325</c:v>
                </c:pt>
                <c:pt idx="151">
                  <c:v>-326</c:v>
                </c:pt>
                <c:pt idx="152">
                  <c:v>-328</c:v>
                </c:pt>
                <c:pt idx="153">
                  <c:v>-328</c:v>
                </c:pt>
                <c:pt idx="154">
                  <c:v>-329</c:v>
                </c:pt>
                <c:pt idx="155">
                  <c:v>-329</c:v>
                </c:pt>
                <c:pt idx="156">
                  <c:v>-330</c:v>
                </c:pt>
                <c:pt idx="157">
                  <c:v>-332</c:v>
                </c:pt>
                <c:pt idx="158">
                  <c:v>-332</c:v>
                </c:pt>
                <c:pt idx="159">
                  <c:v>-334</c:v>
                </c:pt>
                <c:pt idx="160">
                  <c:v>-334</c:v>
                </c:pt>
                <c:pt idx="161">
                  <c:v>-334</c:v>
                </c:pt>
                <c:pt idx="162">
                  <c:v>-340</c:v>
                </c:pt>
                <c:pt idx="163">
                  <c:v>-346</c:v>
                </c:pt>
                <c:pt idx="164">
                  <c:v>-352</c:v>
                </c:pt>
                <c:pt idx="165">
                  <c:v>-359</c:v>
                </c:pt>
                <c:pt idx="166">
                  <c:v>-366</c:v>
                </c:pt>
                <c:pt idx="167">
                  <c:v>-371</c:v>
                </c:pt>
                <c:pt idx="168">
                  <c:v>-377</c:v>
                </c:pt>
                <c:pt idx="169">
                  <c:v>-382</c:v>
                </c:pt>
                <c:pt idx="170">
                  <c:v>-388</c:v>
                </c:pt>
                <c:pt idx="171">
                  <c:v>-393</c:v>
                </c:pt>
                <c:pt idx="172">
                  <c:v>-397</c:v>
                </c:pt>
                <c:pt idx="173">
                  <c:v>-403</c:v>
                </c:pt>
                <c:pt idx="174">
                  <c:v>-409</c:v>
                </c:pt>
                <c:pt idx="175">
                  <c:v>-413</c:v>
                </c:pt>
                <c:pt idx="176">
                  <c:v>-418</c:v>
                </c:pt>
                <c:pt idx="177">
                  <c:v>-425</c:v>
                </c:pt>
                <c:pt idx="178">
                  <c:v>-430</c:v>
                </c:pt>
                <c:pt idx="179">
                  <c:v>-434</c:v>
                </c:pt>
                <c:pt idx="180">
                  <c:v>-437</c:v>
                </c:pt>
                <c:pt idx="181">
                  <c:v>-442</c:v>
                </c:pt>
                <c:pt idx="182">
                  <c:v>-446</c:v>
                </c:pt>
                <c:pt idx="183">
                  <c:v>-450</c:v>
                </c:pt>
                <c:pt idx="184">
                  <c:v>-454</c:v>
                </c:pt>
                <c:pt idx="185">
                  <c:v>-458</c:v>
                </c:pt>
                <c:pt idx="186">
                  <c:v>-463</c:v>
                </c:pt>
                <c:pt idx="187">
                  <c:v>-467</c:v>
                </c:pt>
                <c:pt idx="188">
                  <c:v>-471</c:v>
                </c:pt>
                <c:pt idx="189">
                  <c:v>-476</c:v>
                </c:pt>
                <c:pt idx="190">
                  <c:v>-480</c:v>
                </c:pt>
                <c:pt idx="191">
                  <c:v>-485</c:v>
                </c:pt>
                <c:pt idx="192">
                  <c:v>-490</c:v>
                </c:pt>
                <c:pt idx="193">
                  <c:v>-493</c:v>
                </c:pt>
                <c:pt idx="194">
                  <c:v>-497</c:v>
                </c:pt>
                <c:pt idx="195">
                  <c:v>-501</c:v>
                </c:pt>
                <c:pt idx="196">
                  <c:v>-505</c:v>
                </c:pt>
                <c:pt idx="197">
                  <c:v>-509</c:v>
                </c:pt>
                <c:pt idx="198">
                  <c:v>-514</c:v>
                </c:pt>
                <c:pt idx="199">
                  <c:v>-518</c:v>
                </c:pt>
                <c:pt idx="200">
                  <c:v>-522</c:v>
                </c:pt>
                <c:pt idx="201">
                  <c:v>-527</c:v>
                </c:pt>
                <c:pt idx="202">
                  <c:v>-531</c:v>
                </c:pt>
                <c:pt idx="203">
                  <c:v>-535</c:v>
                </c:pt>
                <c:pt idx="204">
                  <c:v>-540</c:v>
                </c:pt>
                <c:pt idx="205">
                  <c:v>-544</c:v>
                </c:pt>
                <c:pt idx="206">
                  <c:v>-549</c:v>
                </c:pt>
                <c:pt idx="207">
                  <c:v>-552</c:v>
                </c:pt>
                <c:pt idx="208">
                  <c:v>-555</c:v>
                </c:pt>
                <c:pt idx="209">
                  <c:v>-559</c:v>
                </c:pt>
                <c:pt idx="210">
                  <c:v>-563</c:v>
                </c:pt>
                <c:pt idx="211">
                  <c:v>-567</c:v>
                </c:pt>
                <c:pt idx="212">
                  <c:v>-572</c:v>
                </c:pt>
                <c:pt idx="213">
                  <c:v>-575</c:v>
                </c:pt>
                <c:pt idx="214">
                  <c:v>-579</c:v>
                </c:pt>
                <c:pt idx="215">
                  <c:v>-583</c:v>
                </c:pt>
                <c:pt idx="216">
                  <c:v>-586</c:v>
                </c:pt>
                <c:pt idx="217">
                  <c:v>-588</c:v>
                </c:pt>
                <c:pt idx="218">
                  <c:v>-593</c:v>
                </c:pt>
                <c:pt idx="219">
                  <c:v>-596</c:v>
                </c:pt>
                <c:pt idx="220">
                  <c:v>-598</c:v>
                </c:pt>
                <c:pt idx="221">
                  <c:v>-601</c:v>
                </c:pt>
                <c:pt idx="222">
                  <c:v>-603</c:v>
                </c:pt>
                <c:pt idx="223">
                  <c:v>-606</c:v>
                </c:pt>
                <c:pt idx="224">
                  <c:v>-608</c:v>
                </c:pt>
                <c:pt idx="225">
                  <c:v>-611</c:v>
                </c:pt>
                <c:pt idx="226">
                  <c:v>-616</c:v>
                </c:pt>
                <c:pt idx="227">
                  <c:v>-618</c:v>
                </c:pt>
                <c:pt idx="228">
                  <c:v>-621</c:v>
                </c:pt>
                <c:pt idx="229">
                  <c:v>-624</c:v>
                </c:pt>
                <c:pt idx="230">
                  <c:v>-626</c:v>
                </c:pt>
                <c:pt idx="231">
                  <c:v>-629</c:v>
                </c:pt>
                <c:pt idx="232">
                  <c:v>-632</c:v>
                </c:pt>
                <c:pt idx="233">
                  <c:v>-635</c:v>
                </c:pt>
                <c:pt idx="234">
                  <c:v>-637</c:v>
                </c:pt>
                <c:pt idx="235">
                  <c:v>-640</c:v>
                </c:pt>
                <c:pt idx="236">
                  <c:v>-643</c:v>
                </c:pt>
                <c:pt idx="237">
                  <c:v>-646</c:v>
                </c:pt>
                <c:pt idx="238">
                  <c:v>-649</c:v>
                </c:pt>
                <c:pt idx="239">
                  <c:v>-651</c:v>
                </c:pt>
                <c:pt idx="240">
                  <c:v>-654</c:v>
                </c:pt>
                <c:pt idx="241">
                  <c:v>-657</c:v>
                </c:pt>
                <c:pt idx="242">
                  <c:v>-659</c:v>
                </c:pt>
                <c:pt idx="243">
                  <c:v>-661</c:v>
                </c:pt>
                <c:pt idx="244">
                  <c:v>-664</c:v>
                </c:pt>
                <c:pt idx="245">
                  <c:v>-667</c:v>
                </c:pt>
                <c:pt idx="246">
                  <c:v>-670</c:v>
                </c:pt>
                <c:pt idx="247">
                  <c:v>-672</c:v>
                </c:pt>
                <c:pt idx="248">
                  <c:v>-674</c:v>
                </c:pt>
                <c:pt idx="249">
                  <c:v>-677</c:v>
                </c:pt>
                <c:pt idx="250">
                  <c:v>-680</c:v>
                </c:pt>
                <c:pt idx="251">
                  <c:v>-682</c:v>
                </c:pt>
                <c:pt idx="252">
                  <c:v>-685</c:v>
                </c:pt>
                <c:pt idx="253">
                  <c:v>-688</c:v>
                </c:pt>
                <c:pt idx="254">
                  <c:v>-691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F8-45B8-8B82-A53869154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475200"/>
        <c:axId val="586475776"/>
      </c:scatterChart>
      <c:scatterChart>
        <c:scatterStyle val="lineMarker"/>
        <c:varyColors val="0"/>
        <c:ser>
          <c:idx val="0"/>
          <c:order val="0"/>
          <c:tx>
            <c:strRef>
              <c:f>'Km83+720'!$AJ$8:$AJ$9</c:f>
              <c:strCache>
                <c:ptCount val="2"/>
                <c:pt idx="0">
                  <c:v>Cao độ nền đường</c:v>
                </c:pt>
              </c:strCache>
            </c:strRef>
          </c:tx>
          <c:marker>
            <c:symbol val="diamond"/>
            <c:size val="2"/>
            <c:spPr>
              <a:solidFill>
                <a:srgbClr val="000080"/>
              </a:solidFill>
              <a:ln w="12700">
                <a:solidFill>
                  <a:srgbClr val="000080"/>
                </a:solidFill>
                <a:prstDash val="solid"/>
              </a:ln>
            </c:spPr>
          </c:marker>
          <c:xVal>
            <c:numRef>
              <c:f>'Km83+720'!$B$11:$B$350</c:f>
              <c:numCache>
                <c:formatCode>[$-1010000]d/m/yyyy;@</c:formatCode>
                <c:ptCount val="340"/>
                <c:pt idx="0">
                  <c:v>45554</c:v>
                </c:pt>
                <c:pt idx="1">
                  <c:v>45555</c:v>
                </c:pt>
                <c:pt idx="2">
                  <c:v>45556</c:v>
                </c:pt>
                <c:pt idx="3">
                  <c:v>45557</c:v>
                </c:pt>
                <c:pt idx="4">
                  <c:v>45558</c:v>
                </c:pt>
                <c:pt idx="5">
                  <c:v>45559</c:v>
                </c:pt>
                <c:pt idx="6">
                  <c:v>45560</c:v>
                </c:pt>
                <c:pt idx="7">
                  <c:v>45561</c:v>
                </c:pt>
                <c:pt idx="8">
                  <c:v>45562</c:v>
                </c:pt>
                <c:pt idx="9">
                  <c:v>45563</c:v>
                </c:pt>
                <c:pt idx="10">
                  <c:v>45564</c:v>
                </c:pt>
                <c:pt idx="11">
                  <c:v>45565</c:v>
                </c:pt>
                <c:pt idx="12">
                  <c:v>45566</c:v>
                </c:pt>
                <c:pt idx="13">
                  <c:v>45567</c:v>
                </c:pt>
                <c:pt idx="14">
                  <c:v>45568</c:v>
                </c:pt>
                <c:pt idx="15">
                  <c:v>45569</c:v>
                </c:pt>
                <c:pt idx="16">
                  <c:v>45570</c:v>
                </c:pt>
                <c:pt idx="17">
                  <c:v>45571</c:v>
                </c:pt>
                <c:pt idx="18">
                  <c:v>45572</c:v>
                </c:pt>
                <c:pt idx="19">
                  <c:v>45573</c:v>
                </c:pt>
                <c:pt idx="20">
                  <c:v>45574</c:v>
                </c:pt>
                <c:pt idx="21">
                  <c:v>45575</c:v>
                </c:pt>
                <c:pt idx="22">
                  <c:v>45576</c:v>
                </c:pt>
                <c:pt idx="23">
                  <c:v>45577</c:v>
                </c:pt>
                <c:pt idx="24">
                  <c:v>45578</c:v>
                </c:pt>
                <c:pt idx="25">
                  <c:v>45579</c:v>
                </c:pt>
                <c:pt idx="26">
                  <c:v>45580</c:v>
                </c:pt>
                <c:pt idx="27">
                  <c:v>45581</c:v>
                </c:pt>
                <c:pt idx="28">
                  <c:v>45582</c:v>
                </c:pt>
                <c:pt idx="29">
                  <c:v>45583</c:v>
                </c:pt>
                <c:pt idx="30">
                  <c:v>45584</c:v>
                </c:pt>
                <c:pt idx="31">
                  <c:v>45585</c:v>
                </c:pt>
                <c:pt idx="32">
                  <c:v>45586</c:v>
                </c:pt>
                <c:pt idx="33">
                  <c:v>45587</c:v>
                </c:pt>
                <c:pt idx="34">
                  <c:v>45588</c:v>
                </c:pt>
                <c:pt idx="35">
                  <c:v>45589</c:v>
                </c:pt>
                <c:pt idx="36">
                  <c:v>45590</c:v>
                </c:pt>
                <c:pt idx="37">
                  <c:v>45591</c:v>
                </c:pt>
                <c:pt idx="38">
                  <c:v>45592</c:v>
                </c:pt>
                <c:pt idx="39">
                  <c:v>45593</c:v>
                </c:pt>
                <c:pt idx="40">
                  <c:v>45594</c:v>
                </c:pt>
                <c:pt idx="41">
                  <c:v>45595</c:v>
                </c:pt>
                <c:pt idx="42">
                  <c:v>45596</c:v>
                </c:pt>
                <c:pt idx="43">
                  <c:v>45597</c:v>
                </c:pt>
                <c:pt idx="44">
                  <c:v>45598</c:v>
                </c:pt>
                <c:pt idx="45">
                  <c:v>45599</c:v>
                </c:pt>
                <c:pt idx="46">
                  <c:v>45600</c:v>
                </c:pt>
                <c:pt idx="47">
                  <c:v>45601</c:v>
                </c:pt>
                <c:pt idx="48">
                  <c:v>45602</c:v>
                </c:pt>
                <c:pt idx="49">
                  <c:v>45603</c:v>
                </c:pt>
                <c:pt idx="50">
                  <c:v>45604</c:v>
                </c:pt>
                <c:pt idx="51">
                  <c:v>45605</c:v>
                </c:pt>
                <c:pt idx="52">
                  <c:v>45606</c:v>
                </c:pt>
                <c:pt idx="53">
                  <c:v>45607</c:v>
                </c:pt>
                <c:pt idx="54">
                  <c:v>45608</c:v>
                </c:pt>
                <c:pt idx="55">
                  <c:v>45609</c:v>
                </c:pt>
                <c:pt idx="56">
                  <c:v>45610</c:v>
                </c:pt>
                <c:pt idx="57">
                  <c:v>45611</c:v>
                </c:pt>
                <c:pt idx="58">
                  <c:v>45612</c:v>
                </c:pt>
                <c:pt idx="59">
                  <c:v>45613</c:v>
                </c:pt>
                <c:pt idx="60">
                  <c:v>45614</c:v>
                </c:pt>
                <c:pt idx="61">
                  <c:v>45615</c:v>
                </c:pt>
                <c:pt idx="62">
                  <c:v>45616</c:v>
                </c:pt>
                <c:pt idx="63">
                  <c:v>45617</c:v>
                </c:pt>
                <c:pt idx="64">
                  <c:v>45618</c:v>
                </c:pt>
                <c:pt idx="65">
                  <c:v>45619</c:v>
                </c:pt>
                <c:pt idx="66">
                  <c:v>45620</c:v>
                </c:pt>
                <c:pt idx="67">
                  <c:v>45621</c:v>
                </c:pt>
                <c:pt idx="68">
                  <c:v>45622</c:v>
                </c:pt>
                <c:pt idx="69">
                  <c:v>45623</c:v>
                </c:pt>
                <c:pt idx="70">
                  <c:v>45624</c:v>
                </c:pt>
                <c:pt idx="71">
                  <c:v>45625</c:v>
                </c:pt>
                <c:pt idx="72">
                  <c:v>45626</c:v>
                </c:pt>
                <c:pt idx="73">
                  <c:v>45627</c:v>
                </c:pt>
                <c:pt idx="74">
                  <c:v>45628</c:v>
                </c:pt>
                <c:pt idx="75">
                  <c:v>45629</c:v>
                </c:pt>
                <c:pt idx="76">
                  <c:v>45630</c:v>
                </c:pt>
                <c:pt idx="77">
                  <c:v>45631</c:v>
                </c:pt>
                <c:pt idx="78">
                  <c:v>45632</c:v>
                </c:pt>
                <c:pt idx="79">
                  <c:v>45633</c:v>
                </c:pt>
                <c:pt idx="80">
                  <c:v>45634</c:v>
                </c:pt>
                <c:pt idx="81">
                  <c:v>45635</c:v>
                </c:pt>
                <c:pt idx="82">
                  <c:v>45636</c:v>
                </c:pt>
                <c:pt idx="83">
                  <c:v>45637</c:v>
                </c:pt>
                <c:pt idx="84">
                  <c:v>45638</c:v>
                </c:pt>
                <c:pt idx="85">
                  <c:v>45639</c:v>
                </c:pt>
                <c:pt idx="86">
                  <c:v>45640</c:v>
                </c:pt>
                <c:pt idx="87">
                  <c:v>45641</c:v>
                </c:pt>
                <c:pt idx="88">
                  <c:v>45642</c:v>
                </c:pt>
                <c:pt idx="89">
                  <c:v>45643</c:v>
                </c:pt>
                <c:pt idx="90">
                  <c:v>45644</c:v>
                </c:pt>
                <c:pt idx="91">
                  <c:v>45645</c:v>
                </c:pt>
                <c:pt idx="92">
                  <c:v>45646</c:v>
                </c:pt>
                <c:pt idx="93">
                  <c:v>45647</c:v>
                </c:pt>
                <c:pt idx="94">
                  <c:v>45648</c:v>
                </c:pt>
                <c:pt idx="95">
                  <c:v>45649</c:v>
                </c:pt>
                <c:pt idx="96">
                  <c:v>45650</c:v>
                </c:pt>
                <c:pt idx="97">
                  <c:v>45651</c:v>
                </c:pt>
                <c:pt idx="98">
                  <c:v>45652</c:v>
                </c:pt>
                <c:pt idx="99">
                  <c:v>45653</c:v>
                </c:pt>
                <c:pt idx="100">
                  <c:v>45654</c:v>
                </c:pt>
                <c:pt idx="101">
                  <c:v>45655</c:v>
                </c:pt>
                <c:pt idx="102">
                  <c:v>45656</c:v>
                </c:pt>
                <c:pt idx="103">
                  <c:v>45657</c:v>
                </c:pt>
                <c:pt idx="104">
                  <c:v>45658</c:v>
                </c:pt>
                <c:pt idx="105">
                  <c:v>45659</c:v>
                </c:pt>
                <c:pt idx="106">
                  <c:v>45660</c:v>
                </c:pt>
                <c:pt idx="107">
                  <c:v>45661</c:v>
                </c:pt>
                <c:pt idx="108">
                  <c:v>45662</c:v>
                </c:pt>
                <c:pt idx="109">
                  <c:v>45663</c:v>
                </c:pt>
                <c:pt idx="110">
                  <c:v>45664</c:v>
                </c:pt>
                <c:pt idx="111">
                  <c:v>45665</c:v>
                </c:pt>
                <c:pt idx="112">
                  <c:v>45666</c:v>
                </c:pt>
                <c:pt idx="113">
                  <c:v>45667</c:v>
                </c:pt>
                <c:pt idx="114">
                  <c:v>45668</c:v>
                </c:pt>
                <c:pt idx="115">
                  <c:v>45669</c:v>
                </c:pt>
                <c:pt idx="116">
                  <c:v>45670</c:v>
                </c:pt>
                <c:pt idx="117">
                  <c:v>45671</c:v>
                </c:pt>
                <c:pt idx="118">
                  <c:v>45672</c:v>
                </c:pt>
                <c:pt idx="119">
                  <c:v>45673</c:v>
                </c:pt>
                <c:pt idx="120">
                  <c:v>45674</c:v>
                </c:pt>
                <c:pt idx="121">
                  <c:v>45675</c:v>
                </c:pt>
                <c:pt idx="122">
                  <c:v>45676</c:v>
                </c:pt>
                <c:pt idx="123">
                  <c:v>45677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45682</c:v>
                </c:pt>
                <c:pt idx="129">
                  <c:v>45683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45689</c:v>
                </c:pt>
                <c:pt idx="136">
                  <c:v>45690</c:v>
                </c:pt>
                <c:pt idx="137">
                  <c:v>45691</c:v>
                </c:pt>
                <c:pt idx="138">
                  <c:v>45692</c:v>
                </c:pt>
                <c:pt idx="139">
                  <c:v>45693</c:v>
                </c:pt>
                <c:pt idx="140">
                  <c:v>45694</c:v>
                </c:pt>
                <c:pt idx="141">
                  <c:v>45695</c:v>
                </c:pt>
                <c:pt idx="142">
                  <c:v>45696</c:v>
                </c:pt>
                <c:pt idx="143">
                  <c:v>45697</c:v>
                </c:pt>
                <c:pt idx="144">
                  <c:v>45698</c:v>
                </c:pt>
                <c:pt idx="145">
                  <c:v>45699</c:v>
                </c:pt>
                <c:pt idx="146">
                  <c:v>45700</c:v>
                </c:pt>
                <c:pt idx="147">
                  <c:v>45701</c:v>
                </c:pt>
                <c:pt idx="148">
                  <c:v>45702</c:v>
                </c:pt>
                <c:pt idx="149">
                  <c:v>45703</c:v>
                </c:pt>
                <c:pt idx="150">
                  <c:v>45704</c:v>
                </c:pt>
                <c:pt idx="151">
                  <c:v>45705</c:v>
                </c:pt>
                <c:pt idx="152">
                  <c:v>45706</c:v>
                </c:pt>
                <c:pt idx="153">
                  <c:v>45707</c:v>
                </c:pt>
                <c:pt idx="154">
                  <c:v>45708</c:v>
                </c:pt>
                <c:pt idx="155">
                  <c:v>45709</c:v>
                </c:pt>
                <c:pt idx="156">
                  <c:v>45710</c:v>
                </c:pt>
                <c:pt idx="157">
                  <c:v>45711</c:v>
                </c:pt>
                <c:pt idx="158">
                  <c:v>45712</c:v>
                </c:pt>
                <c:pt idx="159">
                  <c:v>45713</c:v>
                </c:pt>
                <c:pt idx="160">
                  <c:v>45714</c:v>
                </c:pt>
                <c:pt idx="161">
                  <c:v>45715</c:v>
                </c:pt>
                <c:pt idx="162">
                  <c:v>45716</c:v>
                </c:pt>
                <c:pt idx="163">
                  <c:v>45717</c:v>
                </c:pt>
                <c:pt idx="164">
                  <c:v>45718</c:v>
                </c:pt>
                <c:pt idx="165">
                  <c:v>45719</c:v>
                </c:pt>
                <c:pt idx="166">
                  <c:v>45720</c:v>
                </c:pt>
                <c:pt idx="167">
                  <c:v>45721</c:v>
                </c:pt>
                <c:pt idx="168">
                  <c:v>45722</c:v>
                </c:pt>
                <c:pt idx="169">
                  <c:v>45723</c:v>
                </c:pt>
                <c:pt idx="170">
                  <c:v>45724</c:v>
                </c:pt>
                <c:pt idx="171">
                  <c:v>45725</c:v>
                </c:pt>
                <c:pt idx="172">
                  <c:v>45726</c:v>
                </c:pt>
                <c:pt idx="173">
                  <c:v>45727</c:v>
                </c:pt>
                <c:pt idx="174">
                  <c:v>45728</c:v>
                </c:pt>
                <c:pt idx="175">
                  <c:v>45729</c:v>
                </c:pt>
                <c:pt idx="176">
                  <c:v>45730</c:v>
                </c:pt>
                <c:pt idx="177">
                  <c:v>45731</c:v>
                </c:pt>
                <c:pt idx="178">
                  <c:v>45732</c:v>
                </c:pt>
                <c:pt idx="179">
                  <c:v>45733</c:v>
                </c:pt>
                <c:pt idx="180">
                  <c:v>45734</c:v>
                </c:pt>
                <c:pt idx="181">
                  <c:v>45735</c:v>
                </c:pt>
                <c:pt idx="182">
                  <c:v>45736</c:v>
                </c:pt>
                <c:pt idx="183">
                  <c:v>45737</c:v>
                </c:pt>
                <c:pt idx="184">
                  <c:v>45738</c:v>
                </c:pt>
                <c:pt idx="185">
                  <c:v>45739</c:v>
                </c:pt>
                <c:pt idx="186">
                  <c:v>45740</c:v>
                </c:pt>
                <c:pt idx="187">
                  <c:v>45741</c:v>
                </c:pt>
                <c:pt idx="188">
                  <c:v>45742</c:v>
                </c:pt>
                <c:pt idx="189">
                  <c:v>45743</c:v>
                </c:pt>
                <c:pt idx="190">
                  <c:v>45744</c:v>
                </c:pt>
                <c:pt idx="191">
                  <c:v>45745</c:v>
                </c:pt>
                <c:pt idx="192">
                  <c:v>45746</c:v>
                </c:pt>
                <c:pt idx="193">
                  <c:v>45747</c:v>
                </c:pt>
                <c:pt idx="194">
                  <c:v>45748</c:v>
                </c:pt>
                <c:pt idx="195">
                  <c:v>45749</c:v>
                </c:pt>
                <c:pt idx="196">
                  <c:v>45750</c:v>
                </c:pt>
                <c:pt idx="197">
                  <c:v>45751</c:v>
                </c:pt>
                <c:pt idx="198">
                  <c:v>45752</c:v>
                </c:pt>
                <c:pt idx="199">
                  <c:v>45753</c:v>
                </c:pt>
                <c:pt idx="200">
                  <c:v>45754</c:v>
                </c:pt>
                <c:pt idx="201">
                  <c:v>45755</c:v>
                </c:pt>
                <c:pt idx="202">
                  <c:v>45756</c:v>
                </c:pt>
                <c:pt idx="203">
                  <c:v>45757</c:v>
                </c:pt>
                <c:pt idx="204">
                  <c:v>45758</c:v>
                </c:pt>
                <c:pt idx="205">
                  <c:v>45759</c:v>
                </c:pt>
                <c:pt idx="206">
                  <c:v>45760</c:v>
                </c:pt>
                <c:pt idx="207">
                  <c:v>45761</c:v>
                </c:pt>
                <c:pt idx="208">
                  <c:v>45762</c:v>
                </c:pt>
                <c:pt idx="209">
                  <c:v>45763</c:v>
                </c:pt>
                <c:pt idx="210">
                  <c:v>45764</c:v>
                </c:pt>
                <c:pt idx="211">
                  <c:v>45765</c:v>
                </c:pt>
                <c:pt idx="212">
                  <c:v>45766</c:v>
                </c:pt>
                <c:pt idx="213">
                  <c:v>45767</c:v>
                </c:pt>
                <c:pt idx="214">
                  <c:v>45768</c:v>
                </c:pt>
                <c:pt idx="215">
                  <c:v>45769</c:v>
                </c:pt>
                <c:pt idx="216">
                  <c:v>45770</c:v>
                </c:pt>
                <c:pt idx="217">
                  <c:v>45771</c:v>
                </c:pt>
                <c:pt idx="218">
                  <c:v>45772</c:v>
                </c:pt>
                <c:pt idx="219">
                  <c:v>45773</c:v>
                </c:pt>
                <c:pt idx="220">
                  <c:v>45774</c:v>
                </c:pt>
                <c:pt idx="221">
                  <c:v>45775</c:v>
                </c:pt>
                <c:pt idx="222">
                  <c:v>45776</c:v>
                </c:pt>
                <c:pt idx="223">
                  <c:v>45777</c:v>
                </c:pt>
                <c:pt idx="224">
                  <c:v>45778</c:v>
                </c:pt>
                <c:pt idx="225">
                  <c:v>45779</c:v>
                </c:pt>
                <c:pt idx="226">
                  <c:v>45780</c:v>
                </c:pt>
                <c:pt idx="227">
                  <c:v>45781</c:v>
                </c:pt>
                <c:pt idx="228">
                  <c:v>45782</c:v>
                </c:pt>
                <c:pt idx="229">
                  <c:v>45783</c:v>
                </c:pt>
                <c:pt idx="230">
                  <c:v>45784</c:v>
                </c:pt>
                <c:pt idx="231">
                  <c:v>45785</c:v>
                </c:pt>
                <c:pt idx="232">
                  <c:v>45786</c:v>
                </c:pt>
                <c:pt idx="233">
                  <c:v>45787</c:v>
                </c:pt>
                <c:pt idx="234">
                  <c:v>45788</c:v>
                </c:pt>
                <c:pt idx="235">
                  <c:v>45789</c:v>
                </c:pt>
                <c:pt idx="236">
                  <c:v>45790</c:v>
                </c:pt>
                <c:pt idx="237">
                  <c:v>45791</c:v>
                </c:pt>
                <c:pt idx="238">
                  <c:v>45792</c:v>
                </c:pt>
                <c:pt idx="239">
                  <c:v>45793</c:v>
                </c:pt>
                <c:pt idx="240">
                  <c:v>45794</c:v>
                </c:pt>
                <c:pt idx="241">
                  <c:v>45795</c:v>
                </c:pt>
                <c:pt idx="242">
                  <c:v>45796</c:v>
                </c:pt>
                <c:pt idx="243">
                  <c:v>45797</c:v>
                </c:pt>
                <c:pt idx="244">
                  <c:v>45798</c:v>
                </c:pt>
                <c:pt idx="245">
                  <c:v>45799</c:v>
                </c:pt>
                <c:pt idx="246">
                  <c:v>45800</c:v>
                </c:pt>
                <c:pt idx="247">
                  <c:v>45801</c:v>
                </c:pt>
                <c:pt idx="248">
                  <c:v>45802</c:v>
                </c:pt>
                <c:pt idx="249">
                  <c:v>45803</c:v>
                </c:pt>
                <c:pt idx="250">
                  <c:v>45804</c:v>
                </c:pt>
                <c:pt idx="251">
                  <c:v>45805</c:v>
                </c:pt>
                <c:pt idx="252">
                  <c:v>45806</c:v>
                </c:pt>
                <c:pt idx="253">
                  <c:v>45807</c:v>
                </c:pt>
                <c:pt idx="254">
                  <c:v>45808</c:v>
                </c:pt>
              </c:numCache>
            </c:numRef>
          </c:xVal>
          <c:yVal>
            <c:numRef>
              <c:f>'Km83+720'!$AJ$11:$AJ$350</c:f>
              <c:numCache>
                <c:formatCode>0.000</c:formatCode>
                <c:ptCount val="340"/>
                <c:pt idx="0">
                  <c:v>1.9530000000000001</c:v>
                </c:pt>
                <c:pt idx="1">
                  <c:v>1.9500000000000002</c:v>
                </c:pt>
                <c:pt idx="2">
                  <c:v>1.9420000000000002</c:v>
                </c:pt>
                <c:pt idx="3">
                  <c:v>1.9350000000000003</c:v>
                </c:pt>
                <c:pt idx="4">
                  <c:v>1.9260000000000004</c:v>
                </c:pt>
                <c:pt idx="5">
                  <c:v>2.2180000000000004</c:v>
                </c:pt>
                <c:pt idx="6">
                  <c:v>2.2100000000000004</c:v>
                </c:pt>
                <c:pt idx="7">
                  <c:v>2.2020000000000004</c:v>
                </c:pt>
                <c:pt idx="8">
                  <c:v>2.1950000000000003</c:v>
                </c:pt>
                <c:pt idx="9">
                  <c:v>2.1880000000000002</c:v>
                </c:pt>
                <c:pt idx="10">
                  <c:v>2.4820000000000002</c:v>
                </c:pt>
                <c:pt idx="11">
                  <c:v>2.4760000000000004</c:v>
                </c:pt>
                <c:pt idx="12">
                  <c:v>2.4710000000000005</c:v>
                </c:pt>
                <c:pt idx="13">
                  <c:v>2.4660000000000006</c:v>
                </c:pt>
                <c:pt idx="14">
                  <c:v>2.7570000000000006</c:v>
                </c:pt>
                <c:pt idx="15">
                  <c:v>2.7480000000000007</c:v>
                </c:pt>
                <c:pt idx="16">
                  <c:v>2.7390000000000008</c:v>
                </c:pt>
                <c:pt idx="17">
                  <c:v>2.7310000000000008</c:v>
                </c:pt>
                <c:pt idx="18">
                  <c:v>2.7220000000000009</c:v>
                </c:pt>
                <c:pt idx="19">
                  <c:v>2.7140000000000009</c:v>
                </c:pt>
                <c:pt idx="20">
                  <c:v>2.705000000000001</c:v>
                </c:pt>
                <c:pt idx="21">
                  <c:v>2.6960000000000011</c:v>
                </c:pt>
                <c:pt idx="22">
                  <c:v>2.6880000000000011</c:v>
                </c:pt>
                <c:pt idx="23">
                  <c:v>2.6790000000000012</c:v>
                </c:pt>
                <c:pt idx="24">
                  <c:v>2.6710000000000012</c:v>
                </c:pt>
                <c:pt idx="25">
                  <c:v>2.6630000000000011</c:v>
                </c:pt>
                <c:pt idx="26">
                  <c:v>2.6550000000000011</c:v>
                </c:pt>
                <c:pt idx="27">
                  <c:v>2.648000000000001</c:v>
                </c:pt>
                <c:pt idx="28">
                  <c:v>2.6410000000000009</c:v>
                </c:pt>
                <c:pt idx="29">
                  <c:v>2.6340000000000008</c:v>
                </c:pt>
                <c:pt idx="30">
                  <c:v>2.6260000000000008</c:v>
                </c:pt>
                <c:pt idx="31">
                  <c:v>2.6190000000000007</c:v>
                </c:pt>
                <c:pt idx="32">
                  <c:v>2.6130000000000009</c:v>
                </c:pt>
                <c:pt idx="33">
                  <c:v>2.6050000000000009</c:v>
                </c:pt>
                <c:pt idx="34">
                  <c:v>2.5980000000000008</c:v>
                </c:pt>
                <c:pt idx="35">
                  <c:v>2.5910000000000006</c:v>
                </c:pt>
                <c:pt idx="36">
                  <c:v>2.5840000000000005</c:v>
                </c:pt>
                <c:pt idx="37">
                  <c:v>2.5760000000000005</c:v>
                </c:pt>
                <c:pt idx="38">
                  <c:v>2.5690000000000004</c:v>
                </c:pt>
                <c:pt idx="39">
                  <c:v>2.5630000000000006</c:v>
                </c:pt>
                <c:pt idx="40">
                  <c:v>2.5550000000000006</c:v>
                </c:pt>
                <c:pt idx="41">
                  <c:v>2.5480000000000005</c:v>
                </c:pt>
                <c:pt idx="42">
                  <c:v>2.5410000000000004</c:v>
                </c:pt>
                <c:pt idx="43">
                  <c:v>2.5340000000000003</c:v>
                </c:pt>
                <c:pt idx="44">
                  <c:v>2.5260000000000002</c:v>
                </c:pt>
                <c:pt idx="45">
                  <c:v>2.5190000000000001</c:v>
                </c:pt>
                <c:pt idx="46">
                  <c:v>2.5130000000000003</c:v>
                </c:pt>
                <c:pt idx="47">
                  <c:v>2.5060000000000002</c:v>
                </c:pt>
                <c:pt idx="48">
                  <c:v>2.5010000000000003</c:v>
                </c:pt>
                <c:pt idx="49">
                  <c:v>2.4960000000000004</c:v>
                </c:pt>
                <c:pt idx="50">
                  <c:v>2.4910000000000005</c:v>
                </c:pt>
                <c:pt idx="51">
                  <c:v>2.4860000000000007</c:v>
                </c:pt>
                <c:pt idx="52">
                  <c:v>2.4810000000000008</c:v>
                </c:pt>
                <c:pt idx="53">
                  <c:v>2.4770000000000008</c:v>
                </c:pt>
                <c:pt idx="54">
                  <c:v>2.4730000000000008</c:v>
                </c:pt>
                <c:pt idx="55">
                  <c:v>2.4700000000000006</c:v>
                </c:pt>
                <c:pt idx="56">
                  <c:v>2.4670000000000005</c:v>
                </c:pt>
                <c:pt idx="57">
                  <c:v>2.4640000000000004</c:v>
                </c:pt>
                <c:pt idx="58">
                  <c:v>2.4620000000000006</c:v>
                </c:pt>
                <c:pt idx="59">
                  <c:v>2.4600000000000009</c:v>
                </c:pt>
                <c:pt idx="60">
                  <c:v>2.4580000000000011</c:v>
                </c:pt>
                <c:pt idx="61">
                  <c:v>2.4560000000000013</c:v>
                </c:pt>
                <c:pt idx="62">
                  <c:v>2.4550000000000014</c:v>
                </c:pt>
                <c:pt idx="63">
                  <c:v>2.4540000000000015</c:v>
                </c:pt>
                <c:pt idx="64">
                  <c:v>2.4530000000000016</c:v>
                </c:pt>
                <c:pt idx="65">
                  <c:v>2.4520000000000017</c:v>
                </c:pt>
                <c:pt idx="66">
                  <c:v>2.4510000000000018</c:v>
                </c:pt>
                <c:pt idx="67">
                  <c:v>2.450000000000002</c:v>
                </c:pt>
                <c:pt idx="68">
                  <c:v>2.4490000000000021</c:v>
                </c:pt>
                <c:pt idx="69">
                  <c:v>2.4490000000000021</c:v>
                </c:pt>
                <c:pt idx="70">
                  <c:v>2.4480000000000022</c:v>
                </c:pt>
                <c:pt idx="71">
                  <c:v>2.4480000000000022</c:v>
                </c:pt>
                <c:pt idx="72">
                  <c:v>2.4480000000000022</c:v>
                </c:pt>
                <c:pt idx="73">
                  <c:v>2.4460000000000024</c:v>
                </c:pt>
                <c:pt idx="74">
                  <c:v>2.4460000000000024</c:v>
                </c:pt>
                <c:pt idx="75">
                  <c:v>2.4430000000000023</c:v>
                </c:pt>
                <c:pt idx="76">
                  <c:v>2.4430000000000023</c:v>
                </c:pt>
                <c:pt idx="77">
                  <c:v>2.4420000000000024</c:v>
                </c:pt>
                <c:pt idx="78">
                  <c:v>2.4410000000000025</c:v>
                </c:pt>
                <c:pt idx="79">
                  <c:v>2.4410000000000025</c:v>
                </c:pt>
                <c:pt idx="80">
                  <c:v>2.4410000000000025</c:v>
                </c:pt>
                <c:pt idx="81">
                  <c:v>2.4380000000000024</c:v>
                </c:pt>
                <c:pt idx="82">
                  <c:v>2.4380000000000024</c:v>
                </c:pt>
                <c:pt idx="83">
                  <c:v>2.4370000000000025</c:v>
                </c:pt>
                <c:pt idx="84">
                  <c:v>2.4370000000000025</c:v>
                </c:pt>
                <c:pt idx="85">
                  <c:v>2.4340000000000024</c:v>
                </c:pt>
                <c:pt idx="86">
                  <c:v>2.4330000000000025</c:v>
                </c:pt>
                <c:pt idx="87">
                  <c:v>2.4330000000000025</c:v>
                </c:pt>
                <c:pt idx="88">
                  <c:v>2.4300000000000024</c:v>
                </c:pt>
                <c:pt idx="89">
                  <c:v>2.4300000000000024</c:v>
                </c:pt>
                <c:pt idx="90">
                  <c:v>2.4290000000000025</c:v>
                </c:pt>
                <c:pt idx="91">
                  <c:v>2.4290000000000025</c:v>
                </c:pt>
                <c:pt idx="92">
                  <c:v>2.4280000000000026</c:v>
                </c:pt>
                <c:pt idx="93">
                  <c:v>2.4280000000000026</c:v>
                </c:pt>
                <c:pt idx="94">
                  <c:v>2.4270000000000027</c:v>
                </c:pt>
                <c:pt idx="95">
                  <c:v>2.4270000000000027</c:v>
                </c:pt>
                <c:pt idx="96">
                  <c:v>2.4270000000000027</c:v>
                </c:pt>
                <c:pt idx="97">
                  <c:v>2.4270000000000027</c:v>
                </c:pt>
                <c:pt idx="98">
                  <c:v>2.4240000000000026</c:v>
                </c:pt>
                <c:pt idx="99">
                  <c:v>2.4230000000000027</c:v>
                </c:pt>
                <c:pt idx="100">
                  <c:v>2.4230000000000027</c:v>
                </c:pt>
                <c:pt idx="101">
                  <c:v>2.4230000000000027</c:v>
                </c:pt>
                <c:pt idx="102">
                  <c:v>2.4230000000000027</c:v>
                </c:pt>
                <c:pt idx="103">
                  <c:v>2.4230000000000027</c:v>
                </c:pt>
                <c:pt idx="104">
                  <c:v>2.4210000000000029</c:v>
                </c:pt>
                <c:pt idx="105">
                  <c:v>2.4210000000000029</c:v>
                </c:pt>
                <c:pt idx="106">
                  <c:v>2.4180000000000028</c:v>
                </c:pt>
                <c:pt idx="107">
                  <c:v>2.4180000000000028</c:v>
                </c:pt>
                <c:pt idx="108">
                  <c:v>2.4170000000000029</c:v>
                </c:pt>
                <c:pt idx="109">
                  <c:v>2.4140000000000028</c:v>
                </c:pt>
                <c:pt idx="110">
                  <c:v>2.4130000000000029</c:v>
                </c:pt>
                <c:pt idx="111">
                  <c:v>2.4100000000000028</c:v>
                </c:pt>
                <c:pt idx="112">
                  <c:v>2.4100000000000028</c:v>
                </c:pt>
                <c:pt idx="113">
                  <c:v>2.4090000000000029</c:v>
                </c:pt>
                <c:pt idx="114">
                  <c:v>2.4060000000000028</c:v>
                </c:pt>
                <c:pt idx="115">
                  <c:v>2.4030000000000027</c:v>
                </c:pt>
                <c:pt idx="116">
                  <c:v>2.4020000000000028</c:v>
                </c:pt>
                <c:pt idx="117">
                  <c:v>2.4020000000000028</c:v>
                </c:pt>
                <c:pt idx="118">
                  <c:v>2.4020000000000028</c:v>
                </c:pt>
                <c:pt idx="119">
                  <c:v>2.4010000000000029</c:v>
                </c:pt>
                <c:pt idx="120">
                  <c:v>2.4010000000000029</c:v>
                </c:pt>
                <c:pt idx="121">
                  <c:v>2.400000000000003</c:v>
                </c:pt>
                <c:pt idx="122">
                  <c:v>2.396000000000003</c:v>
                </c:pt>
                <c:pt idx="123">
                  <c:v>2.3950000000000031</c:v>
                </c:pt>
                <c:pt idx="124">
                  <c:v>2.3910000000000031</c:v>
                </c:pt>
                <c:pt idx="125">
                  <c:v>2.3900000000000032</c:v>
                </c:pt>
                <c:pt idx="126">
                  <c:v>2.3900000000000032</c:v>
                </c:pt>
                <c:pt idx="127">
                  <c:v>2.3890000000000033</c:v>
                </c:pt>
                <c:pt idx="128">
                  <c:v>2.3880000000000035</c:v>
                </c:pt>
                <c:pt idx="129">
                  <c:v>2.3880000000000035</c:v>
                </c:pt>
                <c:pt idx="130">
                  <c:v>2.3880000000000035</c:v>
                </c:pt>
                <c:pt idx="131">
                  <c:v>2.3870000000000036</c:v>
                </c:pt>
                <c:pt idx="132">
                  <c:v>2.3860000000000037</c:v>
                </c:pt>
                <c:pt idx="133">
                  <c:v>2.3820000000000037</c:v>
                </c:pt>
                <c:pt idx="134">
                  <c:v>2.3810000000000038</c:v>
                </c:pt>
                <c:pt idx="135">
                  <c:v>2.3770000000000038</c:v>
                </c:pt>
                <c:pt idx="136">
                  <c:v>2.3760000000000039</c:v>
                </c:pt>
                <c:pt idx="137">
                  <c:v>2.375000000000004</c:v>
                </c:pt>
                <c:pt idx="138">
                  <c:v>2.375000000000004</c:v>
                </c:pt>
                <c:pt idx="139">
                  <c:v>2.3740000000000041</c:v>
                </c:pt>
                <c:pt idx="140">
                  <c:v>2.3730000000000042</c:v>
                </c:pt>
                <c:pt idx="141">
                  <c:v>2.3730000000000042</c:v>
                </c:pt>
                <c:pt idx="142">
                  <c:v>2.3720000000000043</c:v>
                </c:pt>
                <c:pt idx="143">
                  <c:v>2.3680000000000043</c:v>
                </c:pt>
                <c:pt idx="144">
                  <c:v>2.3650000000000042</c:v>
                </c:pt>
                <c:pt idx="145">
                  <c:v>2.3610000000000042</c:v>
                </c:pt>
                <c:pt idx="146">
                  <c:v>2.3570000000000042</c:v>
                </c:pt>
                <c:pt idx="147">
                  <c:v>2.3510000000000044</c:v>
                </c:pt>
                <c:pt idx="148">
                  <c:v>2.3500000000000045</c:v>
                </c:pt>
                <c:pt idx="149">
                  <c:v>2.3460000000000045</c:v>
                </c:pt>
                <c:pt idx="150">
                  <c:v>2.3450000000000046</c:v>
                </c:pt>
                <c:pt idx="151">
                  <c:v>2.3450000000000046</c:v>
                </c:pt>
                <c:pt idx="152">
                  <c:v>2.3440000000000047</c:v>
                </c:pt>
                <c:pt idx="153">
                  <c:v>2.3400000000000047</c:v>
                </c:pt>
                <c:pt idx="154">
                  <c:v>2.3390000000000049</c:v>
                </c:pt>
                <c:pt idx="155">
                  <c:v>2.334000000000005</c:v>
                </c:pt>
                <c:pt idx="156">
                  <c:v>2.3330000000000051</c:v>
                </c:pt>
                <c:pt idx="157">
                  <c:v>2.3330000000000051</c:v>
                </c:pt>
                <c:pt idx="158">
                  <c:v>2.3330000000000051</c:v>
                </c:pt>
                <c:pt idx="159">
                  <c:v>2.3330000000000051</c:v>
                </c:pt>
                <c:pt idx="160">
                  <c:v>2.3320000000000052</c:v>
                </c:pt>
                <c:pt idx="161">
                  <c:v>2.3320000000000052</c:v>
                </c:pt>
                <c:pt idx="162">
                  <c:v>2.3250000000000051</c:v>
                </c:pt>
                <c:pt idx="163">
                  <c:v>2.3180000000000049</c:v>
                </c:pt>
                <c:pt idx="164">
                  <c:v>2.3110000000000048</c:v>
                </c:pt>
                <c:pt idx="165">
                  <c:v>2.3040000000000047</c:v>
                </c:pt>
                <c:pt idx="166">
                  <c:v>2.2980000000000049</c:v>
                </c:pt>
                <c:pt idx="167">
                  <c:v>2.2920000000000051</c:v>
                </c:pt>
                <c:pt idx="168">
                  <c:v>2.2860000000000054</c:v>
                </c:pt>
                <c:pt idx="169">
                  <c:v>2.2800000000000056</c:v>
                </c:pt>
                <c:pt idx="170">
                  <c:v>2.2740000000000058</c:v>
                </c:pt>
                <c:pt idx="171">
                  <c:v>2.268000000000006</c:v>
                </c:pt>
                <c:pt idx="172">
                  <c:v>2.2620000000000062</c:v>
                </c:pt>
                <c:pt idx="173">
                  <c:v>2.2570000000000063</c:v>
                </c:pt>
                <c:pt idx="174">
                  <c:v>2.2520000000000064</c:v>
                </c:pt>
                <c:pt idx="175">
                  <c:v>2.2450000000000063</c:v>
                </c:pt>
                <c:pt idx="176">
                  <c:v>2.2400000000000064</c:v>
                </c:pt>
                <c:pt idx="177">
                  <c:v>2.2360000000000064</c:v>
                </c:pt>
                <c:pt idx="178">
                  <c:v>2.2300000000000066</c:v>
                </c:pt>
                <c:pt idx="179">
                  <c:v>2.2260000000000066</c:v>
                </c:pt>
                <c:pt idx="180">
                  <c:v>2.2230000000000065</c:v>
                </c:pt>
                <c:pt idx="181">
                  <c:v>2.2170000000000067</c:v>
                </c:pt>
                <c:pt idx="182">
                  <c:v>2.2140000000000066</c:v>
                </c:pt>
                <c:pt idx="183">
                  <c:v>2.2090000000000067</c:v>
                </c:pt>
                <c:pt idx="184">
                  <c:v>2.2050000000000067</c:v>
                </c:pt>
                <c:pt idx="185">
                  <c:v>2.2010000000000067</c:v>
                </c:pt>
                <c:pt idx="186">
                  <c:v>2.1970000000000067</c:v>
                </c:pt>
                <c:pt idx="187">
                  <c:v>2.1930000000000067</c:v>
                </c:pt>
                <c:pt idx="188">
                  <c:v>2.1880000000000068</c:v>
                </c:pt>
                <c:pt idx="189">
                  <c:v>2.1840000000000068</c:v>
                </c:pt>
                <c:pt idx="190">
                  <c:v>2.1800000000000068</c:v>
                </c:pt>
                <c:pt idx="191">
                  <c:v>2.1750000000000069</c:v>
                </c:pt>
                <c:pt idx="192">
                  <c:v>2.1710000000000069</c:v>
                </c:pt>
                <c:pt idx="193">
                  <c:v>2.166000000000007</c:v>
                </c:pt>
                <c:pt idx="194">
                  <c:v>2.1610000000000071</c:v>
                </c:pt>
                <c:pt idx="195">
                  <c:v>2.158000000000007</c:v>
                </c:pt>
                <c:pt idx="196">
                  <c:v>2.154000000000007</c:v>
                </c:pt>
                <c:pt idx="197">
                  <c:v>2.150000000000007</c:v>
                </c:pt>
                <c:pt idx="198">
                  <c:v>2.146000000000007</c:v>
                </c:pt>
                <c:pt idx="199">
                  <c:v>2.1400000000000072</c:v>
                </c:pt>
                <c:pt idx="200">
                  <c:v>2.1350000000000073</c:v>
                </c:pt>
                <c:pt idx="201">
                  <c:v>2.1310000000000073</c:v>
                </c:pt>
                <c:pt idx="202">
                  <c:v>2.1270000000000073</c:v>
                </c:pt>
                <c:pt idx="203">
                  <c:v>2.1240000000000072</c:v>
                </c:pt>
                <c:pt idx="204">
                  <c:v>2.1190000000000073</c:v>
                </c:pt>
                <c:pt idx="205">
                  <c:v>2.1160000000000072</c:v>
                </c:pt>
                <c:pt idx="206">
                  <c:v>2.1130000000000071</c:v>
                </c:pt>
                <c:pt idx="207">
                  <c:v>2.110000000000007</c:v>
                </c:pt>
                <c:pt idx="208">
                  <c:v>2.1080000000000072</c:v>
                </c:pt>
                <c:pt idx="209">
                  <c:v>2.1020000000000074</c:v>
                </c:pt>
                <c:pt idx="210">
                  <c:v>2.1000000000000076</c:v>
                </c:pt>
                <c:pt idx="211">
                  <c:v>2.0950000000000077</c:v>
                </c:pt>
                <c:pt idx="212">
                  <c:v>2.0920000000000076</c:v>
                </c:pt>
                <c:pt idx="213">
                  <c:v>2.0890000000000075</c:v>
                </c:pt>
                <c:pt idx="214">
                  <c:v>2.0850000000000075</c:v>
                </c:pt>
                <c:pt idx="215">
                  <c:v>2.0810000000000075</c:v>
                </c:pt>
                <c:pt idx="216">
                  <c:v>2.0780000000000074</c:v>
                </c:pt>
                <c:pt idx="217">
                  <c:v>2.0730000000000075</c:v>
                </c:pt>
                <c:pt idx="218">
                  <c:v>2.0700000000000074</c:v>
                </c:pt>
                <c:pt idx="219">
                  <c:v>2.0670000000000073</c:v>
                </c:pt>
                <c:pt idx="220">
                  <c:v>2.0620000000000074</c:v>
                </c:pt>
                <c:pt idx="221">
                  <c:v>2.0590000000000073</c:v>
                </c:pt>
                <c:pt idx="222">
                  <c:v>2.0530000000000075</c:v>
                </c:pt>
                <c:pt idx="223">
                  <c:v>2.0500000000000074</c:v>
                </c:pt>
                <c:pt idx="224">
                  <c:v>2.0460000000000074</c:v>
                </c:pt>
                <c:pt idx="225">
                  <c:v>2.0430000000000073</c:v>
                </c:pt>
                <c:pt idx="226">
                  <c:v>2.0390000000000073</c:v>
                </c:pt>
                <c:pt idx="227">
                  <c:v>2.0340000000000074</c:v>
                </c:pt>
                <c:pt idx="228">
                  <c:v>2.0310000000000072</c:v>
                </c:pt>
                <c:pt idx="229">
                  <c:v>2.0280000000000071</c:v>
                </c:pt>
                <c:pt idx="230">
                  <c:v>2.0240000000000071</c:v>
                </c:pt>
                <c:pt idx="231">
                  <c:v>2.0190000000000072</c:v>
                </c:pt>
                <c:pt idx="232">
                  <c:v>2.0130000000000075</c:v>
                </c:pt>
                <c:pt idx="233">
                  <c:v>2.0080000000000076</c:v>
                </c:pt>
                <c:pt idx="234">
                  <c:v>2.0040000000000076</c:v>
                </c:pt>
                <c:pt idx="235">
                  <c:v>2.0000000000000075</c:v>
                </c:pt>
                <c:pt idx="236">
                  <c:v>1.9960000000000075</c:v>
                </c:pt>
                <c:pt idx="237">
                  <c:v>1.9930000000000077</c:v>
                </c:pt>
                <c:pt idx="238">
                  <c:v>1.9900000000000078</c:v>
                </c:pt>
                <c:pt idx="239">
                  <c:v>1.9860000000000078</c:v>
                </c:pt>
                <c:pt idx="240">
                  <c:v>1.9830000000000079</c:v>
                </c:pt>
                <c:pt idx="241">
                  <c:v>1.9790000000000079</c:v>
                </c:pt>
                <c:pt idx="242">
                  <c:v>1.976000000000008</c:v>
                </c:pt>
                <c:pt idx="243">
                  <c:v>1.9730000000000081</c:v>
                </c:pt>
                <c:pt idx="244">
                  <c:v>1.9690000000000081</c:v>
                </c:pt>
                <c:pt idx="245">
                  <c:v>1.9660000000000082</c:v>
                </c:pt>
                <c:pt idx="246">
                  <c:v>1.9630000000000083</c:v>
                </c:pt>
                <c:pt idx="247">
                  <c:v>1.9590000000000083</c:v>
                </c:pt>
                <c:pt idx="248">
                  <c:v>1.9560000000000084</c:v>
                </c:pt>
                <c:pt idx="249">
                  <c:v>1.9530000000000085</c:v>
                </c:pt>
                <c:pt idx="250">
                  <c:v>1.9490000000000085</c:v>
                </c:pt>
                <c:pt idx="251">
                  <c:v>1.9450000000000085</c:v>
                </c:pt>
                <c:pt idx="252">
                  <c:v>1.9420000000000086</c:v>
                </c:pt>
                <c:pt idx="253">
                  <c:v>1.9380000000000086</c:v>
                </c:pt>
                <c:pt idx="254">
                  <c:v>1.9350000000000087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F8-45B8-8B82-A53869154705}"/>
            </c:ext>
          </c:extLst>
        </c:ser>
        <c:ser>
          <c:idx val="4"/>
          <c:order val="4"/>
          <c:tx>
            <c:strRef>
              <c:f>'Km83+720'!$AL$8:$AL$9</c:f>
              <c:strCache>
                <c:ptCount val="2"/>
                <c:pt idx="0">
                  <c:v>Chiều dày đắp</c:v>
                </c:pt>
              </c:strCache>
            </c:strRef>
          </c:tx>
          <c:marker>
            <c:symbol val="star"/>
            <c:size val="2"/>
            <c:spPr>
              <a:noFill/>
              <a:ln w="12700">
                <a:solidFill>
                  <a:srgbClr val="800080"/>
                </a:solidFill>
                <a:prstDash val="solid"/>
              </a:ln>
            </c:spPr>
          </c:marker>
          <c:xVal>
            <c:numRef>
              <c:f>'Km83+720'!$B$11:$B$361</c:f>
              <c:numCache>
                <c:formatCode>[$-1010000]d/m/yyyy;@</c:formatCode>
                <c:ptCount val="351"/>
                <c:pt idx="0">
                  <c:v>45554</c:v>
                </c:pt>
                <c:pt idx="1">
                  <c:v>45555</c:v>
                </c:pt>
                <c:pt idx="2">
                  <c:v>45556</c:v>
                </c:pt>
                <c:pt idx="3">
                  <c:v>45557</c:v>
                </c:pt>
                <c:pt idx="4">
                  <c:v>45558</c:v>
                </c:pt>
                <c:pt idx="5">
                  <c:v>45559</c:v>
                </c:pt>
                <c:pt idx="6">
                  <c:v>45560</c:v>
                </c:pt>
                <c:pt idx="7">
                  <c:v>45561</c:v>
                </c:pt>
                <c:pt idx="8">
                  <c:v>45562</c:v>
                </c:pt>
                <c:pt idx="9">
                  <c:v>45563</c:v>
                </c:pt>
                <c:pt idx="10">
                  <c:v>45564</c:v>
                </c:pt>
                <c:pt idx="11">
                  <c:v>45565</c:v>
                </c:pt>
                <c:pt idx="12">
                  <c:v>45566</c:v>
                </c:pt>
                <c:pt idx="13">
                  <c:v>45567</c:v>
                </c:pt>
                <c:pt idx="14">
                  <c:v>45568</c:v>
                </c:pt>
                <c:pt idx="15">
                  <c:v>45569</c:v>
                </c:pt>
                <c:pt idx="16">
                  <c:v>45570</c:v>
                </c:pt>
                <c:pt idx="17">
                  <c:v>45571</c:v>
                </c:pt>
                <c:pt idx="18">
                  <c:v>45572</c:v>
                </c:pt>
                <c:pt idx="19">
                  <c:v>45573</c:v>
                </c:pt>
                <c:pt idx="20">
                  <c:v>45574</c:v>
                </c:pt>
                <c:pt idx="21">
                  <c:v>45575</c:v>
                </c:pt>
                <c:pt idx="22">
                  <c:v>45576</c:v>
                </c:pt>
                <c:pt idx="23">
                  <c:v>45577</c:v>
                </c:pt>
                <c:pt idx="24">
                  <c:v>45578</c:v>
                </c:pt>
                <c:pt idx="25">
                  <c:v>45579</c:v>
                </c:pt>
                <c:pt idx="26">
                  <c:v>45580</c:v>
                </c:pt>
                <c:pt idx="27">
                  <c:v>45581</c:v>
                </c:pt>
                <c:pt idx="28">
                  <c:v>45582</c:v>
                </c:pt>
                <c:pt idx="29">
                  <c:v>45583</c:v>
                </c:pt>
                <c:pt idx="30">
                  <c:v>45584</c:v>
                </c:pt>
                <c:pt idx="31">
                  <c:v>45585</c:v>
                </c:pt>
                <c:pt idx="32">
                  <c:v>45586</c:v>
                </c:pt>
                <c:pt idx="33">
                  <c:v>45587</c:v>
                </c:pt>
                <c:pt idx="34">
                  <c:v>45588</c:v>
                </c:pt>
                <c:pt idx="35">
                  <c:v>45589</c:v>
                </c:pt>
                <c:pt idx="36">
                  <c:v>45590</c:v>
                </c:pt>
                <c:pt idx="37">
                  <c:v>45591</c:v>
                </c:pt>
                <c:pt idx="38">
                  <c:v>45592</c:v>
                </c:pt>
                <c:pt idx="39">
                  <c:v>45593</c:v>
                </c:pt>
                <c:pt idx="40">
                  <c:v>45594</c:v>
                </c:pt>
                <c:pt idx="41">
                  <c:v>45595</c:v>
                </c:pt>
                <c:pt idx="42">
                  <c:v>45596</c:v>
                </c:pt>
                <c:pt idx="43">
                  <c:v>45597</c:v>
                </c:pt>
                <c:pt idx="44">
                  <c:v>45598</c:v>
                </c:pt>
                <c:pt idx="45">
                  <c:v>45599</c:v>
                </c:pt>
                <c:pt idx="46">
                  <c:v>45600</c:v>
                </c:pt>
                <c:pt idx="47">
                  <c:v>45601</c:v>
                </c:pt>
                <c:pt idx="48">
                  <c:v>45602</c:v>
                </c:pt>
                <c:pt idx="49">
                  <c:v>45603</c:v>
                </c:pt>
                <c:pt idx="50">
                  <c:v>45604</c:v>
                </c:pt>
                <c:pt idx="51">
                  <c:v>45605</c:v>
                </c:pt>
                <c:pt idx="52">
                  <c:v>45606</c:v>
                </c:pt>
                <c:pt idx="53">
                  <c:v>45607</c:v>
                </c:pt>
                <c:pt idx="54">
                  <c:v>45608</c:v>
                </c:pt>
                <c:pt idx="55">
                  <c:v>45609</c:v>
                </c:pt>
                <c:pt idx="56">
                  <c:v>45610</c:v>
                </c:pt>
                <c:pt idx="57">
                  <c:v>45611</c:v>
                </c:pt>
                <c:pt idx="58">
                  <c:v>45612</c:v>
                </c:pt>
                <c:pt idx="59">
                  <c:v>45613</c:v>
                </c:pt>
                <c:pt idx="60">
                  <c:v>45614</c:v>
                </c:pt>
                <c:pt idx="61">
                  <c:v>45615</c:v>
                </c:pt>
                <c:pt idx="62">
                  <c:v>45616</c:v>
                </c:pt>
                <c:pt idx="63">
                  <c:v>45617</c:v>
                </c:pt>
                <c:pt idx="64">
                  <c:v>45618</c:v>
                </c:pt>
                <c:pt idx="65">
                  <c:v>45619</c:v>
                </c:pt>
                <c:pt idx="66">
                  <c:v>45620</c:v>
                </c:pt>
                <c:pt idx="67">
                  <c:v>45621</c:v>
                </c:pt>
                <c:pt idx="68">
                  <c:v>45622</c:v>
                </c:pt>
                <c:pt idx="69">
                  <c:v>45623</c:v>
                </c:pt>
                <c:pt idx="70">
                  <c:v>45624</c:v>
                </c:pt>
                <c:pt idx="71">
                  <c:v>45625</c:v>
                </c:pt>
                <c:pt idx="72">
                  <c:v>45626</c:v>
                </c:pt>
                <c:pt idx="73">
                  <c:v>45627</c:v>
                </c:pt>
                <c:pt idx="74">
                  <c:v>45628</c:v>
                </c:pt>
                <c:pt idx="75">
                  <c:v>45629</c:v>
                </c:pt>
                <c:pt idx="76">
                  <c:v>45630</c:v>
                </c:pt>
                <c:pt idx="77">
                  <c:v>45631</c:v>
                </c:pt>
                <c:pt idx="78">
                  <c:v>45632</c:v>
                </c:pt>
                <c:pt idx="79">
                  <c:v>45633</c:v>
                </c:pt>
                <c:pt idx="80">
                  <c:v>45634</c:v>
                </c:pt>
                <c:pt idx="81">
                  <c:v>45635</c:v>
                </c:pt>
                <c:pt idx="82">
                  <c:v>45636</c:v>
                </c:pt>
                <c:pt idx="83">
                  <c:v>45637</c:v>
                </c:pt>
                <c:pt idx="84">
                  <c:v>45638</c:v>
                </c:pt>
                <c:pt idx="85">
                  <c:v>45639</c:v>
                </c:pt>
                <c:pt idx="86">
                  <c:v>45640</c:v>
                </c:pt>
                <c:pt idx="87">
                  <c:v>45641</c:v>
                </c:pt>
                <c:pt idx="88">
                  <c:v>45642</c:v>
                </c:pt>
                <c:pt idx="89">
                  <c:v>45643</c:v>
                </c:pt>
                <c:pt idx="90">
                  <c:v>45644</c:v>
                </c:pt>
                <c:pt idx="91">
                  <c:v>45645</c:v>
                </c:pt>
                <c:pt idx="92">
                  <c:v>45646</c:v>
                </c:pt>
                <c:pt idx="93">
                  <c:v>45647</c:v>
                </c:pt>
                <c:pt idx="94">
                  <c:v>45648</c:v>
                </c:pt>
                <c:pt idx="95">
                  <c:v>45649</c:v>
                </c:pt>
                <c:pt idx="96">
                  <c:v>45650</c:v>
                </c:pt>
                <c:pt idx="97">
                  <c:v>45651</c:v>
                </c:pt>
                <c:pt idx="98">
                  <c:v>45652</c:v>
                </c:pt>
                <c:pt idx="99">
                  <c:v>45653</c:v>
                </c:pt>
                <c:pt idx="100">
                  <c:v>45654</c:v>
                </c:pt>
                <c:pt idx="101">
                  <c:v>45655</c:v>
                </c:pt>
                <c:pt idx="102">
                  <c:v>45656</c:v>
                </c:pt>
                <c:pt idx="103">
                  <c:v>45657</c:v>
                </c:pt>
                <c:pt idx="104">
                  <c:v>45658</c:v>
                </c:pt>
                <c:pt idx="105">
                  <c:v>45659</c:v>
                </c:pt>
                <c:pt idx="106">
                  <c:v>45660</c:v>
                </c:pt>
                <c:pt idx="107">
                  <c:v>45661</c:v>
                </c:pt>
                <c:pt idx="108">
                  <c:v>45662</c:v>
                </c:pt>
                <c:pt idx="109">
                  <c:v>45663</c:v>
                </c:pt>
                <c:pt idx="110">
                  <c:v>45664</c:v>
                </c:pt>
                <c:pt idx="111">
                  <c:v>45665</c:v>
                </c:pt>
                <c:pt idx="112">
                  <c:v>45666</c:v>
                </c:pt>
                <c:pt idx="113">
                  <c:v>45667</c:v>
                </c:pt>
                <c:pt idx="114">
                  <c:v>45668</c:v>
                </c:pt>
                <c:pt idx="115">
                  <c:v>45669</c:v>
                </c:pt>
                <c:pt idx="116">
                  <c:v>45670</c:v>
                </c:pt>
                <c:pt idx="117">
                  <c:v>45671</c:v>
                </c:pt>
                <c:pt idx="118">
                  <c:v>45672</c:v>
                </c:pt>
                <c:pt idx="119">
                  <c:v>45673</c:v>
                </c:pt>
                <c:pt idx="120">
                  <c:v>45674</c:v>
                </c:pt>
                <c:pt idx="121">
                  <c:v>45675</c:v>
                </c:pt>
                <c:pt idx="122">
                  <c:v>45676</c:v>
                </c:pt>
                <c:pt idx="123">
                  <c:v>45677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45682</c:v>
                </c:pt>
                <c:pt idx="129">
                  <c:v>45683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45689</c:v>
                </c:pt>
                <c:pt idx="136">
                  <c:v>45690</c:v>
                </c:pt>
                <c:pt idx="137">
                  <c:v>45691</c:v>
                </c:pt>
                <c:pt idx="138">
                  <c:v>45692</c:v>
                </c:pt>
                <c:pt idx="139">
                  <c:v>45693</c:v>
                </c:pt>
                <c:pt idx="140">
                  <c:v>45694</c:v>
                </c:pt>
                <c:pt idx="141">
                  <c:v>45695</c:v>
                </c:pt>
                <c:pt idx="142">
                  <c:v>45696</c:v>
                </c:pt>
                <c:pt idx="143">
                  <c:v>45697</c:v>
                </c:pt>
                <c:pt idx="144">
                  <c:v>45698</c:v>
                </c:pt>
                <c:pt idx="145">
                  <c:v>45699</c:v>
                </c:pt>
                <c:pt idx="146">
                  <c:v>45700</c:v>
                </c:pt>
                <c:pt idx="147">
                  <c:v>45701</c:v>
                </c:pt>
                <c:pt idx="148">
                  <c:v>45702</c:v>
                </c:pt>
                <c:pt idx="149">
                  <c:v>45703</c:v>
                </c:pt>
                <c:pt idx="150">
                  <c:v>45704</c:v>
                </c:pt>
                <c:pt idx="151">
                  <c:v>45705</c:v>
                </c:pt>
                <c:pt idx="152">
                  <c:v>45706</c:v>
                </c:pt>
                <c:pt idx="153">
                  <c:v>45707</c:v>
                </c:pt>
                <c:pt idx="154">
                  <c:v>45708</c:v>
                </c:pt>
                <c:pt idx="155">
                  <c:v>45709</c:v>
                </c:pt>
                <c:pt idx="156">
                  <c:v>45710</c:v>
                </c:pt>
                <c:pt idx="157">
                  <c:v>45711</c:v>
                </c:pt>
                <c:pt idx="158">
                  <c:v>45712</c:v>
                </c:pt>
                <c:pt idx="159">
                  <c:v>45713</c:v>
                </c:pt>
                <c:pt idx="160">
                  <c:v>45714</c:v>
                </c:pt>
                <c:pt idx="161">
                  <c:v>45715</c:v>
                </c:pt>
                <c:pt idx="162">
                  <c:v>45716</c:v>
                </c:pt>
                <c:pt idx="163">
                  <c:v>45717</c:v>
                </c:pt>
                <c:pt idx="164">
                  <c:v>45718</c:v>
                </c:pt>
                <c:pt idx="165">
                  <c:v>45719</c:v>
                </c:pt>
                <c:pt idx="166">
                  <c:v>45720</c:v>
                </c:pt>
                <c:pt idx="167">
                  <c:v>45721</c:v>
                </c:pt>
                <c:pt idx="168">
                  <c:v>45722</c:v>
                </c:pt>
                <c:pt idx="169">
                  <c:v>45723</c:v>
                </c:pt>
                <c:pt idx="170">
                  <c:v>45724</c:v>
                </c:pt>
                <c:pt idx="171">
                  <c:v>45725</c:v>
                </c:pt>
                <c:pt idx="172">
                  <c:v>45726</c:v>
                </c:pt>
                <c:pt idx="173">
                  <c:v>45727</c:v>
                </c:pt>
                <c:pt idx="174">
                  <c:v>45728</c:v>
                </c:pt>
                <c:pt idx="175">
                  <c:v>45729</c:v>
                </c:pt>
                <c:pt idx="176">
                  <c:v>45730</c:v>
                </c:pt>
                <c:pt idx="177">
                  <c:v>45731</c:v>
                </c:pt>
                <c:pt idx="178">
                  <c:v>45732</c:v>
                </c:pt>
                <c:pt idx="179">
                  <c:v>45733</c:v>
                </c:pt>
                <c:pt idx="180">
                  <c:v>45734</c:v>
                </c:pt>
                <c:pt idx="181">
                  <c:v>45735</c:v>
                </c:pt>
                <c:pt idx="182">
                  <c:v>45736</c:v>
                </c:pt>
                <c:pt idx="183">
                  <c:v>45737</c:v>
                </c:pt>
                <c:pt idx="184">
                  <c:v>45738</c:v>
                </c:pt>
                <c:pt idx="185">
                  <c:v>45739</c:v>
                </c:pt>
                <c:pt idx="186">
                  <c:v>45740</c:v>
                </c:pt>
                <c:pt idx="187">
                  <c:v>45741</c:v>
                </c:pt>
                <c:pt idx="188">
                  <c:v>45742</c:v>
                </c:pt>
                <c:pt idx="189">
                  <c:v>45743</c:v>
                </c:pt>
                <c:pt idx="190">
                  <c:v>45744</c:v>
                </c:pt>
                <c:pt idx="191">
                  <c:v>45745</c:v>
                </c:pt>
                <c:pt idx="192">
                  <c:v>45746</c:v>
                </c:pt>
                <c:pt idx="193">
                  <c:v>45747</c:v>
                </c:pt>
                <c:pt idx="194">
                  <c:v>45748</c:v>
                </c:pt>
                <c:pt idx="195">
                  <c:v>45749</c:v>
                </c:pt>
                <c:pt idx="196">
                  <c:v>45750</c:v>
                </c:pt>
                <c:pt idx="197">
                  <c:v>45751</c:v>
                </c:pt>
                <c:pt idx="198">
                  <c:v>45752</c:v>
                </c:pt>
                <c:pt idx="199">
                  <c:v>45753</c:v>
                </c:pt>
                <c:pt idx="200">
                  <c:v>45754</c:v>
                </c:pt>
                <c:pt idx="201">
                  <c:v>45755</c:v>
                </c:pt>
                <c:pt idx="202">
                  <c:v>45756</c:v>
                </c:pt>
                <c:pt idx="203">
                  <c:v>45757</c:v>
                </c:pt>
                <c:pt idx="204">
                  <c:v>45758</c:v>
                </c:pt>
                <c:pt idx="205">
                  <c:v>45759</c:v>
                </c:pt>
                <c:pt idx="206">
                  <c:v>45760</c:v>
                </c:pt>
                <c:pt idx="207">
                  <c:v>45761</c:v>
                </c:pt>
                <c:pt idx="208">
                  <c:v>45762</c:v>
                </c:pt>
                <c:pt idx="209">
                  <c:v>45763</c:v>
                </c:pt>
                <c:pt idx="210">
                  <c:v>45764</c:v>
                </c:pt>
                <c:pt idx="211">
                  <c:v>45765</c:v>
                </c:pt>
                <c:pt idx="212">
                  <c:v>45766</c:v>
                </c:pt>
                <c:pt idx="213">
                  <c:v>45767</c:v>
                </c:pt>
                <c:pt idx="214">
                  <c:v>45768</c:v>
                </c:pt>
                <c:pt idx="215">
                  <c:v>45769</c:v>
                </c:pt>
                <c:pt idx="216">
                  <c:v>45770</c:v>
                </c:pt>
                <c:pt idx="217">
                  <c:v>45771</c:v>
                </c:pt>
                <c:pt idx="218">
                  <c:v>45772</c:v>
                </c:pt>
                <c:pt idx="219">
                  <c:v>45773</c:v>
                </c:pt>
                <c:pt idx="220">
                  <c:v>45774</c:v>
                </c:pt>
                <c:pt idx="221">
                  <c:v>45775</c:v>
                </c:pt>
                <c:pt idx="222">
                  <c:v>45776</c:v>
                </c:pt>
                <c:pt idx="223">
                  <c:v>45777</c:v>
                </c:pt>
                <c:pt idx="224">
                  <c:v>45778</c:v>
                </c:pt>
                <c:pt idx="225">
                  <c:v>45779</c:v>
                </c:pt>
                <c:pt idx="226">
                  <c:v>45780</c:v>
                </c:pt>
                <c:pt idx="227">
                  <c:v>45781</c:v>
                </c:pt>
                <c:pt idx="228">
                  <c:v>45782</c:v>
                </c:pt>
                <c:pt idx="229">
                  <c:v>45783</c:v>
                </c:pt>
                <c:pt idx="230">
                  <c:v>45784</c:v>
                </c:pt>
                <c:pt idx="231">
                  <c:v>45785</c:v>
                </c:pt>
                <c:pt idx="232">
                  <c:v>45786</c:v>
                </c:pt>
                <c:pt idx="233">
                  <c:v>45787</c:v>
                </c:pt>
                <c:pt idx="234">
                  <c:v>45788</c:v>
                </c:pt>
                <c:pt idx="235">
                  <c:v>45789</c:v>
                </c:pt>
                <c:pt idx="236">
                  <c:v>45790</c:v>
                </c:pt>
                <c:pt idx="237">
                  <c:v>45791</c:v>
                </c:pt>
                <c:pt idx="238">
                  <c:v>45792</c:v>
                </c:pt>
                <c:pt idx="239">
                  <c:v>45793</c:v>
                </c:pt>
                <c:pt idx="240">
                  <c:v>45794</c:v>
                </c:pt>
                <c:pt idx="241">
                  <c:v>45795</c:v>
                </c:pt>
                <c:pt idx="242">
                  <c:v>45796</c:v>
                </c:pt>
                <c:pt idx="243">
                  <c:v>45797</c:v>
                </c:pt>
                <c:pt idx="244">
                  <c:v>45798</c:v>
                </c:pt>
                <c:pt idx="245">
                  <c:v>45799</c:v>
                </c:pt>
                <c:pt idx="246">
                  <c:v>45800</c:v>
                </c:pt>
                <c:pt idx="247">
                  <c:v>45801</c:v>
                </c:pt>
                <c:pt idx="248">
                  <c:v>45802</c:v>
                </c:pt>
                <c:pt idx="249">
                  <c:v>45803</c:v>
                </c:pt>
                <c:pt idx="250">
                  <c:v>45804</c:v>
                </c:pt>
                <c:pt idx="251">
                  <c:v>45805</c:v>
                </c:pt>
                <c:pt idx="252">
                  <c:v>45806</c:v>
                </c:pt>
                <c:pt idx="253">
                  <c:v>45807</c:v>
                </c:pt>
                <c:pt idx="254">
                  <c:v>45808</c:v>
                </c:pt>
              </c:numCache>
            </c:numRef>
          </c:xVal>
          <c:yVal>
            <c:numRef>
              <c:f>'Km83+720'!$AL$11:$AL$372</c:f>
              <c:numCache>
                <c:formatCode>0.00</c:formatCode>
                <c:ptCount val="362"/>
                <c:pt idx="0">
                  <c:v>0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0.89999999999999991</c:v>
                </c:pt>
                <c:pt idx="11">
                  <c:v>0.89999999999999991</c:v>
                </c:pt>
                <c:pt idx="12">
                  <c:v>0.89999999999999991</c:v>
                </c:pt>
                <c:pt idx="13">
                  <c:v>0.89999999999999991</c:v>
                </c:pt>
                <c:pt idx="14">
                  <c:v>1.2</c:v>
                </c:pt>
                <c:pt idx="15">
                  <c:v>1.2</c:v>
                </c:pt>
                <c:pt idx="16">
                  <c:v>1.2</c:v>
                </c:pt>
                <c:pt idx="17">
                  <c:v>1.2</c:v>
                </c:pt>
                <c:pt idx="18">
                  <c:v>1.2</c:v>
                </c:pt>
                <c:pt idx="19">
                  <c:v>1.2</c:v>
                </c:pt>
                <c:pt idx="20">
                  <c:v>1.2</c:v>
                </c:pt>
                <c:pt idx="21">
                  <c:v>1.2</c:v>
                </c:pt>
                <c:pt idx="22">
                  <c:v>1.2</c:v>
                </c:pt>
                <c:pt idx="23">
                  <c:v>1.2</c:v>
                </c:pt>
                <c:pt idx="24">
                  <c:v>1.2</c:v>
                </c:pt>
                <c:pt idx="25">
                  <c:v>1.2</c:v>
                </c:pt>
                <c:pt idx="26">
                  <c:v>1.2</c:v>
                </c:pt>
                <c:pt idx="27">
                  <c:v>1.2</c:v>
                </c:pt>
                <c:pt idx="28">
                  <c:v>1.2</c:v>
                </c:pt>
                <c:pt idx="29">
                  <c:v>1.2</c:v>
                </c:pt>
                <c:pt idx="30">
                  <c:v>1.2</c:v>
                </c:pt>
                <c:pt idx="31">
                  <c:v>1.2</c:v>
                </c:pt>
                <c:pt idx="32">
                  <c:v>1.2</c:v>
                </c:pt>
                <c:pt idx="33">
                  <c:v>1.2</c:v>
                </c:pt>
                <c:pt idx="34">
                  <c:v>1.2</c:v>
                </c:pt>
                <c:pt idx="35">
                  <c:v>1.2</c:v>
                </c:pt>
                <c:pt idx="36">
                  <c:v>1.2</c:v>
                </c:pt>
                <c:pt idx="37">
                  <c:v>1.2</c:v>
                </c:pt>
                <c:pt idx="38">
                  <c:v>1.2</c:v>
                </c:pt>
                <c:pt idx="39">
                  <c:v>1.2</c:v>
                </c:pt>
                <c:pt idx="40">
                  <c:v>1.2</c:v>
                </c:pt>
                <c:pt idx="41">
                  <c:v>1.2</c:v>
                </c:pt>
                <c:pt idx="42">
                  <c:v>1.2</c:v>
                </c:pt>
                <c:pt idx="43">
                  <c:v>1.2</c:v>
                </c:pt>
                <c:pt idx="44">
                  <c:v>1.2</c:v>
                </c:pt>
                <c:pt idx="45">
                  <c:v>1.2</c:v>
                </c:pt>
                <c:pt idx="46">
                  <c:v>1.2</c:v>
                </c:pt>
                <c:pt idx="47">
                  <c:v>1.2</c:v>
                </c:pt>
                <c:pt idx="48">
                  <c:v>1.2</c:v>
                </c:pt>
                <c:pt idx="49">
                  <c:v>1.2</c:v>
                </c:pt>
                <c:pt idx="50">
                  <c:v>1.2</c:v>
                </c:pt>
                <c:pt idx="51">
                  <c:v>1.2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1.2</c:v>
                </c:pt>
                <c:pt idx="56">
                  <c:v>1.2</c:v>
                </c:pt>
                <c:pt idx="57">
                  <c:v>1.2</c:v>
                </c:pt>
                <c:pt idx="58">
                  <c:v>1.2</c:v>
                </c:pt>
                <c:pt idx="59">
                  <c:v>1.2</c:v>
                </c:pt>
                <c:pt idx="60">
                  <c:v>1.2</c:v>
                </c:pt>
                <c:pt idx="61">
                  <c:v>1.2</c:v>
                </c:pt>
                <c:pt idx="62">
                  <c:v>1.2</c:v>
                </c:pt>
                <c:pt idx="63">
                  <c:v>1.2</c:v>
                </c:pt>
                <c:pt idx="64">
                  <c:v>1.2</c:v>
                </c:pt>
                <c:pt idx="65">
                  <c:v>1.2</c:v>
                </c:pt>
                <c:pt idx="66">
                  <c:v>1.2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</c:v>
                </c:pt>
                <c:pt idx="73">
                  <c:v>1.2</c:v>
                </c:pt>
                <c:pt idx="74">
                  <c:v>1.2</c:v>
                </c:pt>
                <c:pt idx="75">
                  <c:v>1.2</c:v>
                </c:pt>
                <c:pt idx="76">
                  <c:v>1.2</c:v>
                </c:pt>
                <c:pt idx="77">
                  <c:v>1.2</c:v>
                </c:pt>
                <c:pt idx="78">
                  <c:v>1.2</c:v>
                </c:pt>
                <c:pt idx="79">
                  <c:v>1.2</c:v>
                </c:pt>
                <c:pt idx="80">
                  <c:v>1.2</c:v>
                </c:pt>
                <c:pt idx="81">
                  <c:v>1.2</c:v>
                </c:pt>
                <c:pt idx="82">
                  <c:v>1.2</c:v>
                </c:pt>
                <c:pt idx="83">
                  <c:v>1.2</c:v>
                </c:pt>
                <c:pt idx="84">
                  <c:v>1.2</c:v>
                </c:pt>
                <c:pt idx="85">
                  <c:v>1.2</c:v>
                </c:pt>
                <c:pt idx="86">
                  <c:v>1.2</c:v>
                </c:pt>
                <c:pt idx="87">
                  <c:v>1.2</c:v>
                </c:pt>
                <c:pt idx="88">
                  <c:v>1.2</c:v>
                </c:pt>
                <c:pt idx="89">
                  <c:v>1.2</c:v>
                </c:pt>
                <c:pt idx="90">
                  <c:v>1.2</c:v>
                </c:pt>
                <c:pt idx="91">
                  <c:v>1.2</c:v>
                </c:pt>
                <c:pt idx="92">
                  <c:v>1.2</c:v>
                </c:pt>
                <c:pt idx="93">
                  <c:v>1.2</c:v>
                </c:pt>
                <c:pt idx="94">
                  <c:v>1.2</c:v>
                </c:pt>
                <c:pt idx="95">
                  <c:v>1.2</c:v>
                </c:pt>
                <c:pt idx="96">
                  <c:v>1.2</c:v>
                </c:pt>
                <c:pt idx="97">
                  <c:v>1.2</c:v>
                </c:pt>
                <c:pt idx="98">
                  <c:v>1.2</c:v>
                </c:pt>
                <c:pt idx="99">
                  <c:v>1.2</c:v>
                </c:pt>
                <c:pt idx="100">
                  <c:v>1.2</c:v>
                </c:pt>
                <c:pt idx="101">
                  <c:v>1.2</c:v>
                </c:pt>
                <c:pt idx="102">
                  <c:v>1.2</c:v>
                </c:pt>
                <c:pt idx="103">
                  <c:v>1.2</c:v>
                </c:pt>
                <c:pt idx="104">
                  <c:v>1.2</c:v>
                </c:pt>
                <c:pt idx="105">
                  <c:v>1.2</c:v>
                </c:pt>
                <c:pt idx="106">
                  <c:v>1.2</c:v>
                </c:pt>
                <c:pt idx="107">
                  <c:v>1.2</c:v>
                </c:pt>
                <c:pt idx="108">
                  <c:v>1.2</c:v>
                </c:pt>
                <c:pt idx="109">
                  <c:v>1.2</c:v>
                </c:pt>
                <c:pt idx="110">
                  <c:v>1.2</c:v>
                </c:pt>
                <c:pt idx="111">
                  <c:v>1.2</c:v>
                </c:pt>
                <c:pt idx="112">
                  <c:v>1.2</c:v>
                </c:pt>
                <c:pt idx="113">
                  <c:v>1.2</c:v>
                </c:pt>
                <c:pt idx="114">
                  <c:v>1.2</c:v>
                </c:pt>
                <c:pt idx="115">
                  <c:v>1.2</c:v>
                </c:pt>
                <c:pt idx="116">
                  <c:v>1.2</c:v>
                </c:pt>
                <c:pt idx="117">
                  <c:v>1.2</c:v>
                </c:pt>
                <c:pt idx="118">
                  <c:v>1.2</c:v>
                </c:pt>
                <c:pt idx="119">
                  <c:v>1.2</c:v>
                </c:pt>
                <c:pt idx="120">
                  <c:v>1.2</c:v>
                </c:pt>
                <c:pt idx="121">
                  <c:v>1.2</c:v>
                </c:pt>
                <c:pt idx="122">
                  <c:v>1.2</c:v>
                </c:pt>
                <c:pt idx="123">
                  <c:v>1.2</c:v>
                </c:pt>
                <c:pt idx="124">
                  <c:v>1.2</c:v>
                </c:pt>
                <c:pt idx="125">
                  <c:v>1.2</c:v>
                </c:pt>
                <c:pt idx="126">
                  <c:v>1.2</c:v>
                </c:pt>
                <c:pt idx="127">
                  <c:v>1.2</c:v>
                </c:pt>
                <c:pt idx="128">
                  <c:v>1.2</c:v>
                </c:pt>
                <c:pt idx="129">
                  <c:v>1.2</c:v>
                </c:pt>
                <c:pt idx="130">
                  <c:v>1.2</c:v>
                </c:pt>
                <c:pt idx="131">
                  <c:v>1.2</c:v>
                </c:pt>
                <c:pt idx="132">
                  <c:v>1.2</c:v>
                </c:pt>
                <c:pt idx="133">
                  <c:v>1.2</c:v>
                </c:pt>
                <c:pt idx="134">
                  <c:v>1.2</c:v>
                </c:pt>
                <c:pt idx="135">
                  <c:v>1.2</c:v>
                </c:pt>
                <c:pt idx="136">
                  <c:v>1.2</c:v>
                </c:pt>
                <c:pt idx="137">
                  <c:v>1.2</c:v>
                </c:pt>
                <c:pt idx="138">
                  <c:v>1.2</c:v>
                </c:pt>
                <c:pt idx="139">
                  <c:v>1.2</c:v>
                </c:pt>
                <c:pt idx="140">
                  <c:v>1.2</c:v>
                </c:pt>
                <c:pt idx="141">
                  <c:v>1.2</c:v>
                </c:pt>
                <c:pt idx="142">
                  <c:v>1.2</c:v>
                </c:pt>
                <c:pt idx="143">
                  <c:v>1.2</c:v>
                </c:pt>
                <c:pt idx="144">
                  <c:v>1.2</c:v>
                </c:pt>
                <c:pt idx="145">
                  <c:v>1.2</c:v>
                </c:pt>
                <c:pt idx="146">
                  <c:v>1.2</c:v>
                </c:pt>
                <c:pt idx="147">
                  <c:v>1.2</c:v>
                </c:pt>
                <c:pt idx="148">
                  <c:v>1.2</c:v>
                </c:pt>
                <c:pt idx="149">
                  <c:v>1.2</c:v>
                </c:pt>
                <c:pt idx="150">
                  <c:v>1.2</c:v>
                </c:pt>
                <c:pt idx="151">
                  <c:v>1.2</c:v>
                </c:pt>
                <c:pt idx="152">
                  <c:v>1.2</c:v>
                </c:pt>
                <c:pt idx="153">
                  <c:v>1.2</c:v>
                </c:pt>
                <c:pt idx="154">
                  <c:v>1.2</c:v>
                </c:pt>
                <c:pt idx="155">
                  <c:v>1.2</c:v>
                </c:pt>
                <c:pt idx="156">
                  <c:v>1.2</c:v>
                </c:pt>
                <c:pt idx="157">
                  <c:v>1.2</c:v>
                </c:pt>
                <c:pt idx="158">
                  <c:v>1.2</c:v>
                </c:pt>
                <c:pt idx="159">
                  <c:v>1.2</c:v>
                </c:pt>
                <c:pt idx="160">
                  <c:v>1.2</c:v>
                </c:pt>
                <c:pt idx="161">
                  <c:v>1.2</c:v>
                </c:pt>
                <c:pt idx="162">
                  <c:v>1.2</c:v>
                </c:pt>
                <c:pt idx="163">
                  <c:v>1.2</c:v>
                </c:pt>
                <c:pt idx="164">
                  <c:v>1.2</c:v>
                </c:pt>
                <c:pt idx="165">
                  <c:v>1.2</c:v>
                </c:pt>
                <c:pt idx="166">
                  <c:v>1.2</c:v>
                </c:pt>
                <c:pt idx="167">
                  <c:v>1.2</c:v>
                </c:pt>
                <c:pt idx="168">
                  <c:v>1.2</c:v>
                </c:pt>
                <c:pt idx="169">
                  <c:v>1.2</c:v>
                </c:pt>
                <c:pt idx="170">
                  <c:v>1.2</c:v>
                </c:pt>
                <c:pt idx="171">
                  <c:v>1.2</c:v>
                </c:pt>
                <c:pt idx="172">
                  <c:v>1.2</c:v>
                </c:pt>
                <c:pt idx="173">
                  <c:v>1.2</c:v>
                </c:pt>
                <c:pt idx="174">
                  <c:v>1.2</c:v>
                </c:pt>
                <c:pt idx="175">
                  <c:v>1.2</c:v>
                </c:pt>
                <c:pt idx="176">
                  <c:v>1.2</c:v>
                </c:pt>
                <c:pt idx="177">
                  <c:v>1.2</c:v>
                </c:pt>
                <c:pt idx="178">
                  <c:v>1.2</c:v>
                </c:pt>
                <c:pt idx="179">
                  <c:v>1.2</c:v>
                </c:pt>
                <c:pt idx="180">
                  <c:v>1.2</c:v>
                </c:pt>
                <c:pt idx="181">
                  <c:v>1.2</c:v>
                </c:pt>
                <c:pt idx="182">
                  <c:v>1.2</c:v>
                </c:pt>
                <c:pt idx="183">
                  <c:v>1.2</c:v>
                </c:pt>
                <c:pt idx="184">
                  <c:v>1.2</c:v>
                </c:pt>
                <c:pt idx="185">
                  <c:v>1.2</c:v>
                </c:pt>
                <c:pt idx="186">
                  <c:v>1.2</c:v>
                </c:pt>
                <c:pt idx="187">
                  <c:v>1.2</c:v>
                </c:pt>
                <c:pt idx="188">
                  <c:v>1.2</c:v>
                </c:pt>
                <c:pt idx="189">
                  <c:v>1.2</c:v>
                </c:pt>
                <c:pt idx="190">
                  <c:v>1.2</c:v>
                </c:pt>
                <c:pt idx="191">
                  <c:v>1.2</c:v>
                </c:pt>
                <c:pt idx="192">
                  <c:v>1.2</c:v>
                </c:pt>
                <c:pt idx="193">
                  <c:v>1.2</c:v>
                </c:pt>
                <c:pt idx="194">
                  <c:v>1.2</c:v>
                </c:pt>
                <c:pt idx="195">
                  <c:v>1.2</c:v>
                </c:pt>
                <c:pt idx="196">
                  <c:v>1.2</c:v>
                </c:pt>
                <c:pt idx="197">
                  <c:v>1.2</c:v>
                </c:pt>
                <c:pt idx="198">
                  <c:v>1.2</c:v>
                </c:pt>
                <c:pt idx="199">
                  <c:v>1.2</c:v>
                </c:pt>
                <c:pt idx="200">
                  <c:v>1.2</c:v>
                </c:pt>
                <c:pt idx="201">
                  <c:v>1.2</c:v>
                </c:pt>
                <c:pt idx="202">
                  <c:v>1.2</c:v>
                </c:pt>
                <c:pt idx="203">
                  <c:v>1.2</c:v>
                </c:pt>
                <c:pt idx="204">
                  <c:v>1.2</c:v>
                </c:pt>
                <c:pt idx="205">
                  <c:v>1.2</c:v>
                </c:pt>
                <c:pt idx="206">
                  <c:v>1.2</c:v>
                </c:pt>
                <c:pt idx="207">
                  <c:v>1.2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1.2</c:v>
                </c:pt>
                <c:pt idx="226">
                  <c:v>1.2</c:v>
                </c:pt>
                <c:pt idx="227">
                  <c:v>1.2</c:v>
                </c:pt>
                <c:pt idx="228">
                  <c:v>1.2</c:v>
                </c:pt>
                <c:pt idx="229">
                  <c:v>1.2</c:v>
                </c:pt>
                <c:pt idx="230">
                  <c:v>1.2</c:v>
                </c:pt>
                <c:pt idx="231">
                  <c:v>1.2</c:v>
                </c:pt>
                <c:pt idx="232">
                  <c:v>1.2</c:v>
                </c:pt>
                <c:pt idx="233">
                  <c:v>1.2</c:v>
                </c:pt>
                <c:pt idx="234">
                  <c:v>1.2</c:v>
                </c:pt>
                <c:pt idx="235">
                  <c:v>1.2</c:v>
                </c:pt>
                <c:pt idx="236">
                  <c:v>1.2</c:v>
                </c:pt>
                <c:pt idx="237">
                  <c:v>1.2</c:v>
                </c:pt>
                <c:pt idx="238">
                  <c:v>1.2</c:v>
                </c:pt>
                <c:pt idx="239">
                  <c:v>1.2</c:v>
                </c:pt>
                <c:pt idx="240">
                  <c:v>1.2</c:v>
                </c:pt>
                <c:pt idx="241">
                  <c:v>1.2</c:v>
                </c:pt>
                <c:pt idx="242">
                  <c:v>1.2</c:v>
                </c:pt>
                <c:pt idx="243">
                  <c:v>1.2</c:v>
                </c:pt>
                <c:pt idx="244">
                  <c:v>1.2</c:v>
                </c:pt>
                <c:pt idx="245">
                  <c:v>1.2</c:v>
                </c:pt>
                <c:pt idx="246">
                  <c:v>1.2</c:v>
                </c:pt>
                <c:pt idx="247">
                  <c:v>1.2</c:v>
                </c:pt>
                <c:pt idx="248">
                  <c:v>1.2</c:v>
                </c:pt>
                <c:pt idx="249">
                  <c:v>1.2</c:v>
                </c:pt>
                <c:pt idx="250">
                  <c:v>1.2</c:v>
                </c:pt>
                <c:pt idx="251">
                  <c:v>1.2</c:v>
                </c:pt>
                <c:pt idx="252">
                  <c:v>1.2</c:v>
                </c:pt>
                <c:pt idx="253">
                  <c:v>1.2</c:v>
                </c:pt>
                <c:pt idx="254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F8-45B8-8B82-A53869154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476352"/>
        <c:axId val="586476928"/>
      </c:scatterChart>
      <c:valAx>
        <c:axId val="586475200"/>
        <c:scaling>
          <c:orientation val="minMax"/>
          <c:max val="45807"/>
          <c:min val="45554"/>
        </c:scaling>
        <c:delete val="0"/>
        <c:axPos val="b"/>
        <c:numFmt formatCode="dd/mm/yyyy;@" sourceLinked="0"/>
        <c:majorTickMark val="out"/>
        <c:minorTickMark val="none"/>
        <c:tickLblPos val="low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586475776"/>
        <c:crossesAt val="-1800"/>
        <c:crossBetween val="midCat"/>
        <c:majorUnit val="25"/>
      </c:valAx>
      <c:valAx>
        <c:axId val="586475776"/>
        <c:scaling>
          <c:orientation val="minMax"/>
          <c:max val="1800"/>
          <c:min val="-1800"/>
        </c:scaling>
        <c:delete val="0"/>
        <c:axPos val="l"/>
        <c:majorGridlines>
          <c:spPr>
            <a:ln w="3175">
              <a:solidFill>
                <a:schemeClr val="tx1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3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Độ lún（mm）</a:t>
                </a:r>
              </a:p>
            </c:rich>
          </c:tx>
          <c:layout>
            <c:manualLayout>
              <c:xMode val="edge"/>
              <c:yMode val="edge"/>
              <c:x val="1.7880170123771136E-2"/>
              <c:y val="0.34426600140328995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586475200"/>
        <c:crosses val="autoZero"/>
        <c:crossBetween val="midCat"/>
        <c:majorUnit val="200"/>
      </c:valAx>
      <c:valAx>
        <c:axId val="586476352"/>
        <c:scaling>
          <c:orientation val="minMax"/>
        </c:scaling>
        <c:delete val="1"/>
        <c:axPos val="t"/>
        <c:numFmt formatCode="[$-1010000]d/m/yyyy;@" sourceLinked="1"/>
        <c:majorTickMark val="out"/>
        <c:minorTickMark val="none"/>
        <c:tickLblPos val="nextTo"/>
        <c:crossAx val="586476928"/>
        <c:crossesAt val="0"/>
        <c:crossBetween val="midCat"/>
      </c:valAx>
      <c:valAx>
        <c:axId val="586476928"/>
        <c:scaling>
          <c:orientation val="minMax"/>
          <c:max val="6"/>
          <c:min val="-6"/>
        </c:scaling>
        <c:delete val="0"/>
        <c:axPos val="r"/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vi-VN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Chiều dày/cao độ đắp (m</a:t>
                </a:r>
                <a:r>
                  <a:rPr lang="vi-VN" sz="1000" b="0" i="0" u="none" strike="noStrike" baseline="0">
                    <a:solidFill>
                      <a:srgbClr val="000000"/>
                    </a:solidFill>
                    <a:ea typeface="宋体"/>
                  </a:rPr>
                  <a:t>）</a:t>
                </a:r>
              </a:p>
            </c:rich>
          </c:tx>
          <c:layout>
            <c:manualLayout>
              <c:xMode val="edge"/>
              <c:yMode val="edge"/>
              <c:x val="0.96166207126160286"/>
              <c:y val="0.24613445596528155"/>
            </c:manualLayout>
          </c:layout>
          <c:overlay val="0"/>
          <c:spPr>
            <a:noFill/>
            <a:ln w="25400">
              <a:noFill/>
            </a:ln>
          </c:spPr>
        </c:title>
        <c:numFmt formatCode="##.0#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586476352"/>
        <c:crosses val="max"/>
        <c:crossBetween val="midCat"/>
        <c:majorUnit val="1"/>
        <c:minorUnit val="1"/>
      </c:valAx>
      <c:spPr>
        <a:ln w="6350" cmpd="sng"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8.2956525764775524E-2"/>
          <c:y val="0.87384201208293577"/>
          <c:w val="0.82376524838877152"/>
          <c:h val="0.10335434939004758"/>
        </c:manualLayout>
      </c:layout>
      <c:overlay val="0"/>
      <c:spPr>
        <a:solidFill>
          <a:srgbClr val="FFFFFF"/>
        </a:solidFill>
        <a:ln w="6350" cap="flat">
          <a:solidFill>
            <a:srgbClr val="000000"/>
          </a:solidFill>
          <a:prstDash val="solid"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8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 sz="1500"/>
              <a:t>Biểu</a:t>
            </a:r>
            <a:r>
              <a:rPr lang="en-US" sz="1500" baseline="0"/>
              <a:t> đồ </a:t>
            </a:r>
            <a:r>
              <a:rPr lang="en-US" sz="1500"/>
              <a:t>Bàn quan trắc lún-Lý trình: Km83+780</a:t>
            </a:r>
          </a:p>
        </c:rich>
      </c:tx>
      <c:layout>
        <c:manualLayout>
          <c:xMode val="edge"/>
          <c:yMode val="edge"/>
          <c:x val="0.39979352028130694"/>
          <c:y val="4.3462874572937134E-2"/>
        </c:manualLayout>
      </c:layout>
      <c:overlay val="0"/>
      <c:spPr>
        <a:solidFill>
          <a:srgbClr val="FFFFFF"/>
        </a:solidFill>
        <a:ln w="6350">
          <a:solidFill>
            <a:srgbClr val="000000"/>
          </a:solidFill>
          <a:prstDash val="solid"/>
        </a:ln>
        <a:effectLst>
          <a:outerShdw sx="1000" sy="1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7.4589286974132543E-2"/>
          <c:y val="0.13662332142282568"/>
          <c:w val="0.83566878980891657"/>
          <c:h val="0.69972640034865863"/>
        </c:manualLayout>
      </c:layout>
      <c:scatterChart>
        <c:scatterStyle val="lineMarker"/>
        <c:varyColors val="0"/>
        <c:ser>
          <c:idx val="1"/>
          <c:order val="1"/>
          <c:tx>
            <c:strRef>
              <c:f>'Km83+780)'!$AF$9</c:f>
              <c:strCache>
                <c:ptCount val="1"/>
                <c:pt idx="0">
                  <c:v>Trái</c:v>
                </c:pt>
              </c:strCache>
            </c:strRef>
          </c:tx>
          <c:marker>
            <c:symbol val="circle"/>
            <c:size val="2"/>
            <c:spPr>
              <a:solidFill>
                <a:srgbClr val="FF00FF"/>
              </a:solidFill>
              <a:ln w="12700">
                <a:solidFill>
                  <a:srgbClr val="FF00FF"/>
                </a:solidFill>
                <a:prstDash val="solid"/>
              </a:ln>
            </c:spPr>
          </c:marker>
          <c:xVal>
            <c:numRef>
              <c:f>'Km83+780)'!$B$11:$B$369</c:f>
              <c:numCache>
                <c:formatCode>[$-1010000]d/m/yyyy;@</c:formatCode>
                <c:ptCount val="359"/>
                <c:pt idx="0">
                  <c:v>45554</c:v>
                </c:pt>
                <c:pt idx="1">
                  <c:v>45555</c:v>
                </c:pt>
                <c:pt idx="2">
                  <c:v>45556</c:v>
                </c:pt>
                <c:pt idx="3">
                  <c:v>45557</c:v>
                </c:pt>
                <c:pt idx="4">
                  <c:v>45558</c:v>
                </c:pt>
                <c:pt idx="5">
                  <c:v>45559</c:v>
                </c:pt>
                <c:pt idx="6">
                  <c:v>45560</c:v>
                </c:pt>
                <c:pt idx="7">
                  <c:v>45561</c:v>
                </c:pt>
                <c:pt idx="8">
                  <c:v>45562</c:v>
                </c:pt>
                <c:pt idx="9">
                  <c:v>45563</c:v>
                </c:pt>
                <c:pt idx="10">
                  <c:v>45564</c:v>
                </c:pt>
                <c:pt idx="11">
                  <c:v>45565</c:v>
                </c:pt>
                <c:pt idx="12">
                  <c:v>45566</c:v>
                </c:pt>
                <c:pt idx="13">
                  <c:v>45567</c:v>
                </c:pt>
                <c:pt idx="14">
                  <c:v>45568</c:v>
                </c:pt>
                <c:pt idx="15">
                  <c:v>45569</c:v>
                </c:pt>
                <c:pt idx="16">
                  <c:v>45570</c:v>
                </c:pt>
                <c:pt idx="17">
                  <c:v>45571</c:v>
                </c:pt>
                <c:pt idx="18">
                  <c:v>45572</c:v>
                </c:pt>
                <c:pt idx="19">
                  <c:v>45573</c:v>
                </c:pt>
                <c:pt idx="20">
                  <c:v>45574</c:v>
                </c:pt>
                <c:pt idx="21">
                  <c:v>45575</c:v>
                </c:pt>
                <c:pt idx="22">
                  <c:v>45576</c:v>
                </c:pt>
                <c:pt idx="23">
                  <c:v>45577</c:v>
                </c:pt>
                <c:pt idx="24">
                  <c:v>45578</c:v>
                </c:pt>
                <c:pt idx="25">
                  <c:v>45579</c:v>
                </c:pt>
                <c:pt idx="26">
                  <c:v>45580</c:v>
                </c:pt>
                <c:pt idx="27">
                  <c:v>45581</c:v>
                </c:pt>
                <c:pt idx="28">
                  <c:v>45582</c:v>
                </c:pt>
                <c:pt idx="29">
                  <c:v>45583</c:v>
                </c:pt>
                <c:pt idx="30">
                  <c:v>45584</c:v>
                </c:pt>
                <c:pt idx="31">
                  <c:v>45585</c:v>
                </c:pt>
                <c:pt idx="32">
                  <c:v>45586</c:v>
                </c:pt>
                <c:pt idx="33">
                  <c:v>45587</c:v>
                </c:pt>
                <c:pt idx="34">
                  <c:v>45588</c:v>
                </c:pt>
                <c:pt idx="35">
                  <c:v>45589</c:v>
                </c:pt>
                <c:pt idx="36">
                  <c:v>45590</c:v>
                </c:pt>
                <c:pt idx="37">
                  <c:v>45591</c:v>
                </c:pt>
                <c:pt idx="38">
                  <c:v>45592</c:v>
                </c:pt>
                <c:pt idx="39">
                  <c:v>45593</c:v>
                </c:pt>
                <c:pt idx="40">
                  <c:v>45594</c:v>
                </c:pt>
                <c:pt idx="41">
                  <c:v>45595</c:v>
                </c:pt>
                <c:pt idx="42">
                  <c:v>45596</c:v>
                </c:pt>
                <c:pt idx="43">
                  <c:v>45597</c:v>
                </c:pt>
                <c:pt idx="44">
                  <c:v>45598</c:v>
                </c:pt>
                <c:pt idx="45">
                  <c:v>45599</c:v>
                </c:pt>
                <c:pt idx="46">
                  <c:v>45600</c:v>
                </c:pt>
                <c:pt idx="47">
                  <c:v>45601</c:v>
                </c:pt>
                <c:pt idx="48">
                  <c:v>45602</c:v>
                </c:pt>
                <c:pt idx="49">
                  <c:v>45603</c:v>
                </c:pt>
                <c:pt idx="50">
                  <c:v>45604</c:v>
                </c:pt>
                <c:pt idx="51">
                  <c:v>45605</c:v>
                </c:pt>
                <c:pt idx="52">
                  <c:v>45606</c:v>
                </c:pt>
                <c:pt idx="53">
                  <c:v>45607</c:v>
                </c:pt>
                <c:pt idx="54">
                  <c:v>45608</c:v>
                </c:pt>
                <c:pt idx="55">
                  <c:v>45609</c:v>
                </c:pt>
                <c:pt idx="56">
                  <c:v>45610</c:v>
                </c:pt>
                <c:pt idx="57">
                  <c:v>45611</c:v>
                </c:pt>
                <c:pt idx="58">
                  <c:v>45612</c:v>
                </c:pt>
                <c:pt idx="59">
                  <c:v>45613</c:v>
                </c:pt>
                <c:pt idx="60">
                  <c:v>45614</c:v>
                </c:pt>
                <c:pt idx="61">
                  <c:v>45615</c:v>
                </c:pt>
                <c:pt idx="62">
                  <c:v>45616</c:v>
                </c:pt>
                <c:pt idx="63">
                  <c:v>45617</c:v>
                </c:pt>
                <c:pt idx="64">
                  <c:v>45618</c:v>
                </c:pt>
                <c:pt idx="65">
                  <c:v>45619</c:v>
                </c:pt>
                <c:pt idx="66">
                  <c:v>45620</c:v>
                </c:pt>
                <c:pt idx="67">
                  <c:v>45621</c:v>
                </c:pt>
                <c:pt idx="68">
                  <c:v>45622</c:v>
                </c:pt>
                <c:pt idx="69">
                  <c:v>45623</c:v>
                </c:pt>
                <c:pt idx="70">
                  <c:v>45624</c:v>
                </c:pt>
                <c:pt idx="71">
                  <c:v>45625</c:v>
                </c:pt>
                <c:pt idx="72">
                  <c:v>45626</c:v>
                </c:pt>
                <c:pt idx="73">
                  <c:v>45627</c:v>
                </c:pt>
                <c:pt idx="74">
                  <c:v>45628</c:v>
                </c:pt>
                <c:pt idx="75">
                  <c:v>45629</c:v>
                </c:pt>
                <c:pt idx="76">
                  <c:v>45630</c:v>
                </c:pt>
                <c:pt idx="77">
                  <c:v>45631</c:v>
                </c:pt>
                <c:pt idx="78">
                  <c:v>45632</c:v>
                </c:pt>
                <c:pt idx="79">
                  <c:v>45633</c:v>
                </c:pt>
                <c:pt idx="80">
                  <c:v>45634</c:v>
                </c:pt>
                <c:pt idx="81">
                  <c:v>45635</c:v>
                </c:pt>
                <c:pt idx="82">
                  <c:v>45636</c:v>
                </c:pt>
                <c:pt idx="83">
                  <c:v>45637</c:v>
                </c:pt>
                <c:pt idx="84">
                  <c:v>45638</c:v>
                </c:pt>
                <c:pt idx="85">
                  <c:v>45639</c:v>
                </c:pt>
                <c:pt idx="86">
                  <c:v>45640</c:v>
                </c:pt>
                <c:pt idx="87">
                  <c:v>45641</c:v>
                </c:pt>
                <c:pt idx="88">
                  <c:v>45642</c:v>
                </c:pt>
                <c:pt idx="89">
                  <c:v>45643</c:v>
                </c:pt>
                <c:pt idx="90">
                  <c:v>45644</c:v>
                </c:pt>
                <c:pt idx="91">
                  <c:v>45645</c:v>
                </c:pt>
                <c:pt idx="92">
                  <c:v>45646</c:v>
                </c:pt>
                <c:pt idx="93">
                  <c:v>45647</c:v>
                </c:pt>
                <c:pt idx="94">
                  <c:v>45648</c:v>
                </c:pt>
                <c:pt idx="95">
                  <c:v>45649</c:v>
                </c:pt>
                <c:pt idx="96">
                  <c:v>45650</c:v>
                </c:pt>
                <c:pt idx="97">
                  <c:v>45651</c:v>
                </c:pt>
                <c:pt idx="98">
                  <c:v>45652</c:v>
                </c:pt>
                <c:pt idx="99">
                  <c:v>45653</c:v>
                </c:pt>
                <c:pt idx="100">
                  <c:v>45654</c:v>
                </c:pt>
                <c:pt idx="101">
                  <c:v>45655</c:v>
                </c:pt>
                <c:pt idx="102">
                  <c:v>45656</c:v>
                </c:pt>
                <c:pt idx="103">
                  <c:v>45657</c:v>
                </c:pt>
                <c:pt idx="104">
                  <c:v>45658</c:v>
                </c:pt>
                <c:pt idx="105">
                  <c:v>45659</c:v>
                </c:pt>
                <c:pt idx="106">
                  <c:v>45660</c:v>
                </c:pt>
                <c:pt idx="107">
                  <c:v>45661</c:v>
                </c:pt>
                <c:pt idx="108">
                  <c:v>45662</c:v>
                </c:pt>
                <c:pt idx="109">
                  <c:v>45663</c:v>
                </c:pt>
                <c:pt idx="110">
                  <c:v>45664</c:v>
                </c:pt>
                <c:pt idx="111">
                  <c:v>45665</c:v>
                </c:pt>
                <c:pt idx="112">
                  <c:v>45666</c:v>
                </c:pt>
                <c:pt idx="113">
                  <c:v>45667</c:v>
                </c:pt>
                <c:pt idx="114">
                  <c:v>45668</c:v>
                </c:pt>
                <c:pt idx="115">
                  <c:v>45669</c:v>
                </c:pt>
                <c:pt idx="116">
                  <c:v>45670</c:v>
                </c:pt>
                <c:pt idx="117">
                  <c:v>45671</c:v>
                </c:pt>
                <c:pt idx="118">
                  <c:v>45672</c:v>
                </c:pt>
                <c:pt idx="119">
                  <c:v>45673</c:v>
                </c:pt>
                <c:pt idx="120">
                  <c:v>45674</c:v>
                </c:pt>
                <c:pt idx="121">
                  <c:v>45675</c:v>
                </c:pt>
                <c:pt idx="122">
                  <c:v>45676</c:v>
                </c:pt>
                <c:pt idx="123">
                  <c:v>45677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45682</c:v>
                </c:pt>
                <c:pt idx="129">
                  <c:v>45683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45689</c:v>
                </c:pt>
                <c:pt idx="136">
                  <c:v>45690</c:v>
                </c:pt>
                <c:pt idx="137">
                  <c:v>45691</c:v>
                </c:pt>
                <c:pt idx="138">
                  <c:v>45692</c:v>
                </c:pt>
                <c:pt idx="139">
                  <c:v>45693</c:v>
                </c:pt>
                <c:pt idx="140">
                  <c:v>45694</c:v>
                </c:pt>
                <c:pt idx="141">
                  <c:v>45695</c:v>
                </c:pt>
                <c:pt idx="142">
                  <c:v>45696</c:v>
                </c:pt>
                <c:pt idx="143">
                  <c:v>45697</c:v>
                </c:pt>
                <c:pt idx="144">
                  <c:v>45698</c:v>
                </c:pt>
                <c:pt idx="145">
                  <c:v>45699</c:v>
                </c:pt>
                <c:pt idx="146">
                  <c:v>45700</c:v>
                </c:pt>
                <c:pt idx="147">
                  <c:v>45701</c:v>
                </c:pt>
                <c:pt idx="148">
                  <c:v>45702</c:v>
                </c:pt>
                <c:pt idx="149">
                  <c:v>45703</c:v>
                </c:pt>
                <c:pt idx="150">
                  <c:v>45704</c:v>
                </c:pt>
                <c:pt idx="151">
                  <c:v>45705</c:v>
                </c:pt>
                <c:pt idx="152">
                  <c:v>45706</c:v>
                </c:pt>
                <c:pt idx="153">
                  <c:v>45707</c:v>
                </c:pt>
                <c:pt idx="154">
                  <c:v>45708</c:v>
                </c:pt>
                <c:pt idx="155">
                  <c:v>45709</c:v>
                </c:pt>
                <c:pt idx="156">
                  <c:v>45710</c:v>
                </c:pt>
                <c:pt idx="157">
                  <c:v>45711</c:v>
                </c:pt>
                <c:pt idx="158">
                  <c:v>45712</c:v>
                </c:pt>
                <c:pt idx="159">
                  <c:v>45713</c:v>
                </c:pt>
                <c:pt idx="160">
                  <c:v>45714</c:v>
                </c:pt>
                <c:pt idx="161">
                  <c:v>45715</c:v>
                </c:pt>
                <c:pt idx="162">
                  <c:v>45716</c:v>
                </c:pt>
                <c:pt idx="163">
                  <c:v>45717</c:v>
                </c:pt>
                <c:pt idx="164">
                  <c:v>45718</c:v>
                </c:pt>
                <c:pt idx="165">
                  <c:v>45719</c:v>
                </c:pt>
                <c:pt idx="166">
                  <c:v>45720</c:v>
                </c:pt>
                <c:pt idx="167">
                  <c:v>45721</c:v>
                </c:pt>
                <c:pt idx="168">
                  <c:v>45722</c:v>
                </c:pt>
                <c:pt idx="169">
                  <c:v>45723</c:v>
                </c:pt>
                <c:pt idx="170">
                  <c:v>45724</c:v>
                </c:pt>
                <c:pt idx="171">
                  <c:v>45725</c:v>
                </c:pt>
                <c:pt idx="172">
                  <c:v>45726</c:v>
                </c:pt>
                <c:pt idx="173">
                  <c:v>45727</c:v>
                </c:pt>
                <c:pt idx="174">
                  <c:v>45728</c:v>
                </c:pt>
                <c:pt idx="175">
                  <c:v>45729</c:v>
                </c:pt>
                <c:pt idx="176">
                  <c:v>45730</c:v>
                </c:pt>
                <c:pt idx="177">
                  <c:v>45731</c:v>
                </c:pt>
                <c:pt idx="178">
                  <c:v>45732</c:v>
                </c:pt>
                <c:pt idx="179">
                  <c:v>45733</c:v>
                </c:pt>
                <c:pt idx="180">
                  <c:v>45734</c:v>
                </c:pt>
                <c:pt idx="181">
                  <c:v>45735</c:v>
                </c:pt>
                <c:pt idx="182">
                  <c:v>45736</c:v>
                </c:pt>
                <c:pt idx="183">
                  <c:v>45737</c:v>
                </c:pt>
                <c:pt idx="184">
                  <c:v>45738</c:v>
                </c:pt>
                <c:pt idx="185">
                  <c:v>45739</c:v>
                </c:pt>
                <c:pt idx="186">
                  <c:v>45740</c:v>
                </c:pt>
                <c:pt idx="187">
                  <c:v>45741</c:v>
                </c:pt>
                <c:pt idx="188">
                  <c:v>45742</c:v>
                </c:pt>
                <c:pt idx="189">
                  <c:v>45743</c:v>
                </c:pt>
                <c:pt idx="190">
                  <c:v>45744</c:v>
                </c:pt>
                <c:pt idx="191">
                  <c:v>45744</c:v>
                </c:pt>
                <c:pt idx="192">
                  <c:v>45745</c:v>
                </c:pt>
                <c:pt idx="193">
                  <c:v>45746</c:v>
                </c:pt>
                <c:pt idx="194">
                  <c:v>45747</c:v>
                </c:pt>
                <c:pt idx="195">
                  <c:v>45748</c:v>
                </c:pt>
                <c:pt idx="196">
                  <c:v>45749</c:v>
                </c:pt>
                <c:pt idx="197">
                  <c:v>45750</c:v>
                </c:pt>
                <c:pt idx="198">
                  <c:v>45751</c:v>
                </c:pt>
                <c:pt idx="199">
                  <c:v>45752</c:v>
                </c:pt>
                <c:pt idx="200">
                  <c:v>45753</c:v>
                </c:pt>
                <c:pt idx="201">
                  <c:v>45754</c:v>
                </c:pt>
                <c:pt idx="202">
                  <c:v>45755</c:v>
                </c:pt>
                <c:pt idx="203">
                  <c:v>45756</c:v>
                </c:pt>
                <c:pt idx="204">
                  <c:v>45757</c:v>
                </c:pt>
                <c:pt idx="205">
                  <c:v>45758</c:v>
                </c:pt>
                <c:pt idx="206">
                  <c:v>45759</c:v>
                </c:pt>
                <c:pt idx="207">
                  <c:v>45760</c:v>
                </c:pt>
                <c:pt idx="208">
                  <c:v>45761</c:v>
                </c:pt>
                <c:pt idx="209">
                  <c:v>45762</c:v>
                </c:pt>
                <c:pt idx="210">
                  <c:v>45763</c:v>
                </c:pt>
                <c:pt idx="211">
                  <c:v>45764</c:v>
                </c:pt>
                <c:pt idx="212">
                  <c:v>45765</c:v>
                </c:pt>
                <c:pt idx="213">
                  <c:v>45766</c:v>
                </c:pt>
                <c:pt idx="214">
                  <c:v>45767</c:v>
                </c:pt>
                <c:pt idx="215">
                  <c:v>45768</c:v>
                </c:pt>
                <c:pt idx="216">
                  <c:v>45769</c:v>
                </c:pt>
                <c:pt idx="217">
                  <c:v>45770</c:v>
                </c:pt>
                <c:pt idx="218">
                  <c:v>45771</c:v>
                </c:pt>
                <c:pt idx="219">
                  <c:v>45772</c:v>
                </c:pt>
                <c:pt idx="220">
                  <c:v>45773</c:v>
                </c:pt>
                <c:pt idx="221">
                  <c:v>45774</c:v>
                </c:pt>
                <c:pt idx="222">
                  <c:v>45775</c:v>
                </c:pt>
                <c:pt idx="223">
                  <c:v>45776</c:v>
                </c:pt>
                <c:pt idx="224">
                  <c:v>45777</c:v>
                </c:pt>
                <c:pt idx="225">
                  <c:v>45778</c:v>
                </c:pt>
                <c:pt idx="226">
                  <c:v>45779</c:v>
                </c:pt>
                <c:pt idx="227">
                  <c:v>45780</c:v>
                </c:pt>
                <c:pt idx="228">
                  <c:v>45781</c:v>
                </c:pt>
                <c:pt idx="229">
                  <c:v>45782</c:v>
                </c:pt>
                <c:pt idx="230">
                  <c:v>45783</c:v>
                </c:pt>
                <c:pt idx="231">
                  <c:v>45784</c:v>
                </c:pt>
                <c:pt idx="232">
                  <c:v>45785</c:v>
                </c:pt>
                <c:pt idx="233">
                  <c:v>45786</c:v>
                </c:pt>
                <c:pt idx="234">
                  <c:v>45787</c:v>
                </c:pt>
                <c:pt idx="235">
                  <c:v>45788</c:v>
                </c:pt>
                <c:pt idx="236">
                  <c:v>45789</c:v>
                </c:pt>
                <c:pt idx="237">
                  <c:v>45790</c:v>
                </c:pt>
                <c:pt idx="238">
                  <c:v>45791</c:v>
                </c:pt>
                <c:pt idx="239">
                  <c:v>45792</c:v>
                </c:pt>
                <c:pt idx="240">
                  <c:v>45793</c:v>
                </c:pt>
                <c:pt idx="241">
                  <c:v>45794</c:v>
                </c:pt>
                <c:pt idx="242">
                  <c:v>45795</c:v>
                </c:pt>
                <c:pt idx="243">
                  <c:v>45796</c:v>
                </c:pt>
                <c:pt idx="244">
                  <c:v>45797</c:v>
                </c:pt>
                <c:pt idx="245">
                  <c:v>45798</c:v>
                </c:pt>
                <c:pt idx="246">
                  <c:v>45799</c:v>
                </c:pt>
                <c:pt idx="247">
                  <c:v>45800</c:v>
                </c:pt>
                <c:pt idx="248">
                  <c:v>45801</c:v>
                </c:pt>
                <c:pt idx="249">
                  <c:v>45802</c:v>
                </c:pt>
                <c:pt idx="250">
                  <c:v>45803</c:v>
                </c:pt>
                <c:pt idx="251">
                  <c:v>45804</c:v>
                </c:pt>
                <c:pt idx="252">
                  <c:v>45805</c:v>
                </c:pt>
                <c:pt idx="253">
                  <c:v>45806</c:v>
                </c:pt>
                <c:pt idx="254">
                  <c:v>45807</c:v>
                </c:pt>
                <c:pt idx="255">
                  <c:v>45808</c:v>
                </c:pt>
              </c:numCache>
            </c:numRef>
          </c:xVal>
          <c:yVal>
            <c:numRef>
              <c:f>'Km83+780)'!$AF$11:$AF$493</c:f>
              <c:numCache>
                <c:formatCode>0</c:formatCode>
                <c:ptCount val="483"/>
                <c:pt idx="0">
                  <c:v>0</c:v>
                </c:pt>
                <c:pt idx="1">
                  <c:v>-3</c:v>
                </c:pt>
                <c:pt idx="2">
                  <c:v>-5</c:v>
                </c:pt>
                <c:pt idx="3">
                  <c:v>-9</c:v>
                </c:pt>
                <c:pt idx="4">
                  <c:v>-13</c:v>
                </c:pt>
                <c:pt idx="5">
                  <c:v>-17</c:v>
                </c:pt>
                <c:pt idx="6">
                  <c:v>-20</c:v>
                </c:pt>
                <c:pt idx="7">
                  <c:v>-23</c:v>
                </c:pt>
                <c:pt idx="8">
                  <c:v>-28</c:v>
                </c:pt>
                <c:pt idx="9">
                  <c:v>-32</c:v>
                </c:pt>
                <c:pt idx="10">
                  <c:v>-35</c:v>
                </c:pt>
                <c:pt idx="11">
                  <c:v>-38</c:v>
                </c:pt>
                <c:pt idx="12">
                  <c:v>-43</c:v>
                </c:pt>
                <c:pt idx="13">
                  <c:v>-47</c:v>
                </c:pt>
                <c:pt idx="14">
                  <c:v>-50</c:v>
                </c:pt>
                <c:pt idx="15">
                  <c:v>-53</c:v>
                </c:pt>
                <c:pt idx="16">
                  <c:v>-56</c:v>
                </c:pt>
                <c:pt idx="17">
                  <c:v>-59</c:v>
                </c:pt>
                <c:pt idx="18">
                  <c:v>-61</c:v>
                </c:pt>
                <c:pt idx="19">
                  <c:v>-63</c:v>
                </c:pt>
                <c:pt idx="20">
                  <c:v>-64</c:v>
                </c:pt>
                <c:pt idx="21">
                  <c:v>-66</c:v>
                </c:pt>
                <c:pt idx="22">
                  <c:v>-68</c:v>
                </c:pt>
                <c:pt idx="23">
                  <c:v>-70</c:v>
                </c:pt>
                <c:pt idx="24">
                  <c:v>-71</c:v>
                </c:pt>
                <c:pt idx="25">
                  <c:v>-72</c:v>
                </c:pt>
                <c:pt idx="26">
                  <c:v>-73</c:v>
                </c:pt>
                <c:pt idx="27">
                  <c:v>-73</c:v>
                </c:pt>
                <c:pt idx="28">
                  <c:v>-74</c:v>
                </c:pt>
                <c:pt idx="29">
                  <c:v>-75</c:v>
                </c:pt>
                <c:pt idx="30">
                  <c:v>-76</c:v>
                </c:pt>
                <c:pt idx="31">
                  <c:v>-76</c:v>
                </c:pt>
                <c:pt idx="32">
                  <c:v>-76</c:v>
                </c:pt>
                <c:pt idx="33">
                  <c:v>-78</c:v>
                </c:pt>
                <c:pt idx="34">
                  <c:v>-78</c:v>
                </c:pt>
                <c:pt idx="35">
                  <c:v>-81</c:v>
                </c:pt>
                <c:pt idx="36">
                  <c:v>-81</c:v>
                </c:pt>
                <c:pt idx="37">
                  <c:v>-82</c:v>
                </c:pt>
                <c:pt idx="38">
                  <c:v>-83</c:v>
                </c:pt>
                <c:pt idx="39">
                  <c:v>-83</c:v>
                </c:pt>
                <c:pt idx="40">
                  <c:v>-83</c:v>
                </c:pt>
                <c:pt idx="41">
                  <c:v>-86</c:v>
                </c:pt>
                <c:pt idx="42">
                  <c:v>-87</c:v>
                </c:pt>
                <c:pt idx="43">
                  <c:v>-87</c:v>
                </c:pt>
                <c:pt idx="44">
                  <c:v>-88</c:v>
                </c:pt>
                <c:pt idx="45">
                  <c:v>-88</c:v>
                </c:pt>
                <c:pt idx="46">
                  <c:v>-89</c:v>
                </c:pt>
                <c:pt idx="47">
                  <c:v>-90</c:v>
                </c:pt>
                <c:pt idx="48">
                  <c:v>-90</c:v>
                </c:pt>
                <c:pt idx="49">
                  <c:v>-91</c:v>
                </c:pt>
                <c:pt idx="50">
                  <c:v>-92</c:v>
                </c:pt>
                <c:pt idx="51">
                  <c:v>-94</c:v>
                </c:pt>
                <c:pt idx="52">
                  <c:v>-94</c:v>
                </c:pt>
                <c:pt idx="53">
                  <c:v>-94</c:v>
                </c:pt>
                <c:pt idx="54">
                  <c:v>-94</c:v>
                </c:pt>
                <c:pt idx="55">
                  <c:v>-94</c:v>
                </c:pt>
                <c:pt idx="56">
                  <c:v>-94</c:v>
                </c:pt>
                <c:pt idx="57">
                  <c:v>-94</c:v>
                </c:pt>
                <c:pt idx="58">
                  <c:v>-96</c:v>
                </c:pt>
                <c:pt idx="59">
                  <c:v>-96</c:v>
                </c:pt>
                <c:pt idx="60">
                  <c:v>-97</c:v>
                </c:pt>
                <c:pt idx="61">
                  <c:v>-98</c:v>
                </c:pt>
                <c:pt idx="62">
                  <c:v>-98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-102</c:v>
                </c:pt>
                <c:pt idx="69">
                  <c:v>-102</c:v>
                </c:pt>
                <c:pt idx="70">
                  <c:v>-105</c:v>
                </c:pt>
                <c:pt idx="71">
                  <c:v>-105</c:v>
                </c:pt>
                <c:pt idx="72">
                  <c:v>-105</c:v>
                </c:pt>
                <c:pt idx="73">
                  <c:v>-106</c:v>
                </c:pt>
                <c:pt idx="74">
                  <c:v>-107</c:v>
                </c:pt>
                <c:pt idx="75">
                  <c:v>-110</c:v>
                </c:pt>
                <c:pt idx="76">
                  <c:v>-111</c:v>
                </c:pt>
                <c:pt idx="77">
                  <c:v>-111</c:v>
                </c:pt>
                <c:pt idx="78">
                  <c:v>-112</c:v>
                </c:pt>
                <c:pt idx="79">
                  <c:v>-114</c:v>
                </c:pt>
                <c:pt idx="80">
                  <c:v>-114</c:v>
                </c:pt>
                <c:pt idx="81">
                  <c:v>-114</c:v>
                </c:pt>
                <c:pt idx="82">
                  <c:v>-114</c:v>
                </c:pt>
                <c:pt idx="83">
                  <c:v>-114</c:v>
                </c:pt>
                <c:pt idx="84">
                  <c:v>-114</c:v>
                </c:pt>
                <c:pt idx="85">
                  <c:v>-114</c:v>
                </c:pt>
                <c:pt idx="86">
                  <c:v>-114</c:v>
                </c:pt>
                <c:pt idx="87">
                  <c:v>-115</c:v>
                </c:pt>
                <c:pt idx="88">
                  <c:v>-115</c:v>
                </c:pt>
                <c:pt idx="89">
                  <c:v>-115</c:v>
                </c:pt>
                <c:pt idx="90">
                  <c:v>-115</c:v>
                </c:pt>
                <c:pt idx="91">
                  <c:v>-117</c:v>
                </c:pt>
                <c:pt idx="92">
                  <c:v>-117</c:v>
                </c:pt>
                <c:pt idx="93">
                  <c:v>-117</c:v>
                </c:pt>
                <c:pt idx="94">
                  <c:v>-117</c:v>
                </c:pt>
                <c:pt idx="95">
                  <c:v>-120</c:v>
                </c:pt>
                <c:pt idx="96">
                  <c:v>-120</c:v>
                </c:pt>
                <c:pt idx="97">
                  <c:v>-120</c:v>
                </c:pt>
                <c:pt idx="98">
                  <c:v>-120</c:v>
                </c:pt>
                <c:pt idx="99">
                  <c:v>-121</c:v>
                </c:pt>
                <c:pt idx="100">
                  <c:v>-123</c:v>
                </c:pt>
                <c:pt idx="101">
                  <c:v>-123</c:v>
                </c:pt>
                <c:pt idx="102">
                  <c:v>-124</c:v>
                </c:pt>
                <c:pt idx="103">
                  <c:v>-124</c:v>
                </c:pt>
                <c:pt idx="104">
                  <c:v>-125</c:v>
                </c:pt>
                <c:pt idx="105">
                  <c:v>-127</c:v>
                </c:pt>
                <c:pt idx="106">
                  <c:v>-127</c:v>
                </c:pt>
                <c:pt idx="107">
                  <c:v>-129</c:v>
                </c:pt>
                <c:pt idx="108">
                  <c:v>-129</c:v>
                </c:pt>
                <c:pt idx="109">
                  <c:v>-129</c:v>
                </c:pt>
                <c:pt idx="110">
                  <c:v>-131</c:v>
                </c:pt>
                <c:pt idx="111">
                  <c:v>-131</c:v>
                </c:pt>
                <c:pt idx="112">
                  <c:v>-131</c:v>
                </c:pt>
                <c:pt idx="113">
                  <c:v>-132</c:v>
                </c:pt>
                <c:pt idx="114">
                  <c:v>-132</c:v>
                </c:pt>
                <c:pt idx="115">
                  <c:v>-132</c:v>
                </c:pt>
                <c:pt idx="116">
                  <c:v>-132</c:v>
                </c:pt>
                <c:pt idx="117">
                  <c:v>-132</c:v>
                </c:pt>
                <c:pt idx="118">
                  <c:v>-132</c:v>
                </c:pt>
                <c:pt idx="119">
                  <c:v>-133</c:v>
                </c:pt>
                <c:pt idx="120">
                  <c:v>-133</c:v>
                </c:pt>
                <c:pt idx="121">
                  <c:v>-133</c:v>
                </c:pt>
                <c:pt idx="122">
                  <c:v>-133</c:v>
                </c:pt>
                <c:pt idx="123">
                  <c:v>-133</c:v>
                </c:pt>
                <c:pt idx="124">
                  <c:v>-134</c:v>
                </c:pt>
                <c:pt idx="125">
                  <c:v>-135</c:v>
                </c:pt>
                <c:pt idx="126">
                  <c:v>-135</c:v>
                </c:pt>
                <c:pt idx="127">
                  <c:v>-135</c:v>
                </c:pt>
                <c:pt idx="128">
                  <c:v>-135</c:v>
                </c:pt>
                <c:pt idx="129">
                  <c:v>-137</c:v>
                </c:pt>
                <c:pt idx="130">
                  <c:v>-137</c:v>
                </c:pt>
                <c:pt idx="131">
                  <c:v>-137</c:v>
                </c:pt>
                <c:pt idx="132">
                  <c:v>-137</c:v>
                </c:pt>
                <c:pt idx="133">
                  <c:v>-139</c:v>
                </c:pt>
                <c:pt idx="134">
                  <c:v>-139</c:v>
                </c:pt>
                <c:pt idx="135">
                  <c:v>-139</c:v>
                </c:pt>
                <c:pt idx="136">
                  <c:v>-139</c:v>
                </c:pt>
                <c:pt idx="137">
                  <c:v>-139</c:v>
                </c:pt>
                <c:pt idx="138">
                  <c:v>-141</c:v>
                </c:pt>
                <c:pt idx="139">
                  <c:v>-141</c:v>
                </c:pt>
                <c:pt idx="140">
                  <c:v>-141</c:v>
                </c:pt>
                <c:pt idx="141">
                  <c:v>-141</c:v>
                </c:pt>
                <c:pt idx="142">
                  <c:v>-141</c:v>
                </c:pt>
                <c:pt idx="143">
                  <c:v>-143</c:v>
                </c:pt>
                <c:pt idx="144">
                  <c:v>-143</c:v>
                </c:pt>
                <c:pt idx="145">
                  <c:v>-144</c:v>
                </c:pt>
                <c:pt idx="146">
                  <c:v>-145</c:v>
                </c:pt>
                <c:pt idx="147">
                  <c:v>-145</c:v>
                </c:pt>
                <c:pt idx="148">
                  <c:v>-147</c:v>
                </c:pt>
                <c:pt idx="149">
                  <c:v>-147</c:v>
                </c:pt>
                <c:pt idx="150">
                  <c:v>-147</c:v>
                </c:pt>
                <c:pt idx="151">
                  <c:v>-147</c:v>
                </c:pt>
                <c:pt idx="152">
                  <c:v>-147</c:v>
                </c:pt>
                <c:pt idx="153">
                  <c:v>-147</c:v>
                </c:pt>
                <c:pt idx="154">
                  <c:v>-147</c:v>
                </c:pt>
                <c:pt idx="155">
                  <c:v>-149</c:v>
                </c:pt>
                <c:pt idx="156">
                  <c:v>-149</c:v>
                </c:pt>
                <c:pt idx="157">
                  <c:v>-149</c:v>
                </c:pt>
                <c:pt idx="158">
                  <c:v>-150</c:v>
                </c:pt>
                <c:pt idx="159">
                  <c:v>-151</c:v>
                </c:pt>
                <c:pt idx="160">
                  <c:v>-151</c:v>
                </c:pt>
                <c:pt idx="161">
                  <c:v>-152</c:v>
                </c:pt>
                <c:pt idx="162">
                  <c:v>-152</c:v>
                </c:pt>
                <c:pt idx="163">
                  <c:v>-153</c:v>
                </c:pt>
                <c:pt idx="164">
                  <c:v>-155</c:v>
                </c:pt>
                <c:pt idx="165">
                  <c:v>-157</c:v>
                </c:pt>
                <c:pt idx="166">
                  <c:v>-158</c:v>
                </c:pt>
                <c:pt idx="167">
                  <c:v>-158</c:v>
                </c:pt>
                <c:pt idx="168">
                  <c:v>-158</c:v>
                </c:pt>
                <c:pt idx="169">
                  <c:v>-161</c:v>
                </c:pt>
                <c:pt idx="170">
                  <c:v>-161</c:v>
                </c:pt>
                <c:pt idx="171">
                  <c:v>-161</c:v>
                </c:pt>
                <c:pt idx="172">
                  <c:v>-162</c:v>
                </c:pt>
                <c:pt idx="173">
                  <c:v>-162</c:v>
                </c:pt>
                <c:pt idx="174">
                  <c:v>-162</c:v>
                </c:pt>
                <c:pt idx="175">
                  <c:v>-165</c:v>
                </c:pt>
                <c:pt idx="176">
                  <c:v>-167</c:v>
                </c:pt>
                <c:pt idx="177">
                  <c:v>-167</c:v>
                </c:pt>
                <c:pt idx="178">
                  <c:v>-167</c:v>
                </c:pt>
                <c:pt idx="179">
                  <c:v>-167</c:v>
                </c:pt>
                <c:pt idx="180">
                  <c:v>-167</c:v>
                </c:pt>
                <c:pt idx="181">
                  <c:v>-170</c:v>
                </c:pt>
                <c:pt idx="182">
                  <c:v>-170</c:v>
                </c:pt>
                <c:pt idx="183">
                  <c:v>-170</c:v>
                </c:pt>
                <c:pt idx="184">
                  <c:v>-171</c:v>
                </c:pt>
                <c:pt idx="185">
                  <c:v>-173</c:v>
                </c:pt>
                <c:pt idx="186">
                  <c:v>-173</c:v>
                </c:pt>
                <c:pt idx="187">
                  <c:v>-174</c:v>
                </c:pt>
                <c:pt idx="188">
                  <c:v>-174</c:v>
                </c:pt>
                <c:pt idx="189">
                  <c:v>-175</c:v>
                </c:pt>
                <c:pt idx="190">
                  <c:v>-176</c:v>
                </c:pt>
                <c:pt idx="191">
                  <c:v>-180</c:v>
                </c:pt>
                <c:pt idx="192">
                  <c:v>-185</c:v>
                </c:pt>
                <c:pt idx="193">
                  <c:v>-189</c:v>
                </c:pt>
                <c:pt idx="194">
                  <c:v>-192</c:v>
                </c:pt>
                <c:pt idx="195">
                  <c:v>-196</c:v>
                </c:pt>
                <c:pt idx="196">
                  <c:v>-199</c:v>
                </c:pt>
                <c:pt idx="197">
                  <c:v>-202</c:v>
                </c:pt>
                <c:pt idx="198">
                  <c:v>-206</c:v>
                </c:pt>
                <c:pt idx="199">
                  <c:v>-210</c:v>
                </c:pt>
                <c:pt idx="200">
                  <c:v>-214</c:v>
                </c:pt>
                <c:pt idx="201">
                  <c:v>-219</c:v>
                </c:pt>
                <c:pt idx="202">
                  <c:v>-224</c:v>
                </c:pt>
                <c:pt idx="203">
                  <c:v>-229</c:v>
                </c:pt>
                <c:pt idx="204">
                  <c:v>-234</c:v>
                </c:pt>
                <c:pt idx="205">
                  <c:v>-238</c:v>
                </c:pt>
                <c:pt idx="206">
                  <c:v>-243</c:v>
                </c:pt>
                <c:pt idx="207">
                  <c:v>-250</c:v>
                </c:pt>
                <c:pt idx="208">
                  <c:v>-256</c:v>
                </c:pt>
                <c:pt idx="209">
                  <c:v>-261</c:v>
                </c:pt>
                <c:pt idx="210">
                  <c:v>-269</c:v>
                </c:pt>
                <c:pt idx="211">
                  <c:v>-274</c:v>
                </c:pt>
                <c:pt idx="212">
                  <c:v>-281</c:v>
                </c:pt>
                <c:pt idx="213">
                  <c:v>-288</c:v>
                </c:pt>
                <c:pt idx="214">
                  <c:v>-295</c:v>
                </c:pt>
                <c:pt idx="215">
                  <c:v>-302</c:v>
                </c:pt>
                <c:pt idx="216">
                  <c:v>-308</c:v>
                </c:pt>
                <c:pt idx="217">
                  <c:v>-314</c:v>
                </c:pt>
                <c:pt idx="218">
                  <c:v>-318</c:v>
                </c:pt>
                <c:pt idx="219">
                  <c:v>-321</c:v>
                </c:pt>
                <c:pt idx="220">
                  <c:v>-325</c:v>
                </c:pt>
                <c:pt idx="221">
                  <c:v>-328</c:v>
                </c:pt>
                <c:pt idx="222">
                  <c:v>-332</c:v>
                </c:pt>
                <c:pt idx="223">
                  <c:v>-337</c:v>
                </c:pt>
                <c:pt idx="224">
                  <c:v>-342</c:v>
                </c:pt>
                <c:pt idx="225">
                  <c:v>-346</c:v>
                </c:pt>
                <c:pt idx="226">
                  <c:v>-351</c:v>
                </c:pt>
                <c:pt idx="227">
                  <c:v>-357</c:v>
                </c:pt>
                <c:pt idx="228">
                  <c:v>-360</c:v>
                </c:pt>
                <c:pt idx="229">
                  <c:v>-365</c:v>
                </c:pt>
                <c:pt idx="230">
                  <c:v>-370</c:v>
                </c:pt>
                <c:pt idx="231">
                  <c:v>-373</c:v>
                </c:pt>
                <c:pt idx="232">
                  <c:v>-376</c:v>
                </c:pt>
                <c:pt idx="233">
                  <c:v>-382</c:v>
                </c:pt>
                <c:pt idx="234">
                  <c:v>-388</c:v>
                </c:pt>
                <c:pt idx="235">
                  <c:v>-394</c:v>
                </c:pt>
                <c:pt idx="236">
                  <c:v>-398</c:v>
                </c:pt>
                <c:pt idx="237">
                  <c:v>-400</c:v>
                </c:pt>
                <c:pt idx="238">
                  <c:v>-402</c:v>
                </c:pt>
                <c:pt idx="239">
                  <c:v>-404</c:v>
                </c:pt>
                <c:pt idx="240">
                  <c:v>-407</c:v>
                </c:pt>
                <c:pt idx="241">
                  <c:v>-409</c:v>
                </c:pt>
                <c:pt idx="242">
                  <c:v>-411</c:v>
                </c:pt>
                <c:pt idx="243">
                  <c:v>-414</c:v>
                </c:pt>
                <c:pt idx="244">
                  <c:v>-416</c:v>
                </c:pt>
                <c:pt idx="245">
                  <c:v>-419</c:v>
                </c:pt>
                <c:pt idx="246">
                  <c:v>-422</c:v>
                </c:pt>
                <c:pt idx="247">
                  <c:v>-424</c:v>
                </c:pt>
                <c:pt idx="248">
                  <c:v>-427</c:v>
                </c:pt>
                <c:pt idx="249">
                  <c:v>-429</c:v>
                </c:pt>
                <c:pt idx="250">
                  <c:v>-431</c:v>
                </c:pt>
                <c:pt idx="251">
                  <c:v>-434</c:v>
                </c:pt>
                <c:pt idx="252">
                  <c:v>-436</c:v>
                </c:pt>
                <c:pt idx="253">
                  <c:v>-438</c:v>
                </c:pt>
                <c:pt idx="254">
                  <c:v>-441</c:v>
                </c:pt>
                <c:pt idx="255">
                  <c:v>-443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76-4202-8A7D-1246E4A4CEB1}"/>
            </c:ext>
          </c:extLst>
        </c:ser>
        <c:ser>
          <c:idx val="2"/>
          <c:order val="2"/>
          <c:tx>
            <c:strRef>
              <c:f>'Km83+780)'!$AG$9</c:f>
              <c:strCache>
                <c:ptCount val="1"/>
                <c:pt idx="0">
                  <c:v>Tim</c:v>
                </c:pt>
              </c:strCache>
            </c:strRef>
          </c:tx>
          <c:marker>
            <c:symbol val="triangle"/>
            <c:size val="2"/>
            <c:spPr>
              <a:solidFill>
                <a:srgbClr val="0000FF"/>
              </a:solidFill>
              <a:ln w="12700">
                <a:solidFill>
                  <a:srgbClr val="0000FF"/>
                </a:solidFill>
                <a:prstDash val="solid"/>
              </a:ln>
            </c:spPr>
          </c:marker>
          <c:xVal>
            <c:numRef>
              <c:f>'Km83+780)'!$B$11:$B$355</c:f>
              <c:numCache>
                <c:formatCode>[$-1010000]d/m/yyyy;@</c:formatCode>
                <c:ptCount val="345"/>
                <c:pt idx="0">
                  <c:v>45554</c:v>
                </c:pt>
                <c:pt idx="1">
                  <c:v>45555</c:v>
                </c:pt>
                <c:pt idx="2">
                  <c:v>45556</c:v>
                </c:pt>
                <c:pt idx="3">
                  <c:v>45557</c:v>
                </c:pt>
                <c:pt idx="4">
                  <c:v>45558</c:v>
                </c:pt>
                <c:pt idx="5">
                  <c:v>45559</c:v>
                </c:pt>
                <c:pt idx="6">
                  <c:v>45560</c:v>
                </c:pt>
                <c:pt idx="7">
                  <c:v>45561</c:v>
                </c:pt>
                <c:pt idx="8">
                  <c:v>45562</c:v>
                </c:pt>
                <c:pt idx="9">
                  <c:v>45563</c:v>
                </c:pt>
                <c:pt idx="10">
                  <c:v>45564</c:v>
                </c:pt>
                <c:pt idx="11">
                  <c:v>45565</c:v>
                </c:pt>
                <c:pt idx="12">
                  <c:v>45566</c:v>
                </c:pt>
                <c:pt idx="13">
                  <c:v>45567</c:v>
                </c:pt>
                <c:pt idx="14">
                  <c:v>45568</c:v>
                </c:pt>
                <c:pt idx="15">
                  <c:v>45569</c:v>
                </c:pt>
                <c:pt idx="16">
                  <c:v>45570</c:v>
                </c:pt>
                <c:pt idx="17">
                  <c:v>45571</c:v>
                </c:pt>
                <c:pt idx="18">
                  <c:v>45572</c:v>
                </c:pt>
                <c:pt idx="19">
                  <c:v>45573</c:v>
                </c:pt>
                <c:pt idx="20">
                  <c:v>45574</c:v>
                </c:pt>
                <c:pt idx="21">
                  <c:v>45575</c:v>
                </c:pt>
                <c:pt idx="22">
                  <c:v>45576</c:v>
                </c:pt>
                <c:pt idx="23">
                  <c:v>45577</c:v>
                </c:pt>
                <c:pt idx="24">
                  <c:v>45578</c:v>
                </c:pt>
                <c:pt idx="25">
                  <c:v>45579</c:v>
                </c:pt>
                <c:pt idx="26">
                  <c:v>45580</c:v>
                </c:pt>
                <c:pt idx="27">
                  <c:v>45581</c:v>
                </c:pt>
                <c:pt idx="28">
                  <c:v>45582</c:v>
                </c:pt>
                <c:pt idx="29">
                  <c:v>45583</c:v>
                </c:pt>
                <c:pt idx="30">
                  <c:v>45584</c:v>
                </c:pt>
                <c:pt idx="31">
                  <c:v>45585</c:v>
                </c:pt>
                <c:pt idx="32">
                  <c:v>45586</c:v>
                </c:pt>
                <c:pt idx="33">
                  <c:v>45587</c:v>
                </c:pt>
                <c:pt idx="34">
                  <c:v>45588</c:v>
                </c:pt>
                <c:pt idx="35">
                  <c:v>45589</c:v>
                </c:pt>
                <c:pt idx="36">
                  <c:v>45590</c:v>
                </c:pt>
                <c:pt idx="37">
                  <c:v>45591</c:v>
                </c:pt>
                <c:pt idx="38">
                  <c:v>45592</c:v>
                </c:pt>
                <c:pt idx="39">
                  <c:v>45593</c:v>
                </c:pt>
                <c:pt idx="40">
                  <c:v>45594</c:v>
                </c:pt>
                <c:pt idx="41">
                  <c:v>45595</c:v>
                </c:pt>
                <c:pt idx="42">
                  <c:v>45596</c:v>
                </c:pt>
                <c:pt idx="43">
                  <c:v>45597</c:v>
                </c:pt>
                <c:pt idx="44">
                  <c:v>45598</c:v>
                </c:pt>
                <c:pt idx="45">
                  <c:v>45599</c:v>
                </c:pt>
                <c:pt idx="46">
                  <c:v>45600</c:v>
                </c:pt>
                <c:pt idx="47">
                  <c:v>45601</c:v>
                </c:pt>
                <c:pt idx="48">
                  <c:v>45602</c:v>
                </c:pt>
                <c:pt idx="49">
                  <c:v>45603</c:v>
                </c:pt>
                <c:pt idx="50">
                  <c:v>45604</c:v>
                </c:pt>
                <c:pt idx="51">
                  <c:v>45605</c:v>
                </c:pt>
                <c:pt idx="52">
                  <c:v>45606</c:v>
                </c:pt>
                <c:pt idx="53">
                  <c:v>45607</c:v>
                </c:pt>
                <c:pt idx="54">
                  <c:v>45608</c:v>
                </c:pt>
                <c:pt idx="55">
                  <c:v>45609</c:v>
                </c:pt>
                <c:pt idx="56">
                  <c:v>45610</c:v>
                </c:pt>
                <c:pt idx="57">
                  <c:v>45611</c:v>
                </c:pt>
                <c:pt idx="58">
                  <c:v>45612</c:v>
                </c:pt>
                <c:pt idx="59">
                  <c:v>45613</c:v>
                </c:pt>
                <c:pt idx="60">
                  <c:v>45614</c:v>
                </c:pt>
                <c:pt idx="61">
                  <c:v>45615</c:v>
                </c:pt>
                <c:pt idx="62">
                  <c:v>45616</c:v>
                </c:pt>
                <c:pt idx="63">
                  <c:v>45617</c:v>
                </c:pt>
                <c:pt idx="64">
                  <c:v>45618</c:v>
                </c:pt>
                <c:pt idx="65">
                  <c:v>45619</c:v>
                </c:pt>
                <c:pt idx="66">
                  <c:v>45620</c:v>
                </c:pt>
                <c:pt idx="67">
                  <c:v>45621</c:v>
                </c:pt>
                <c:pt idx="68">
                  <c:v>45622</c:v>
                </c:pt>
                <c:pt idx="69">
                  <c:v>45623</c:v>
                </c:pt>
                <c:pt idx="70">
                  <c:v>45624</c:v>
                </c:pt>
                <c:pt idx="71">
                  <c:v>45625</c:v>
                </c:pt>
                <c:pt idx="72">
                  <c:v>45626</c:v>
                </c:pt>
                <c:pt idx="73">
                  <c:v>45627</c:v>
                </c:pt>
                <c:pt idx="74">
                  <c:v>45628</c:v>
                </c:pt>
                <c:pt idx="75">
                  <c:v>45629</c:v>
                </c:pt>
                <c:pt idx="76">
                  <c:v>45630</c:v>
                </c:pt>
                <c:pt idx="77">
                  <c:v>45631</c:v>
                </c:pt>
                <c:pt idx="78">
                  <c:v>45632</c:v>
                </c:pt>
                <c:pt idx="79">
                  <c:v>45633</c:v>
                </c:pt>
                <c:pt idx="80">
                  <c:v>45634</c:v>
                </c:pt>
                <c:pt idx="81">
                  <c:v>45635</c:v>
                </c:pt>
                <c:pt idx="82">
                  <c:v>45636</c:v>
                </c:pt>
                <c:pt idx="83">
                  <c:v>45637</c:v>
                </c:pt>
                <c:pt idx="84">
                  <c:v>45638</c:v>
                </c:pt>
                <c:pt idx="85">
                  <c:v>45639</c:v>
                </c:pt>
                <c:pt idx="86">
                  <c:v>45640</c:v>
                </c:pt>
                <c:pt idx="87">
                  <c:v>45641</c:v>
                </c:pt>
                <c:pt idx="88">
                  <c:v>45642</c:v>
                </c:pt>
                <c:pt idx="89">
                  <c:v>45643</c:v>
                </c:pt>
                <c:pt idx="90">
                  <c:v>45644</c:v>
                </c:pt>
                <c:pt idx="91">
                  <c:v>45645</c:v>
                </c:pt>
                <c:pt idx="92">
                  <c:v>45646</c:v>
                </c:pt>
                <c:pt idx="93">
                  <c:v>45647</c:v>
                </c:pt>
                <c:pt idx="94">
                  <c:v>45648</c:v>
                </c:pt>
                <c:pt idx="95">
                  <c:v>45649</c:v>
                </c:pt>
                <c:pt idx="96">
                  <c:v>45650</c:v>
                </c:pt>
                <c:pt idx="97">
                  <c:v>45651</c:v>
                </c:pt>
                <c:pt idx="98">
                  <c:v>45652</c:v>
                </c:pt>
                <c:pt idx="99">
                  <c:v>45653</c:v>
                </c:pt>
                <c:pt idx="100">
                  <c:v>45654</c:v>
                </c:pt>
                <c:pt idx="101">
                  <c:v>45655</c:v>
                </c:pt>
                <c:pt idx="102">
                  <c:v>45656</c:v>
                </c:pt>
                <c:pt idx="103">
                  <c:v>45657</c:v>
                </c:pt>
                <c:pt idx="104">
                  <c:v>45658</c:v>
                </c:pt>
                <c:pt idx="105">
                  <c:v>45659</c:v>
                </c:pt>
                <c:pt idx="106">
                  <c:v>45660</c:v>
                </c:pt>
                <c:pt idx="107">
                  <c:v>45661</c:v>
                </c:pt>
                <c:pt idx="108">
                  <c:v>45662</c:v>
                </c:pt>
                <c:pt idx="109">
                  <c:v>45663</c:v>
                </c:pt>
                <c:pt idx="110">
                  <c:v>45664</c:v>
                </c:pt>
                <c:pt idx="111">
                  <c:v>45665</c:v>
                </c:pt>
                <c:pt idx="112">
                  <c:v>45666</c:v>
                </c:pt>
                <c:pt idx="113">
                  <c:v>45667</c:v>
                </c:pt>
                <c:pt idx="114">
                  <c:v>45668</c:v>
                </c:pt>
                <c:pt idx="115">
                  <c:v>45669</c:v>
                </c:pt>
                <c:pt idx="116">
                  <c:v>45670</c:v>
                </c:pt>
                <c:pt idx="117">
                  <c:v>45671</c:v>
                </c:pt>
                <c:pt idx="118">
                  <c:v>45672</c:v>
                </c:pt>
                <c:pt idx="119">
                  <c:v>45673</c:v>
                </c:pt>
                <c:pt idx="120">
                  <c:v>45674</c:v>
                </c:pt>
                <c:pt idx="121">
                  <c:v>45675</c:v>
                </c:pt>
                <c:pt idx="122">
                  <c:v>45676</c:v>
                </c:pt>
                <c:pt idx="123">
                  <c:v>45677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45682</c:v>
                </c:pt>
                <c:pt idx="129">
                  <c:v>45683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45689</c:v>
                </c:pt>
                <c:pt idx="136">
                  <c:v>45690</c:v>
                </c:pt>
                <c:pt idx="137">
                  <c:v>45691</c:v>
                </c:pt>
                <c:pt idx="138">
                  <c:v>45692</c:v>
                </c:pt>
                <c:pt idx="139">
                  <c:v>45693</c:v>
                </c:pt>
                <c:pt idx="140">
                  <c:v>45694</c:v>
                </c:pt>
                <c:pt idx="141">
                  <c:v>45695</c:v>
                </c:pt>
                <c:pt idx="142">
                  <c:v>45696</c:v>
                </c:pt>
                <c:pt idx="143">
                  <c:v>45697</c:v>
                </c:pt>
                <c:pt idx="144">
                  <c:v>45698</c:v>
                </c:pt>
                <c:pt idx="145">
                  <c:v>45699</c:v>
                </c:pt>
                <c:pt idx="146">
                  <c:v>45700</c:v>
                </c:pt>
                <c:pt idx="147">
                  <c:v>45701</c:v>
                </c:pt>
                <c:pt idx="148">
                  <c:v>45702</c:v>
                </c:pt>
                <c:pt idx="149">
                  <c:v>45703</c:v>
                </c:pt>
                <c:pt idx="150">
                  <c:v>45704</c:v>
                </c:pt>
                <c:pt idx="151">
                  <c:v>45705</c:v>
                </c:pt>
                <c:pt idx="152">
                  <c:v>45706</c:v>
                </c:pt>
                <c:pt idx="153">
                  <c:v>45707</c:v>
                </c:pt>
                <c:pt idx="154">
                  <c:v>45708</c:v>
                </c:pt>
                <c:pt idx="155">
                  <c:v>45709</c:v>
                </c:pt>
                <c:pt idx="156">
                  <c:v>45710</c:v>
                </c:pt>
                <c:pt idx="157">
                  <c:v>45711</c:v>
                </c:pt>
                <c:pt idx="158">
                  <c:v>45712</c:v>
                </c:pt>
                <c:pt idx="159">
                  <c:v>45713</c:v>
                </c:pt>
                <c:pt idx="160">
                  <c:v>45714</c:v>
                </c:pt>
                <c:pt idx="161">
                  <c:v>45715</c:v>
                </c:pt>
                <c:pt idx="162">
                  <c:v>45716</c:v>
                </c:pt>
                <c:pt idx="163">
                  <c:v>45717</c:v>
                </c:pt>
                <c:pt idx="164">
                  <c:v>45718</c:v>
                </c:pt>
                <c:pt idx="165">
                  <c:v>45719</c:v>
                </c:pt>
                <c:pt idx="166">
                  <c:v>45720</c:v>
                </c:pt>
                <c:pt idx="167">
                  <c:v>45721</c:v>
                </c:pt>
                <c:pt idx="168">
                  <c:v>45722</c:v>
                </c:pt>
                <c:pt idx="169">
                  <c:v>45723</c:v>
                </c:pt>
                <c:pt idx="170">
                  <c:v>45724</c:v>
                </c:pt>
                <c:pt idx="171">
                  <c:v>45725</c:v>
                </c:pt>
                <c:pt idx="172">
                  <c:v>45726</c:v>
                </c:pt>
                <c:pt idx="173">
                  <c:v>45727</c:v>
                </c:pt>
                <c:pt idx="174">
                  <c:v>45728</c:v>
                </c:pt>
                <c:pt idx="175">
                  <c:v>45729</c:v>
                </c:pt>
                <c:pt idx="176">
                  <c:v>45730</c:v>
                </c:pt>
                <c:pt idx="177">
                  <c:v>45731</c:v>
                </c:pt>
                <c:pt idx="178">
                  <c:v>45732</c:v>
                </c:pt>
                <c:pt idx="179">
                  <c:v>45733</c:v>
                </c:pt>
                <c:pt idx="180">
                  <c:v>45734</c:v>
                </c:pt>
                <c:pt idx="181">
                  <c:v>45735</c:v>
                </c:pt>
                <c:pt idx="182">
                  <c:v>45736</c:v>
                </c:pt>
                <c:pt idx="183">
                  <c:v>45737</c:v>
                </c:pt>
                <c:pt idx="184">
                  <c:v>45738</c:v>
                </c:pt>
                <c:pt idx="185">
                  <c:v>45739</c:v>
                </c:pt>
                <c:pt idx="186">
                  <c:v>45740</c:v>
                </c:pt>
                <c:pt idx="187">
                  <c:v>45741</c:v>
                </c:pt>
                <c:pt idx="188">
                  <c:v>45742</c:v>
                </c:pt>
                <c:pt idx="189">
                  <c:v>45743</c:v>
                </c:pt>
                <c:pt idx="190">
                  <c:v>45744</c:v>
                </c:pt>
                <c:pt idx="191">
                  <c:v>45744</c:v>
                </c:pt>
                <c:pt idx="192">
                  <c:v>45745</c:v>
                </c:pt>
                <c:pt idx="193">
                  <c:v>45746</c:v>
                </c:pt>
                <c:pt idx="194">
                  <c:v>45747</c:v>
                </c:pt>
                <c:pt idx="195">
                  <c:v>45748</c:v>
                </c:pt>
                <c:pt idx="196">
                  <c:v>45749</c:v>
                </c:pt>
                <c:pt idx="197">
                  <c:v>45750</c:v>
                </c:pt>
                <c:pt idx="198">
                  <c:v>45751</c:v>
                </c:pt>
                <c:pt idx="199">
                  <c:v>45752</c:v>
                </c:pt>
                <c:pt idx="200">
                  <c:v>45753</c:v>
                </c:pt>
                <c:pt idx="201">
                  <c:v>45754</c:v>
                </c:pt>
                <c:pt idx="202">
                  <c:v>45755</c:v>
                </c:pt>
                <c:pt idx="203">
                  <c:v>45756</c:v>
                </c:pt>
                <c:pt idx="204">
                  <c:v>45757</c:v>
                </c:pt>
                <c:pt idx="205">
                  <c:v>45758</c:v>
                </c:pt>
                <c:pt idx="206">
                  <c:v>45759</c:v>
                </c:pt>
                <c:pt idx="207">
                  <c:v>45760</c:v>
                </c:pt>
                <c:pt idx="208">
                  <c:v>45761</c:v>
                </c:pt>
                <c:pt idx="209">
                  <c:v>45762</c:v>
                </c:pt>
                <c:pt idx="210">
                  <c:v>45763</c:v>
                </c:pt>
                <c:pt idx="211">
                  <c:v>45764</c:v>
                </c:pt>
                <c:pt idx="212">
                  <c:v>45765</c:v>
                </c:pt>
                <c:pt idx="213">
                  <c:v>45766</c:v>
                </c:pt>
                <c:pt idx="214">
                  <c:v>45767</c:v>
                </c:pt>
                <c:pt idx="215">
                  <c:v>45768</c:v>
                </c:pt>
                <c:pt idx="216">
                  <c:v>45769</c:v>
                </c:pt>
                <c:pt idx="217">
                  <c:v>45770</c:v>
                </c:pt>
                <c:pt idx="218">
                  <c:v>45771</c:v>
                </c:pt>
                <c:pt idx="219">
                  <c:v>45772</c:v>
                </c:pt>
                <c:pt idx="220">
                  <c:v>45773</c:v>
                </c:pt>
                <c:pt idx="221">
                  <c:v>45774</c:v>
                </c:pt>
                <c:pt idx="222">
                  <c:v>45775</c:v>
                </c:pt>
                <c:pt idx="223">
                  <c:v>45776</c:v>
                </c:pt>
                <c:pt idx="224">
                  <c:v>45777</c:v>
                </c:pt>
                <c:pt idx="225">
                  <c:v>45778</c:v>
                </c:pt>
                <c:pt idx="226">
                  <c:v>45779</c:v>
                </c:pt>
                <c:pt idx="227">
                  <c:v>45780</c:v>
                </c:pt>
                <c:pt idx="228">
                  <c:v>45781</c:v>
                </c:pt>
                <c:pt idx="229">
                  <c:v>45782</c:v>
                </c:pt>
                <c:pt idx="230">
                  <c:v>45783</c:v>
                </c:pt>
                <c:pt idx="231">
                  <c:v>45784</c:v>
                </c:pt>
                <c:pt idx="232">
                  <c:v>45785</c:v>
                </c:pt>
                <c:pt idx="233">
                  <c:v>45786</c:v>
                </c:pt>
                <c:pt idx="234">
                  <c:v>45787</c:v>
                </c:pt>
                <c:pt idx="235">
                  <c:v>45788</c:v>
                </c:pt>
                <c:pt idx="236">
                  <c:v>45789</c:v>
                </c:pt>
                <c:pt idx="237">
                  <c:v>45790</c:v>
                </c:pt>
                <c:pt idx="238">
                  <c:v>45791</c:v>
                </c:pt>
                <c:pt idx="239">
                  <c:v>45792</c:v>
                </c:pt>
                <c:pt idx="240">
                  <c:v>45793</c:v>
                </c:pt>
                <c:pt idx="241">
                  <c:v>45794</c:v>
                </c:pt>
                <c:pt idx="242">
                  <c:v>45795</c:v>
                </c:pt>
                <c:pt idx="243">
                  <c:v>45796</c:v>
                </c:pt>
                <c:pt idx="244">
                  <c:v>45797</c:v>
                </c:pt>
                <c:pt idx="245">
                  <c:v>45798</c:v>
                </c:pt>
                <c:pt idx="246">
                  <c:v>45799</c:v>
                </c:pt>
                <c:pt idx="247">
                  <c:v>45800</c:v>
                </c:pt>
                <c:pt idx="248">
                  <c:v>45801</c:v>
                </c:pt>
                <c:pt idx="249">
                  <c:v>45802</c:v>
                </c:pt>
                <c:pt idx="250">
                  <c:v>45803</c:v>
                </c:pt>
                <c:pt idx="251">
                  <c:v>45804</c:v>
                </c:pt>
                <c:pt idx="252">
                  <c:v>45805</c:v>
                </c:pt>
                <c:pt idx="253">
                  <c:v>45806</c:v>
                </c:pt>
                <c:pt idx="254">
                  <c:v>45807</c:v>
                </c:pt>
                <c:pt idx="255">
                  <c:v>45808</c:v>
                </c:pt>
              </c:numCache>
            </c:numRef>
          </c:xVal>
          <c:yVal>
            <c:numRef>
              <c:f>'Km83+780)'!$AG$11:$AG$354</c:f>
              <c:numCache>
                <c:formatCode>0</c:formatCode>
                <c:ptCount val="344"/>
                <c:pt idx="0">
                  <c:v>0</c:v>
                </c:pt>
                <c:pt idx="1">
                  <c:v>-3</c:v>
                </c:pt>
                <c:pt idx="2">
                  <c:v>-5</c:v>
                </c:pt>
                <c:pt idx="3">
                  <c:v>-9</c:v>
                </c:pt>
                <c:pt idx="4">
                  <c:v>-13</c:v>
                </c:pt>
                <c:pt idx="5">
                  <c:v>-17</c:v>
                </c:pt>
                <c:pt idx="6">
                  <c:v>-20</c:v>
                </c:pt>
                <c:pt idx="7">
                  <c:v>-24</c:v>
                </c:pt>
                <c:pt idx="8">
                  <c:v>-29</c:v>
                </c:pt>
                <c:pt idx="9">
                  <c:v>-34</c:v>
                </c:pt>
                <c:pt idx="10">
                  <c:v>-40</c:v>
                </c:pt>
                <c:pt idx="11">
                  <c:v>-46</c:v>
                </c:pt>
                <c:pt idx="12">
                  <c:v>-51</c:v>
                </c:pt>
                <c:pt idx="13">
                  <c:v>-56</c:v>
                </c:pt>
                <c:pt idx="14">
                  <c:v>-61</c:v>
                </c:pt>
                <c:pt idx="15">
                  <c:v>-66</c:v>
                </c:pt>
                <c:pt idx="16">
                  <c:v>-71</c:v>
                </c:pt>
                <c:pt idx="17">
                  <c:v>-76</c:v>
                </c:pt>
                <c:pt idx="18">
                  <c:v>-81</c:v>
                </c:pt>
                <c:pt idx="19">
                  <c:v>-85</c:v>
                </c:pt>
                <c:pt idx="20">
                  <c:v>-89</c:v>
                </c:pt>
                <c:pt idx="21">
                  <c:v>-92</c:v>
                </c:pt>
                <c:pt idx="22">
                  <c:v>-95</c:v>
                </c:pt>
                <c:pt idx="23">
                  <c:v>-98</c:v>
                </c:pt>
                <c:pt idx="24">
                  <c:v>-100</c:v>
                </c:pt>
                <c:pt idx="25">
                  <c:v>-102</c:v>
                </c:pt>
                <c:pt idx="26">
                  <c:v>-104</c:v>
                </c:pt>
                <c:pt idx="27">
                  <c:v>-106</c:v>
                </c:pt>
                <c:pt idx="28">
                  <c:v>-107</c:v>
                </c:pt>
                <c:pt idx="29">
                  <c:v>-108</c:v>
                </c:pt>
                <c:pt idx="30">
                  <c:v>-109</c:v>
                </c:pt>
                <c:pt idx="31">
                  <c:v>-110</c:v>
                </c:pt>
                <c:pt idx="32">
                  <c:v>-111</c:v>
                </c:pt>
                <c:pt idx="33">
                  <c:v>-112</c:v>
                </c:pt>
                <c:pt idx="34">
                  <c:v>-113</c:v>
                </c:pt>
                <c:pt idx="35">
                  <c:v>-113</c:v>
                </c:pt>
                <c:pt idx="36">
                  <c:v>-113</c:v>
                </c:pt>
                <c:pt idx="37">
                  <c:v>-115</c:v>
                </c:pt>
                <c:pt idx="38">
                  <c:v>-115</c:v>
                </c:pt>
                <c:pt idx="39">
                  <c:v>-118</c:v>
                </c:pt>
                <c:pt idx="40">
                  <c:v>-118</c:v>
                </c:pt>
                <c:pt idx="41">
                  <c:v>-119</c:v>
                </c:pt>
                <c:pt idx="42">
                  <c:v>-120</c:v>
                </c:pt>
                <c:pt idx="43">
                  <c:v>-120</c:v>
                </c:pt>
                <c:pt idx="44">
                  <c:v>-120</c:v>
                </c:pt>
                <c:pt idx="45">
                  <c:v>-123</c:v>
                </c:pt>
                <c:pt idx="46">
                  <c:v>-124</c:v>
                </c:pt>
                <c:pt idx="47">
                  <c:v>-124</c:v>
                </c:pt>
                <c:pt idx="48">
                  <c:v>-125</c:v>
                </c:pt>
                <c:pt idx="49">
                  <c:v>-125</c:v>
                </c:pt>
                <c:pt idx="50">
                  <c:v>-126</c:v>
                </c:pt>
                <c:pt idx="51">
                  <c:v>-127</c:v>
                </c:pt>
                <c:pt idx="52">
                  <c:v>-127</c:v>
                </c:pt>
                <c:pt idx="53">
                  <c:v>-128</c:v>
                </c:pt>
                <c:pt idx="54">
                  <c:v>-129</c:v>
                </c:pt>
                <c:pt idx="55">
                  <c:v>-132</c:v>
                </c:pt>
                <c:pt idx="56">
                  <c:v>-135</c:v>
                </c:pt>
                <c:pt idx="57">
                  <c:v>-138</c:v>
                </c:pt>
                <c:pt idx="58">
                  <c:v>-140</c:v>
                </c:pt>
                <c:pt idx="59">
                  <c:v>-142</c:v>
                </c:pt>
                <c:pt idx="60">
                  <c:v>-144</c:v>
                </c:pt>
                <c:pt idx="61">
                  <c:v>-146</c:v>
                </c:pt>
                <c:pt idx="62">
                  <c:v>-147</c:v>
                </c:pt>
                <c:pt idx="63">
                  <c:v>-148</c:v>
                </c:pt>
                <c:pt idx="64">
                  <c:v>-149</c:v>
                </c:pt>
                <c:pt idx="65">
                  <c:v>-150</c:v>
                </c:pt>
                <c:pt idx="66">
                  <c:v>-151</c:v>
                </c:pt>
                <c:pt idx="67">
                  <c:v>-152</c:v>
                </c:pt>
                <c:pt idx="68">
                  <c:v>-153</c:v>
                </c:pt>
                <c:pt idx="69">
                  <c:v>-153</c:v>
                </c:pt>
                <c:pt idx="70">
                  <c:v>-157</c:v>
                </c:pt>
                <c:pt idx="71">
                  <c:v>-159</c:v>
                </c:pt>
                <c:pt idx="72">
                  <c:v>-159</c:v>
                </c:pt>
                <c:pt idx="73">
                  <c:v>-162</c:v>
                </c:pt>
                <c:pt idx="74">
                  <c:v>-162</c:v>
                </c:pt>
                <c:pt idx="75">
                  <c:v>-163</c:v>
                </c:pt>
                <c:pt idx="76">
                  <c:v>-164</c:v>
                </c:pt>
                <c:pt idx="77">
                  <c:v>-164</c:v>
                </c:pt>
                <c:pt idx="78">
                  <c:v>-164</c:v>
                </c:pt>
                <c:pt idx="79">
                  <c:v>-167</c:v>
                </c:pt>
                <c:pt idx="80">
                  <c:v>-168</c:v>
                </c:pt>
                <c:pt idx="81">
                  <c:v>-168</c:v>
                </c:pt>
                <c:pt idx="82">
                  <c:v>-169</c:v>
                </c:pt>
                <c:pt idx="83">
                  <c:v>-169</c:v>
                </c:pt>
                <c:pt idx="84">
                  <c:v>-170</c:v>
                </c:pt>
                <c:pt idx="85">
                  <c:v>-171</c:v>
                </c:pt>
                <c:pt idx="86">
                  <c:v>-171</c:v>
                </c:pt>
                <c:pt idx="87">
                  <c:v>-172</c:v>
                </c:pt>
                <c:pt idx="88">
                  <c:v>-173</c:v>
                </c:pt>
                <c:pt idx="89">
                  <c:v>-173</c:v>
                </c:pt>
                <c:pt idx="90">
                  <c:v>-174</c:v>
                </c:pt>
                <c:pt idx="91">
                  <c:v>-174</c:v>
                </c:pt>
                <c:pt idx="92">
                  <c:v>-177</c:v>
                </c:pt>
                <c:pt idx="93">
                  <c:v>-178</c:v>
                </c:pt>
                <c:pt idx="94">
                  <c:v>-178</c:v>
                </c:pt>
                <c:pt idx="95">
                  <c:v>-178</c:v>
                </c:pt>
                <c:pt idx="96">
                  <c:v>-179</c:v>
                </c:pt>
                <c:pt idx="97">
                  <c:v>-179</c:v>
                </c:pt>
                <c:pt idx="98">
                  <c:v>-180</c:v>
                </c:pt>
                <c:pt idx="99">
                  <c:v>-180</c:v>
                </c:pt>
                <c:pt idx="100">
                  <c:v>-181</c:v>
                </c:pt>
                <c:pt idx="101">
                  <c:v>-181</c:v>
                </c:pt>
                <c:pt idx="102">
                  <c:v>-182</c:v>
                </c:pt>
                <c:pt idx="103">
                  <c:v>-185</c:v>
                </c:pt>
                <c:pt idx="104">
                  <c:v>-186</c:v>
                </c:pt>
                <c:pt idx="105">
                  <c:v>-186</c:v>
                </c:pt>
                <c:pt idx="106">
                  <c:v>-189</c:v>
                </c:pt>
                <c:pt idx="107">
                  <c:v>-189</c:v>
                </c:pt>
                <c:pt idx="108">
                  <c:v>-190</c:v>
                </c:pt>
                <c:pt idx="109">
                  <c:v>-190</c:v>
                </c:pt>
                <c:pt idx="110">
                  <c:v>-191</c:v>
                </c:pt>
                <c:pt idx="111">
                  <c:v>-191</c:v>
                </c:pt>
                <c:pt idx="112">
                  <c:v>-192</c:v>
                </c:pt>
                <c:pt idx="113">
                  <c:v>-193</c:v>
                </c:pt>
                <c:pt idx="114">
                  <c:v>-193</c:v>
                </c:pt>
                <c:pt idx="115">
                  <c:v>-196</c:v>
                </c:pt>
                <c:pt idx="116">
                  <c:v>-197</c:v>
                </c:pt>
                <c:pt idx="117">
                  <c:v>-200</c:v>
                </c:pt>
                <c:pt idx="118">
                  <c:v>-201</c:v>
                </c:pt>
                <c:pt idx="119">
                  <c:v>-204</c:v>
                </c:pt>
                <c:pt idx="120">
                  <c:v>-204</c:v>
                </c:pt>
                <c:pt idx="121">
                  <c:v>-205</c:v>
                </c:pt>
                <c:pt idx="122">
                  <c:v>-205</c:v>
                </c:pt>
                <c:pt idx="123">
                  <c:v>-208</c:v>
                </c:pt>
                <c:pt idx="124">
                  <c:v>-209</c:v>
                </c:pt>
                <c:pt idx="125">
                  <c:v>-209</c:v>
                </c:pt>
                <c:pt idx="126">
                  <c:v>-212</c:v>
                </c:pt>
                <c:pt idx="127">
                  <c:v>-212</c:v>
                </c:pt>
                <c:pt idx="128">
                  <c:v>-213</c:v>
                </c:pt>
                <c:pt idx="129">
                  <c:v>-213</c:v>
                </c:pt>
                <c:pt idx="130">
                  <c:v>-215</c:v>
                </c:pt>
                <c:pt idx="131">
                  <c:v>-215</c:v>
                </c:pt>
                <c:pt idx="132">
                  <c:v>-216</c:v>
                </c:pt>
                <c:pt idx="133">
                  <c:v>-216</c:v>
                </c:pt>
                <c:pt idx="134">
                  <c:v>-219</c:v>
                </c:pt>
                <c:pt idx="135">
                  <c:v>-219</c:v>
                </c:pt>
                <c:pt idx="136">
                  <c:v>-222</c:v>
                </c:pt>
                <c:pt idx="137">
                  <c:v>-224</c:v>
                </c:pt>
                <c:pt idx="138">
                  <c:v>-224</c:v>
                </c:pt>
                <c:pt idx="139">
                  <c:v>-224</c:v>
                </c:pt>
                <c:pt idx="140">
                  <c:v>-224</c:v>
                </c:pt>
                <c:pt idx="141">
                  <c:v>-224</c:v>
                </c:pt>
                <c:pt idx="142">
                  <c:v>-226</c:v>
                </c:pt>
                <c:pt idx="143">
                  <c:v>-226</c:v>
                </c:pt>
                <c:pt idx="144">
                  <c:v>-229</c:v>
                </c:pt>
                <c:pt idx="145">
                  <c:v>-229</c:v>
                </c:pt>
                <c:pt idx="146">
                  <c:v>-230</c:v>
                </c:pt>
                <c:pt idx="147">
                  <c:v>-233</c:v>
                </c:pt>
                <c:pt idx="148">
                  <c:v>-235</c:v>
                </c:pt>
                <c:pt idx="149">
                  <c:v>-236</c:v>
                </c:pt>
                <c:pt idx="150">
                  <c:v>-236</c:v>
                </c:pt>
                <c:pt idx="151">
                  <c:v>-237</c:v>
                </c:pt>
                <c:pt idx="152">
                  <c:v>-240</c:v>
                </c:pt>
                <c:pt idx="153">
                  <c:v>-243</c:v>
                </c:pt>
                <c:pt idx="154">
                  <c:v>-244</c:v>
                </c:pt>
                <c:pt idx="155">
                  <c:v>-244</c:v>
                </c:pt>
                <c:pt idx="156">
                  <c:v>-244</c:v>
                </c:pt>
                <c:pt idx="157">
                  <c:v>-245</c:v>
                </c:pt>
                <c:pt idx="158">
                  <c:v>-245</c:v>
                </c:pt>
                <c:pt idx="159">
                  <c:v>-247</c:v>
                </c:pt>
                <c:pt idx="160">
                  <c:v>-251</c:v>
                </c:pt>
                <c:pt idx="161">
                  <c:v>-252</c:v>
                </c:pt>
                <c:pt idx="162">
                  <c:v>-252</c:v>
                </c:pt>
                <c:pt idx="163">
                  <c:v>-253</c:v>
                </c:pt>
                <c:pt idx="164">
                  <c:v>-253</c:v>
                </c:pt>
                <c:pt idx="165">
                  <c:v>-254</c:v>
                </c:pt>
                <c:pt idx="166">
                  <c:v>-255</c:v>
                </c:pt>
                <c:pt idx="167">
                  <c:v>-255</c:v>
                </c:pt>
                <c:pt idx="168">
                  <c:v>-255</c:v>
                </c:pt>
                <c:pt idx="169">
                  <c:v>-256</c:v>
                </c:pt>
                <c:pt idx="170">
                  <c:v>-257</c:v>
                </c:pt>
                <c:pt idx="171">
                  <c:v>-257</c:v>
                </c:pt>
                <c:pt idx="172">
                  <c:v>-259</c:v>
                </c:pt>
                <c:pt idx="173">
                  <c:v>-259</c:v>
                </c:pt>
                <c:pt idx="174">
                  <c:v>-260</c:v>
                </c:pt>
                <c:pt idx="175">
                  <c:v>-261</c:v>
                </c:pt>
                <c:pt idx="176">
                  <c:v>-261</c:v>
                </c:pt>
                <c:pt idx="177">
                  <c:v>-262</c:v>
                </c:pt>
                <c:pt idx="178">
                  <c:v>-263</c:v>
                </c:pt>
                <c:pt idx="179">
                  <c:v>-263</c:v>
                </c:pt>
                <c:pt idx="180">
                  <c:v>-265</c:v>
                </c:pt>
                <c:pt idx="181">
                  <c:v>-269</c:v>
                </c:pt>
                <c:pt idx="182">
                  <c:v>-272</c:v>
                </c:pt>
                <c:pt idx="183">
                  <c:v>-273</c:v>
                </c:pt>
                <c:pt idx="184">
                  <c:v>-273</c:v>
                </c:pt>
                <c:pt idx="185">
                  <c:v>-276</c:v>
                </c:pt>
                <c:pt idx="186">
                  <c:v>-278</c:v>
                </c:pt>
                <c:pt idx="187">
                  <c:v>-282</c:v>
                </c:pt>
                <c:pt idx="188">
                  <c:v>-283</c:v>
                </c:pt>
                <c:pt idx="189">
                  <c:v>-283</c:v>
                </c:pt>
                <c:pt idx="190">
                  <c:v>-283</c:v>
                </c:pt>
                <c:pt idx="191">
                  <c:v>-283</c:v>
                </c:pt>
                <c:pt idx="192">
                  <c:v>-290</c:v>
                </c:pt>
                <c:pt idx="193">
                  <c:v>-297</c:v>
                </c:pt>
                <c:pt idx="194">
                  <c:v>-304</c:v>
                </c:pt>
                <c:pt idx="195">
                  <c:v>-311</c:v>
                </c:pt>
                <c:pt idx="196">
                  <c:v>-317</c:v>
                </c:pt>
                <c:pt idx="197">
                  <c:v>-323</c:v>
                </c:pt>
                <c:pt idx="198">
                  <c:v>-329</c:v>
                </c:pt>
                <c:pt idx="199">
                  <c:v>-335</c:v>
                </c:pt>
                <c:pt idx="200">
                  <c:v>-341</c:v>
                </c:pt>
                <c:pt idx="201">
                  <c:v>-347</c:v>
                </c:pt>
                <c:pt idx="202">
                  <c:v>-353</c:v>
                </c:pt>
                <c:pt idx="203">
                  <c:v>-359</c:v>
                </c:pt>
                <c:pt idx="204">
                  <c:v>-367</c:v>
                </c:pt>
                <c:pt idx="205">
                  <c:v>-373</c:v>
                </c:pt>
                <c:pt idx="206">
                  <c:v>-380</c:v>
                </c:pt>
                <c:pt idx="207">
                  <c:v>-385</c:v>
                </c:pt>
                <c:pt idx="208">
                  <c:v>-389</c:v>
                </c:pt>
                <c:pt idx="209">
                  <c:v>-395</c:v>
                </c:pt>
                <c:pt idx="210">
                  <c:v>-398</c:v>
                </c:pt>
                <c:pt idx="211">
                  <c:v>-405</c:v>
                </c:pt>
                <c:pt idx="212">
                  <c:v>-411</c:v>
                </c:pt>
                <c:pt idx="213">
                  <c:v>-416</c:v>
                </c:pt>
                <c:pt idx="214">
                  <c:v>-423</c:v>
                </c:pt>
                <c:pt idx="215">
                  <c:v>-429</c:v>
                </c:pt>
                <c:pt idx="216">
                  <c:v>-434</c:v>
                </c:pt>
                <c:pt idx="217">
                  <c:v>-438</c:v>
                </c:pt>
                <c:pt idx="218">
                  <c:v>-443</c:v>
                </c:pt>
                <c:pt idx="219">
                  <c:v>-447</c:v>
                </c:pt>
                <c:pt idx="220">
                  <c:v>-451</c:v>
                </c:pt>
                <c:pt idx="221">
                  <c:v>-457</c:v>
                </c:pt>
                <c:pt idx="222">
                  <c:v>-461</c:v>
                </c:pt>
                <c:pt idx="223">
                  <c:v>-466</c:v>
                </c:pt>
                <c:pt idx="224">
                  <c:v>-470</c:v>
                </c:pt>
                <c:pt idx="225">
                  <c:v>-475</c:v>
                </c:pt>
                <c:pt idx="226">
                  <c:v>-478</c:v>
                </c:pt>
                <c:pt idx="227">
                  <c:v>-481</c:v>
                </c:pt>
                <c:pt idx="228">
                  <c:v>-486</c:v>
                </c:pt>
                <c:pt idx="229">
                  <c:v>-490</c:v>
                </c:pt>
                <c:pt idx="230">
                  <c:v>-493</c:v>
                </c:pt>
                <c:pt idx="231">
                  <c:v>-498</c:v>
                </c:pt>
                <c:pt idx="232">
                  <c:v>-503</c:v>
                </c:pt>
                <c:pt idx="233">
                  <c:v>-509</c:v>
                </c:pt>
                <c:pt idx="234">
                  <c:v>-514</c:v>
                </c:pt>
                <c:pt idx="235">
                  <c:v>-519</c:v>
                </c:pt>
                <c:pt idx="236">
                  <c:v>-525</c:v>
                </c:pt>
                <c:pt idx="237">
                  <c:v>-531</c:v>
                </c:pt>
                <c:pt idx="238">
                  <c:v>-536</c:v>
                </c:pt>
                <c:pt idx="239">
                  <c:v>-542</c:v>
                </c:pt>
                <c:pt idx="240">
                  <c:v>-547</c:v>
                </c:pt>
                <c:pt idx="241">
                  <c:v>-552</c:v>
                </c:pt>
                <c:pt idx="242">
                  <c:v>-558</c:v>
                </c:pt>
                <c:pt idx="243">
                  <c:v>-563</c:v>
                </c:pt>
                <c:pt idx="244">
                  <c:v>-568</c:v>
                </c:pt>
                <c:pt idx="245">
                  <c:v>-573</c:v>
                </c:pt>
                <c:pt idx="246">
                  <c:v>-578</c:v>
                </c:pt>
                <c:pt idx="247">
                  <c:v>-582</c:v>
                </c:pt>
                <c:pt idx="248">
                  <c:v>-586</c:v>
                </c:pt>
                <c:pt idx="249">
                  <c:v>-590</c:v>
                </c:pt>
                <c:pt idx="250">
                  <c:v>-593</c:v>
                </c:pt>
                <c:pt idx="251">
                  <c:v>-596</c:v>
                </c:pt>
                <c:pt idx="252">
                  <c:v>-599</c:v>
                </c:pt>
                <c:pt idx="253">
                  <c:v>-601</c:v>
                </c:pt>
                <c:pt idx="254">
                  <c:v>-603</c:v>
                </c:pt>
                <c:pt idx="255">
                  <c:v>-605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76-4202-8A7D-1246E4A4CEB1}"/>
            </c:ext>
          </c:extLst>
        </c:ser>
        <c:ser>
          <c:idx val="3"/>
          <c:order val="3"/>
          <c:tx>
            <c:strRef>
              <c:f>'Km83+780)'!$AH$9</c:f>
              <c:strCache>
                <c:ptCount val="1"/>
                <c:pt idx="0">
                  <c:v>Phải</c:v>
                </c:pt>
              </c:strCache>
            </c:strRef>
          </c:tx>
          <c:marker>
            <c:symbol val="x"/>
            <c:size val="2"/>
            <c:spPr>
              <a:solidFill>
                <a:srgbClr val="800000"/>
              </a:solidFill>
              <a:ln w="12700">
                <a:solidFill>
                  <a:srgbClr val="800000"/>
                </a:solidFill>
                <a:prstDash val="solid"/>
              </a:ln>
            </c:spPr>
          </c:marker>
          <c:xVal>
            <c:numRef>
              <c:f>'Km83+780)'!$B$11:$B$353</c:f>
              <c:numCache>
                <c:formatCode>[$-1010000]d/m/yyyy;@</c:formatCode>
                <c:ptCount val="343"/>
                <c:pt idx="0">
                  <c:v>45554</c:v>
                </c:pt>
                <c:pt idx="1">
                  <c:v>45555</c:v>
                </c:pt>
                <c:pt idx="2">
                  <c:v>45556</c:v>
                </c:pt>
                <c:pt idx="3">
                  <c:v>45557</c:v>
                </c:pt>
                <c:pt idx="4">
                  <c:v>45558</c:v>
                </c:pt>
                <c:pt idx="5">
                  <c:v>45559</c:v>
                </c:pt>
                <c:pt idx="6">
                  <c:v>45560</c:v>
                </c:pt>
                <c:pt idx="7">
                  <c:v>45561</c:v>
                </c:pt>
                <c:pt idx="8">
                  <c:v>45562</c:v>
                </c:pt>
                <c:pt idx="9">
                  <c:v>45563</c:v>
                </c:pt>
                <c:pt idx="10">
                  <c:v>45564</c:v>
                </c:pt>
                <c:pt idx="11">
                  <c:v>45565</c:v>
                </c:pt>
                <c:pt idx="12">
                  <c:v>45566</c:v>
                </c:pt>
                <c:pt idx="13">
                  <c:v>45567</c:v>
                </c:pt>
                <c:pt idx="14">
                  <c:v>45568</c:v>
                </c:pt>
                <c:pt idx="15">
                  <c:v>45569</c:v>
                </c:pt>
                <c:pt idx="16">
                  <c:v>45570</c:v>
                </c:pt>
                <c:pt idx="17">
                  <c:v>45571</c:v>
                </c:pt>
                <c:pt idx="18">
                  <c:v>45572</c:v>
                </c:pt>
                <c:pt idx="19">
                  <c:v>45573</c:v>
                </c:pt>
                <c:pt idx="20">
                  <c:v>45574</c:v>
                </c:pt>
                <c:pt idx="21">
                  <c:v>45575</c:v>
                </c:pt>
                <c:pt idx="22">
                  <c:v>45576</c:v>
                </c:pt>
                <c:pt idx="23">
                  <c:v>45577</c:v>
                </c:pt>
                <c:pt idx="24">
                  <c:v>45578</c:v>
                </c:pt>
                <c:pt idx="25">
                  <c:v>45579</c:v>
                </c:pt>
                <c:pt idx="26">
                  <c:v>45580</c:v>
                </c:pt>
                <c:pt idx="27">
                  <c:v>45581</c:v>
                </c:pt>
                <c:pt idx="28">
                  <c:v>45582</c:v>
                </c:pt>
                <c:pt idx="29">
                  <c:v>45583</c:v>
                </c:pt>
                <c:pt idx="30">
                  <c:v>45584</c:v>
                </c:pt>
                <c:pt idx="31">
                  <c:v>45585</c:v>
                </c:pt>
                <c:pt idx="32">
                  <c:v>45586</c:v>
                </c:pt>
                <c:pt idx="33">
                  <c:v>45587</c:v>
                </c:pt>
                <c:pt idx="34">
                  <c:v>45588</c:v>
                </c:pt>
                <c:pt idx="35">
                  <c:v>45589</c:v>
                </c:pt>
                <c:pt idx="36">
                  <c:v>45590</c:v>
                </c:pt>
                <c:pt idx="37">
                  <c:v>45591</c:v>
                </c:pt>
                <c:pt idx="38">
                  <c:v>45592</c:v>
                </c:pt>
                <c:pt idx="39">
                  <c:v>45593</c:v>
                </c:pt>
                <c:pt idx="40">
                  <c:v>45594</c:v>
                </c:pt>
                <c:pt idx="41">
                  <c:v>45595</c:v>
                </c:pt>
                <c:pt idx="42">
                  <c:v>45596</c:v>
                </c:pt>
                <c:pt idx="43">
                  <c:v>45597</c:v>
                </c:pt>
                <c:pt idx="44">
                  <c:v>45598</c:v>
                </c:pt>
                <c:pt idx="45">
                  <c:v>45599</c:v>
                </c:pt>
                <c:pt idx="46">
                  <c:v>45600</c:v>
                </c:pt>
                <c:pt idx="47">
                  <c:v>45601</c:v>
                </c:pt>
                <c:pt idx="48">
                  <c:v>45602</c:v>
                </c:pt>
                <c:pt idx="49">
                  <c:v>45603</c:v>
                </c:pt>
                <c:pt idx="50">
                  <c:v>45604</c:v>
                </c:pt>
                <c:pt idx="51">
                  <c:v>45605</c:v>
                </c:pt>
                <c:pt idx="52">
                  <c:v>45606</c:v>
                </c:pt>
                <c:pt idx="53">
                  <c:v>45607</c:v>
                </c:pt>
                <c:pt idx="54">
                  <c:v>45608</c:v>
                </c:pt>
                <c:pt idx="55">
                  <c:v>45609</c:v>
                </c:pt>
                <c:pt idx="56">
                  <c:v>45610</c:v>
                </c:pt>
                <c:pt idx="57">
                  <c:v>45611</c:v>
                </c:pt>
                <c:pt idx="58">
                  <c:v>45612</c:v>
                </c:pt>
                <c:pt idx="59">
                  <c:v>45613</c:v>
                </c:pt>
                <c:pt idx="60">
                  <c:v>45614</c:v>
                </c:pt>
                <c:pt idx="61">
                  <c:v>45615</c:v>
                </c:pt>
                <c:pt idx="62">
                  <c:v>45616</c:v>
                </c:pt>
                <c:pt idx="63">
                  <c:v>45617</c:v>
                </c:pt>
                <c:pt idx="64">
                  <c:v>45618</c:v>
                </c:pt>
                <c:pt idx="65">
                  <c:v>45619</c:v>
                </c:pt>
                <c:pt idx="66">
                  <c:v>45620</c:v>
                </c:pt>
                <c:pt idx="67">
                  <c:v>45621</c:v>
                </c:pt>
                <c:pt idx="68">
                  <c:v>45622</c:v>
                </c:pt>
                <c:pt idx="69">
                  <c:v>45623</c:v>
                </c:pt>
                <c:pt idx="70">
                  <c:v>45624</c:v>
                </c:pt>
                <c:pt idx="71">
                  <c:v>45625</c:v>
                </c:pt>
                <c:pt idx="72">
                  <c:v>45626</c:v>
                </c:pt>
                <c:pt idx="73">
                  <c:v>45627</c:v>
                </c:pt>
                <c:pt idx="74">
                  <c:v>45628</c:v>
                </c:pt>
                <c:pt idx="75">
                  <c:v>45629</c:v>
                </c:pt>
                <c:pt idx="76">
                  <c:v>45630</c:v>
                </c:pt>
                <c:pt idx="77">
                  <c:v>45631</c:v>
                </c:pt>
                <c:pt idx="78">
                  <c:v>45632</c:v>
                </c:pt>
                <c:pt idx="79">
                  <c:v>45633</c:v>
                </c:pt>
                <c:pt idx="80">
                  <c:v>45634</c:v>
                </c:pt>
                <c:pt idx="81">
                  <c:v>45635</c:v>
                </c:pt>
                <c:pt idx="82">
                  <c:v>45636</c:v>
                </c:pt>
                <c:pt idx="83">
                  <c:v>45637</c:v>
                </c:pt>
                <c:pt idx="84">
                  <c:v>45638</c:v>
                </c:pt>
                <c:pt idx="85">
                  <c:v>45639</c:v>
                </c:pt>
                <c:pt idx="86">
                  <c:v>45640</c:v>
                </c:pt>
                <c:pt idx="87">
                  <c:v>45641</c:v>
                </c:pt>
                <c:pt idx="88">
                  <c:v>45642</c:v>
                </c:pt>
                <c:pt idx="89">
                  <c:v>45643</c:v>
                </c:pt>
                <c:pt idx="90">
                  <c:v>45644</c:v>
                </c:pt>
                <c:pt idx="91">
                  <c:v>45645</c:v>
                </c:pt>
                <c:pt idx="92">
                  <c:v>45646</c:v>
                </c:pt>
                <c:pt idx="93">
                  <c:v>45647</c:v>
                </c:pt>
                <c:pt idx="94">
                  <c:v>45648</c:v>
                </c:pt>
                <c:pt idx="95">
                  <c:v>45649</c:v>
                </c:pt>
                <c:pt idx="96">
                  <c:v>45650</c:v>
                </c:pt>
                <c:pt idx="97">
                  <c:v>45651</c:v>
                </c:pt>
                <c:pt idx="98">
                  <c:v>45652</c:v>
                </c:pt>
                <c:pt idx="99">
                  <c:v>45653</c:v>
                </c:pt>
                <c:pt idx="100">
                  <c:v>45654</c:v>
                </c:pt>
                <c:pt idx="101">
                  <c:v>45655</c:v>
                </c:pt>
                <c:pt idx="102">
                  <c:v>45656</c:v>
                </c:pt>
                <c:pt idx="103">
                  <c:v>45657</c:v>
                </c:pt>
                <c:pt idx="104">
                  <c:v>45658</c:v>
                </c:pt>
                <c:pt idx="105">
                  <c:v>45659</c:v>
                </c:pt>
                <c:pt idx="106">
                  <c:v>45660</c:v>
                </c:pt>
                <c:pt idx="107">
                  <c:v>45661</c:v>
                </c:pt>
                <c:pt idx="108">
                  <c:v>45662</c:v>
                </c:pt>
                <c:pt idx="109">
                  <c:v>45663</c:v>
                </c:pt>
                <c:pt idx="110">
                  <c:v>45664</c:v>
                </c:pt>
                <c:pt idx="111">
                  <c:v>45665</c:v>
                </c:pt>
                <c:pt idx="112">
                  <c:v>45666</c:v>
                </c:pt>
                <c:pt idx="113">
                  <c:v>45667</c:v>
                </c:pt>
                <c:pt idx="114">
                  <c:v>45668</c:v>
                </c:pt>
                <c:pt idx="115">
                  <c:v>45669</c:v>
                </c:pt>
                <c:pt idx="116">
                  <c:v>45670</c:v>
                </c:pt>
                <c:pt idx="117">
                  <c:v>45671</c:v>
                </c:pt>
                <c:pt idx="118">
                  <c:v>45672</c:v>
                </c:pt>
                <c:pt idx="119">
                  <c:v>45673</c:v>
                </c:pt>
                <c:pt idx="120">
                  <c:v>45674</c:v>
                </c:pt>
                <c:pt idx="121">
                  <c:v>45675</c:v>
                </c:pt>
                <c:pt idx="122">
                  <c:v>45676</c:v>
                </c:pt>
                <c:pt idx="123">
                  <c:v>45677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45682</c:v>
                </c:pt>
                <c:pt idx="129">
                  <c:v>45683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45689</c:v>
                </c:pt>
                <c:pt idx="136">
                  <c:v>45690</c:v>
                </c:pt>
                <c:pt idx="137">
                  <c:v>45691</c:v>
                </c:pt>
                <c:pt idx="138">
                  <c:v>45692</c:v>
                </c:pt>
                <c:pt idx="139">
                  <c:v>45693</c:v>
                </c:pt>
                <c:pt idx="140">
                  <c:v>45694</c:v>
                </c:pt>
                <c:pt idx="141">
                  <c:v>45695</c:v>
                </c:pt>
                <c:pt idx="142">
                  <c:v>45696</c:v>
                </c:pt>
                <c:pt idx="143">
                  <c:v>45697</c:v>
                </c:pt>
                <c:pt idx="144">
                  <c:v>45698</c:v>
                </c:pt>
                <c:pt idx="145">
                  <c:v>45699</c:v>
                </c:pt>
                <c:pt idx="146">
                  <c:v>45700</c:v>
                </c:pt>
                <c:pt idx="147">
                  <c:v>45701</c:v>
                </c:pt>
                <c:pt idx="148">
                  <c:v>45702</c:v>
                </c:pt>
                <c:pt idx="149">
                  <c:v>45703</c:v>
                </c:pt>
                <c:pt idx="150">
                  <c:v>45704</c:v>
                </c:pt>
                <c:pt idx="151">
                  <c:v>45705</c:v>
                </c:pt>
                <c:pt idx="152">
                  <c:v>45706</c:v>
                </c:pt>
                <c:pt idx="153">
                  <c:v>45707</c:v>
                </c:pt>
                <c:pt idx="154">
                  <c:v>45708</c:v>
                </c:pt>
                <c:pt idx="155">
                  <c:v>45709</c:v>
                </c:pt>
                <c:pt idx="156">
                  <c:v>45710</c:v>
                </c:pt>
                <c:pt idx="157">
                  <c:v>45711</c:v>
                </c:pt>
                <c:pt idx="158">
                  <c:v>45712</c:v>
                </c:pt>
                <c:pt idx="159">
                  <c:v>45713</c:v>
                </c:pt>
                <c:pt idx="160">
                  <c:v>45714</c:v>
                </c:pt>
                <c:pt idx="161">
                  <c:v>45715</c:v>
                </c:pt>
                <c:pt idx="162">
                  <c:v>45716</c:v>
                </c:pt>
                <c:pt idx="163">
                  <c:v>45717</c:v>
                </c:pt>
                <c:pt idx="164">
                  <c:v>45718</c:v>
                </c:pt>
                <c:pt idx="165">
                  <c:v>45719</c:v>
                </c:pt>
                <c:pt idx="166">
                  <c:v>45720</c:v>
                </c:pt>
                <c:pt idx="167">
                  <c:v>45721</c:v>
                </c:pt>
                <c:pt idx="168">
                  <c:v>45722</c:v>
                </c:pt>
                <c:pt idx="169">
                  <c:v>45723</c:v>
                </c:pt>
                <c:pt idx="170">
                  <c:v>45724</c:v>
                </c:pt>
                <c:pt idx="171">
                  <c:v>45725</c:v>
                </c:pt>
                <c:pt idx="172">
                  <c:v>45726</c:v>
                </c:pt>
                <c:pt idx="173">
                  <c:v>45727</c:v>
                </c:pt>
                <c:pt idx="174">
                  <c:v>45728</c:v>
                </c:pt>
                <c:pt idx="175">
                  <c:v>45729</c:v>
                </c:pt>
                <c:pt idx="176">
                  <c:v>45730</c:v>
                </c:pt>
                <c:pt idx="177">
                  <c:v>45731</c:v>
                </c:pt>
                <c:pt idx="178">
                  <c:v>45732</c:v>
                </c:pt>
                <c:pt idx="179">
                  <c:v>45733</c:v>
                </c:pt>
                <c:pt idx="180">
                  <c:v>45734</c:v>
                </c:pt>
                <c:pt idx="181">
                  <c:v>45735</c:v>
                </c:pt>
                <c:pt idx="182">
                  <c:v>45736</c:v>
                </c:pt>
                <c:pt idx="183">
                  <c:v>45737</c:v>
                </c:pt>
                <c:pt idx="184">
                  <c:v>45738</c:v>
                </c:pt>
                <c:pt idx="185">
                  <c:v>45739</c:v>
                </c:pt>
                <c:pt idx="186">
                  <c:v>45740</c:v>
                </c:pt>
                <c:pt idx="187">
                  <c:v>45741</c:v>
                </c:pt>
                <c:pt idx="188">
                  <c:v>45742</c:v>
                </c:pt>
                <c:pt idx="189">
                  <c:v>45743</c:v>
                </c:pt>
                <c:pt idx="190">
                  <c:v>45744</c:v>
                </c:pt>
                <c:pt idx="191">
                  <c:v>45744</c:v>
                </c:pt>
                <c:pt idx="192">
                  <c:v>45745</c:v>
                </c:pt>
                <c:pt idx="193">
                  <c:v>45746</c:v>
                </c:pt>
                <c:pt idx="194">
                  <c:v>45747</c:v>
                </c:pt>
                <c:pt idx="195">
                  <c:v>45748</c:v>
                </c:pt>
                <c:pt idx="196">
                  <c:v>45749</c:v>
                </c:pt>
                <c:pt idx="197">
                  <c:v>45750</c:v>
                </c:pt>
                <c:pt idx="198">
                  <c:v>45751</c:v>
                </c:pt>
                <c:pt idx="199">
                  <c:v>45752</c:v>
                </c:pt>
                <c:pt idx="200">
                  <c:v>45753</c:v>
                </c:pt>
                <c:pt idx="201">
                  <c:v>45754</c:v>
                </c:pt>
                <c:pt idx="202">
                  <c:v>45755</c:v>
                </c:pt>
                <c:pt idx="203">
                  <c:v>45756</c:v>
                </c:pt>
                <c:pt idx="204">
                  <c:v>45757</c:v>
                </c:pt>
                <c:pt idx="205">
                  <c:v>45758</c:v>
                </c:pt>
                <c:pt idx="206">
                  <c:v>45759</c:v>
                </c:pt>
                <c:pt idx="207">
                  <c:v>45760</c:v>
                </c:pt>
                <c:pt idx="208">
                  <c:v>45761</c:v>
                </c:pt>
                <c:pt idx="209">
                  <c:v>45762</c:v>
                </c:pt>
                <c:pt idx="210">
                  <c:v>45763</c:v>
                </c:pt>
                <c:pt idx="211">
                  <c:v>45764</c:v>
                </c:pt>
                <c:pt idx="212">
                  <c:v>45765</c:v>
                </c:pt>
                <c:pt idx="213">
                  <c:v>45766</c:v>
                </c:pt>
                <c:pt idx="214">
                  <c:v>45767</c:v>
                </c:pt>
                <c:pt idx="215">
                  <c:v>45768</c:v>
                </c:pt>
                <c:pt idx="216">
                  <c:v>45769</c:v>
                </c:pt>
                <c:pt idx="217">
                  <c:v>45770</c:v>
                </c:pt>
                <c:pt idx="218">
                  <c:v>45771</c:v>
                </c:pt>
                <c:pt idx="219">
                  <c:v>45772</c:v>
                </c:pt>
                <c:pt idx="220">
                  <c:v>45773</c:v>
                </c:pt>
                <c:pt idx="221">
                  <c:v>45774</c:v>
                </c:pt>
                <c:pt idx="222">
                  <c:v>45775</c:v>
                </c:pt>
                <c:pt idx="223">
                  <c:v>45776</c:v>
                </c:pt>
                <c:pt idx="224">
                  <c:v>45777</c:v>
                </c:pt>
                <c:pt idx="225">
                  <c:v>45778</c:v>
                </c:pt>
                <c:pt idx="226">
                  <c:v>45779</c:v>
                </c:pt>
                <c:pt idx="227">
                  <c:v>45780</c:v>
                </c:pt>
                <c:pt idx="228">
                  <c:v>45781</c:v>
                </c:pt>
                <c:pt idx="229">
                  <c:v>45782</c:v>
                </c:pt>
                <c:pt idx="230">
                  <c:v>45783</c:v>
                </c:pt>
                <c:pt idx="231">
                  <c:v>45784</c:v>
                </c:pt>
                <c:pt idx="232">
                  <c:v>45785</c:v>
                </c:pt>
                <c:pt idx="233">
                  <c:v>45786</c:v>
                </c:pt>
                <c:pt idx="234">
                  <c:v>45787</c:v>
                </c:pt>
                <c:pt idx="235">
                  <c:v>45788</c:v>
                </c:pt>
                <c:pt idx="236">
                  <c:v>45789</c:v>
                </c:pt>
                <c:pt idx="237">
                  <c:v>45790</c:v>
                </c:pt>
                <c:pt idx="238">
                  <c:v>45791</c:v>
                </c:pt>
                <c:pt idx="239">
                  <c:v>45792</c:v>
                </c:pt>
                <c:pt idx="240">
                  <c:v>45793</c:v>
                </c:pt>
                <c:pt idx="241">
                  <c:v>45794</c:v>
                </c:pt>
                <c:pt idx="242">
                  <c:v>45795</c:v>
                </c:pt>
                <c:pt idx="243">
                  <c:v>45796</c:v>
                </c:pt>
                <c:pt idx="244">
                  <c:v>45797</c:v>
                </c:pt>
                <c:pt idx="245">
                  <c:v>45798</c:v>
                </c:pt>
                <c:pt idx="246">
                  <c:v>45799</c:v>
                </c:pt>
                <c:pt idx="247">
                  <c:v>45800</c:v>
                </c:pt>
                <c:pt idx="248">
                  <c:v>45801</c:v>
                </c:pt>
                <c:pt idx="249">
                  <c:v>45802</c:v>
                </c:pt>
                <c:pt idx="250">
                  <c:v>45803</c:v>
                </c:pt>
                <c:pt idx="251">
                  <c:v>45804</c:v>
                </c:pt>
                <c:pt idx="252">
                  <c:v>45805</c:v>
                </c:pt>
                <c:pt idx="253">
                  <c:v>45806</c:v>
                </c:pt>
                <c:pt idx="254">
                  <c:v>45807</c:v>
                </c:pt>
                <c:pt idx="255">
                  <c:v>45808</c:v>
                </c:pt>
              </c:numCache>
            </c:numRef>
          </c:xVal>
          <c:yVal>
            <c:numRef>
              <c:f>'Km83+780)'!$AH$11:$AH$354</c:f>
              <c:numCache>
                <c:formatCode>0</c:formatCode>
                <c:ptCount val="344"/>
                <c:pt idx="0">
                  <c:v>0</c:v>
                </c:pt>
                <c:pt idx="1">
                  <c:v>-3</c:v>
                </c:pt>
                <c:pt idx="2">
                  <c:v>-6</c:v>
                </c:pt>
                <c:pt idx="3">
                  <c:v>-8</c:v>
                </c:pt>
                <c:pt idx="4">
                  <c:v>-10</c:v>
                </c:pt>
                <c:pt idx="5">
                  <c:v>-13</c:v>
                </c:pt>
                <c:pt idx="6">
                  <c:v>-15</c:v>
                </c:pt>
                <c:pt idx="7">
                  <c:v>-19</c:v>
                </c:pt>
                <c:pt idx="8">
                  <c:v>-23</c:v>
                </c:pt>
                <c:pt idx="9">
                  <c:v>-26</c:v>
                </c:pt>
                <c:pt idx="10">
                  <c:v>-30</c:v>
                </c:pt>
                <c:pt idx="11">
                  <c:v>-34</c:v>
                </c:pt>
                <c:pt idx="12">
                  <c:v>-39</c:v>
                </c:pt>
                <c:pt idx="13">
                  <c:v>-43</c:v>
                </c:pt>
                <c:pt idx="14">
                  <c:v>-48</c:v>
                </c:pt>
                <c:pt idx="15">
                  <c:v>-53</c:v>
                </c:pt>
                <c:pt idx="16">
                  <c:v>-58</c:v>
                </c:pt>
                <c:pt idx="17">
                  <c:v>-62</c:v>
                </c:pt>
                <c:pt idx="18">
                  <c:v>-67</c:v>
                </c:pt>
                <c:pt idx="19">
                  <c:v>-71</c:v>
                </c:pt>
                <c:pt idx="20">
                  <c:v>-75</c:v>
                </c:pt>
                <c:pt idx="21">
                  <c:v>-78</c:v>
                </c:pt>
                <c:pt idx="22">
                  <c:v>-81</c:v>
                </c:pt>
                <c:pt idx="23">
                  <c:v>-84</c:v>
                </c:pt>
                <c:pt idx="24">
                  <c:v>-86</c:v>
                </c:pt>
                <c:pt idx="25">
                  <c:v>-88</c:v>
                </c:pt>
                <c:pt idx="26">
                  <c:v>-90</c:v>
                </c:pt>
                <c:pt idx="27">
                  <c:v>-92</c:v>
                </c:pt>
                <c:pt idx="28">
                  <c:v>-93</c:v>
                </c:pt>
                <c:pt idx="29">
                  <c:v>-94</c:v>
                </c:pt>
                <c:pt idx="30">
                  <c:v>-95</c:v>
                </c:pt>
                <c:pt idx="31">
                  <c:v>-96</c:v>
                </c:pt>
                <c:pt idx="32">
                  <c:v>-97</c:v>
                </c:pt>
                <c:pt idx="33">
                  <c:v>-98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-101</c:v>
                </c:pt>
                <c:pt idx="38">
                  <c:v>-101</c:v>
                </c:pt>
                <c:pt idx="39">
                  <c:v>-104</c:v>
                </c:pt>
                <c:pt idx="40">
                  <c:v>-104</c:v>
                </c:pt>
                <c:pt idx="41">
                  <c:v>-107</c:v>
                </c:pt>
                <c:pt idx="42">
                  <c:v>-109</c:v>
                </c:pt>
                <c:pt idx="43">
                  <c:v>-110</c:v>
                </c:pt>
                <c:pt idx="44">
                  <c:v>-111</c:v>
                </c:pt>
                <c:pt idx="45">
                  <c:v>-112</c:v>
                </c:pt>
                <c:pt idx="46">
                  <c:v>-113</c:v>
                </c:pt>
                <c:pt idx="47">
                  <c:v>-114</c:v>
                </c:pt>
                <c:pt idx="48">
                  <c:v>-115</c:v>
                </c:pt>
                <c:pt idx="49">
                  <c:v>-116</c:v>
                </c:pt>
                <c:pt idx="50">
                  <c:v>-116</c:v>
                </c:pt>
                <c:pt idx="51">
                  <c:v>-116</c:v>
                </c:pt>
                <c:pt idx="52">
                  <c:v>-118</c:v>
                </c:pt>
                <c:pt idx="53">
                  <c:v>-118</c:v>
                </c:pt>
                <c:pt idx="54">
                  <c:v>-121</c:v>
                </c:pt>
                <c:pt idx="55">
                  <c:v>-121</c:v>
                </c:pt>
                <c:pt idx="56">
                  <c:v>-124</c:v>
                </c:pt>
                <c:pt idx="57">
                  <c:v>-124</c:v>
                </c:pt>
                <c:pt idx="58">
                  <c:v>-126</c:v>
                </c:pt>
                <c:pt idx="59">
                  <c:v>-126</c:v>
                </c:pt>
                <c:pt idx="60">
                  <c:v>-129</c:v>
                </c:pt>
                <c:pt idx="61">
                  <c:v>-130</c:v>
                </c:pt>
                <c:pt idx="62">
                  <c:v>-130</c:v>
                </c:pt>
                <c:pt idx="63">
                  <c:v>-132</c:v>
                </c:pt>
                <c:pt idx="64">
                  <c:v>-132</c:v>
                </c:pt>
                <c:pt idx="65">
                  <c:v>-135</c:v>
                </c:pt>
                <c:pt idx="66">
                  <c:v>-135</c:v>
                </c:pt>
                <c:pt idx="67">
                  <c:v>-135</c:v>
                </c:pt>
                <c:pt idx="68">
                  <c:v>-138</c:v>
                </c:pt>
                <c:pt idx="69">
                  <c:v>-141</c:v>
                </c:pt>
                <c:pt idx="70">
                  <c:v>-143</c:v>
                </c:pt>
                <c:pt idx="71">
                  <c:v>-143</c:v>
                </c:pt>
                <c:pt idx="72">
                  <c:v>-143</c:v>
                </c:pt>
                <c:pt idx="73">
                  <c:v>-144</c:v>
                </c:pt>
                <c:pt idx="74">
                  <c:v>-145</c:v>
                </c:pt>
                <c:pt idx="75">
                  <c:v>-148</c:v>
                </c:pt>
                <c:pt idx="76">
                  <c:v>-149</c:v>
                </c:pt>
                <c:pt idx="77">
                  <c:v>-152</c:v>
                </c:pt>
                <c:pt idx="78">
                  <c:v>-153</c:v>
                </c:pt>
                <c:pt idx="79">
                  <c:v>-155</c:v>
                </c:pt>
                <c:pt idx="80">
                  <c:v>-157</c:v>
                </c:pt>
                <c:pt idx="81">
                  <c:v>-158</c:v>
                </c:pt>
                <c:pt idx="82">
                  <c:v>-158</c:v>
                </c:pt>
                <c:pt idx="83">
                  <c:v>-161</c:v>
                </c:pt>
                <c:pt idx="84">
                  <c:v>-164</c:v>
                </c:pt>
                <c:pt idx="85">
                  <c:v>-164</c:v>
                </c:pt>
                <c:pt idx="86">
                  <c:v>-164</c:v>
                </c:pt>
                <c:pt idx="87">
                  <c:v>-165</c:v>
                </c:pt>
                <c:pt idx="88">
                  <c:v>-165</c:v>
                </c:pt>
                <c:pt idx="89">
                  <c:v>-165</c:v>
                </c:pt>
                <c:pt idx="90">
                  <c:v>-165</c:v>
                </c:pt>
                <c:pt idx="91">
                  <c:v>-167</c:v>
                </c:pt>
                <c:pt idx="92">
                  <c:v>-170</c:v>
                </c:pt>
                <c:pt idx="93">
                  <c:v>-170</c:v>
                </c:pt>
                <c:pt idx="94">
                  <c:v>-173</c:v>
                </c:pt>
                <c:pt idx="95">
                  <c:v>-173</c:v>
                </c:pt>
                <c:pt idx="96">
                  <c:v>-173</c:v>
                </c:pt>
                <c:pt idx="97">
                  <c:v>-176</c:v>
                </c:pt>
                <c:pt idx="98">
                  <c:v>-176</c:v>
                </c:pt>
                <c:pt idx="99">
                  <c:v>-177</c:v>
                </c:pt>
                <c:pt idx="100">
                  <c:v>-179</c:v>
                </c:pt>
                <c:pt idx="101">
                  <c:v>-182</c:v>
                </c:pt>
                <c:pt idx="102">
                  <c:v>-183</c:v>
                </c:pt>
                <c:pt idx="103">
                  <c:v>-183</c:v>
                </c:pt>
                <c:pt idx="104">
                  <c:v>-186</c:v>
                </c:pt>
                <c:pt idx="105">
                  <c:v>-188</c:v>
                </c:pt>
                <c:pt idx="106">
                  <c:v>-188</c:v>
                </c:pt>
                <c:pt idx="107">
                  <c:v>-190</c:v>
                </c:pt>
                <c:pt idx="108">
                  <c:v>-190</c:v>
                </c:pt>
                <c:pt idx="109">
                  <c:v>-193</c:v>
                </c:pt>
                <c:pt idx="110">
                  <c:v>-195</c:v>
                </c:pt>
                <c:pt idx="111">
                  <c:v>-195</c:v>
                </c:pt>
                <c:pt idx="112">
                  <c:v>-195</c:v>
                </c:pt>
                <c:pt idx="113">
                  <c:v>-196</c:v>
                </c:pt>
                <c:pt idx="114">
                  <c:v>-196</c:v>
                </c:pt>
                <c:pt idx="115">
                  <c:v>-196</c:v>
                </c:pt>
                <c:pt idx="116">
                  <c:v>-199</c:v>
                </c:pt>
                <c:pt idx="117">
                  <c:v>-199</c:v>
                </c:pt>
                <c:pt idx="118">
                  <c:v>-199</c:v>
                </c:pt>
                <c:pt idx="119">
                  <c:v>-200</c:v>
                </c:pt>
                <c:pt idx="120">
                  <c:v>-200</c:v>
                </c:pt>
                <c:pt idx="121">
                  <c:v>-203</c:v>
                </c:pt>
                <c:pt idx="122">
                  <c:v>-203</c:v>
                </c:pt>
                <c:pt idx="123">
                  <c:v>-203</c:v>
                </c:pt>
                <c:pt idx="124">
                  <c:v>-204</c:v>
                </c:pt>
                <c:pt idx="125">
                  <c:v>-205</c:v>
                </c:pt>
                <c:pt idx="126">
                  <c:v>-205</c:v>
                </c:pt>
                <c:pt idx="127">
                  <c:v>-205</c:v>
                </c:pt>
                <c:pt idx="128">
                  <c:v>-205</c:v>
                </c:pt>
                <c:pt idx="129">
                  <c:v>-207</c:v>
                </c:pt>
                <c:pt idx="130">
                  <c:v>-207</c:v>
                </c:pt>
                <c:pt idx="131">
                  <c:v>-210</c:v>
                </c:pt>
                <c:pt idx="132">
                  <c:v>-210</c:v>
                </c:pt>
                <c:pt idx="133">
                  <c:v>-212</c:v>
                </c:pt>
                <c:pt idx="134">
                  <c:v>-212</c:v>
                </c:pt>
                <c:pt idx="135">
                  <c:v>-212</c:v>
                </c:pt>
                <c:pt idx="136">
                  <c:v>-215</c:v>
                </c:pt>
                <c:pt idx="137">
                  <c:v>-215</c:v>
                </c:pt>
                <c:pt idx="138">
                  <c:v>-217</c:v>
                </c:pt>
                <c:pt idx="139">
                  <c:v>-217</c:v>
                </c:pt>
                <c:pt idx="140">
                  <c:v>-217</c:v>
                </c:pt>
                <c:pt idx="141">
                  <c:v>-220</c:v>
                </c:pt>
                <c:pt idx="142">
                  <c:v>-220</c:v>
                </c:pt>
                <c:pt idx="143">
                  <c:v>-223</c:v>
                </c:pt>
                <c:pt idx="144">
                  <c:v>-223</c:v>
                </c:pt>
                <c:pt idx="145">
                  <c:v>-223</c:v>
                </c:pt>
                <c:pt idx="146">
                  <c:v>-223</c:v>
                </c:pt>
                <c:pt idx="147">
                  <c:v>-223</c:v>
                </c:pt>
                <c:pt idx="148">
                  <c:v>-225</c:v>
                </c:pt>
                <c:pt idx="149">
                  <c:v>-225</c:v>
                </c:pt>
                <c:pt idx="150">
                  <c:v>-226</c:v>
                </c:pt>
                <c:pt idx="151">
                  <c:v>-227</c:v>
                </c:pt>
                <c:pt idx="152">
                  <c:v>-230</c:v>
                </c:pt>
                <c:pt idx="153">
                  <c:v>-232</c:v>
                </c:pt>
                <c:pt idx="154">
                  <c:v>-232</c:v>
                </c:pt>
                <c:pt idx="155">
                  <c:v>-232</c:v>
                </c:pt>
                <c:pt idx="156">
                  <c:v>-232</c:v>
                </c:pt>
                <c:pt idx="157">
                  <c:v>-235</c:v>
                </c:pt>
                <c:pt idx="158">
                  <c:v>-235</c:v>
                </c:pt>
                <c:pt idx="159">
                  <c:v>-235</c:v>
                </c:pt>
                <c:pt idx="160">
                  <c:v>-237</c:v>
                </c:pt>
                <c:pt idx="161">
                  <c:v>-237</c:v>
                </c:pt>
                <c:pt idx="162">
                  <c:v>-237</c:v>
                </c:pt>
                <c:pt idx="163">
                  <c:v>-238</c:v>
                </c:pt>
                <c:pt idx="164">
                  <c:v>-239</c:v>
                </c:pt>
                <c:pt idx="165">
                  <c:v>-239</c:v>
                </c:pt>
                <c:pt idx="166">
                  <c:v>-240</c:v>
                </c:pt>
                <c:pt idx="167">
                  <c:v>-240</c:v>
                </c:pt>
                <c:pt idx="168">
                  <c:v>-241</c:v>
                </c:pt>
                <c:pt idx="169">
                  <c:v>-243</c:v>
                </c:pt>
                <c:pt idx="170">
                  <c:v>-245</c:v>
                </c:pt>
                <c:pt idx="171">
                  <c:v>-246</c:v>
                </c:pt>
                <c:pt idx="172">
                  <c:v>-246</c:v>
                </c:pt>
                <c:pt idx="173">
                  <c:v>-246</c:v>
                </c:pt>
                <c:pt idx="174">
                  <c:v>-246</c:v>
                </c:pt>
                <c:pt idx="175">
                  <c:v>-246</c:v>
                </c:pt>
                <c:pt idx="176">
                  <c:v>-246</c:v>
                </c:pt>
                <c:pt idx="177">
                  <c:v>-247</c:v>
                </c:pt>
                <c:pt idx="178">
                  <c:v>-247</c:v>
                </c:pt>
                <c:pt idx="179">
                  <c:v>-247</c:v>
                </c:pt>
                <c:pt idx="180">
                  <c:v>-247</c:v>
                </c:pt>
                <c:pt idx="181">
                  <c:v>-249</c:v>
                </c:pt>
                <c:pt idx="182">
                  <c:v>-249</c:v>
                </c:pt>
                <c:pt idx="183">
                  <c:v>-249</c:v>
                </c:pt>
                <c:pt idx="184">
                  <c:v>-252</c:v>
                </c:pt>
                <c:pt idx="185">
                  <c:v>-252</c:v>
                </c:pt>
                <c:pt idx="186">
                  <c:v>-252</c:v>
                </c:pt>
                <c:pt idx="187">
                  <c:v>-252</c:v>
                </c:pt>
                <c:pt idx="188">
                  <c:v>-252</c:v>
                </c:pt>
                <c:pt idx="189">
                  <c:v>-253</c:v>
                </c:pt>
                <c:pt idx="190">
                  <c:v>-254</c:v>
                </c:pt>
                <c:pt idx="191">
                  <c:v>-254</c:v>
                </c:pt>
                <c:pt idx="192">
                  <c:v>-262</c:v>
                </c:pt>
                <c:pt idx="193">
                  <c:v>-270</c:v>
                </c:pt>
                <c:pt idx="194">
                  <c:v>-278</c:v>
                </c:pt>
                <c:pt idx="195">
                  <c:v>-286</c:v>
                </c:pt>
                <c:pt idx="196">
                  <c:v>-294</c:v>
                </c:pt>
                <c:pt idx="197">
                  <c:v>-301</c:v>
                </c:pt>
                <c:pt idx="198">
                  <c:v>-307</c:v>
                </c:pt>
                <c:pt idx="199">
                  <c:v>-312</c:v>
                </c:pt>
                <c:pt idx="200">
                  <c:v>-320</c:v>
                </c:pt>
                <c:pt idx="201">
                  <c:v>-325</c:v>
                </c:pt>
                <c:pt idx="202">
                  <c:v>-332</c:v>
                </c:pt>
                <c:pt idx="203">
                  <c:v>-339</c:v>
                </c:pt>
                <c:pt idx="204">
                  <c:v>-345</c:v>
                </c:pt>
                <c:pt idx="205">
                  <c:v>-351</c:v>
                </c:pt>
                <c:pt idx="206">
                  <c:v>-356</c:v>
                </c:pt>
                <c:pt idx="207">
                  <c:v>-360</c:v>
                </c:pt>
                <c:pt idx="208">
                  <c:v>-364</c:v>
                </c:pt>
                <c:pt idx="209">
                  <c:v>-367</c:v>
                </c:pt>
                <c:pt idx="210">
                  <c:v>-374</c:v>
                </c:pt>
                <c:pt idx="211">
                  <c:v>-380</c:v>
                </c:pt>
                <c:pt idx="212">
                  <c:v>-385</c:v>
                </c:pt>
                <c:pt idx="213">
                  <c:v>-392</c:v>
                </c:pt>
                <c:pt idx="214">
                  <c:v>-398</c:v>
                </c:pt>
                <c:pt idx="215">
                  <c:v>-403</c:v>
                </c:pt>
                <c:pt idx="216">
                  <c:v>-411</c:v>
                </c:pt>
                <c:pt idx="217">
                  <c:v>-416</c:v>
                </c:pt>
                <c:pt idx="218">
                  <c:v>-423</c:v>
                </c:pt>
                <c:pt idx="219">
                  <c:v>-430</c:v>
                </c:pt>
                <c:pt idx="220">
                  <c:v>-436</c:v>
                </c:pt>
                <c:pt idx="221">
                  <c:v>-442</c:v>
                </c:pt>
                <c:pt idx="222">
                  <c:v>-447</c:v>
                </c:pt>
                <c:pt idx="223">
                  <c:v>-451</c:v>
                </c:pt>
                <c:pt idx="224">
                  <c:v>-456</c:v>
                </c:pt>
                <c:pt idx="225">
                  <c:v>-463</c:v>
                </c:pt>
                <c:pt idx="226">
                  <c:v>-470</c:v>
                </c:pt>
                <c:pt idx="227">
                  <c:v>-476</c:v>
                </c:pt>
                <c:pt idx="228">
                  <c:v>-482</c:v>
                </c:pt>
                <c:pt idx="229">
                  <c:v>-488</c:v>
                </c:pt>
                <c:pt idx="230">
                  <c:v>-494</c:v>
                </c:pt>
                <c:pt idx="231">
                  <c:v>-500</c:v>
                </c:pt>
                <c:pt idx="232">
                  <c:v>-506</c:v>
                </c:pt>
                <c:pt idx="233">
                  <c:v>-512</c:v>
                </c:pt>
                <c:pt idx="234">
                  <c:v>-518</c:v>
                </c:pt>
                <c:pt idx="235">
                  <c:v>-523</c:v>
                </c:pt>
                <c:pt idx="236">
                  <c:v>-528</c:v>
                </c:pt>
                <c:pt idx="237">
                  <c:v>-532</c:v>
                </c:pt>
                <c:pt idx="238">
                  <c:v>-536</c:v>
                </c:pt>
                <c:pt idx="239">
                  <c:v>-540</c:v>
                </c:pt>
                <c:pt idx="240">
                  <c:v>-543</c:v>
                </c:pt>
                <c:pt idx="241">
                  <c:v>-546</c:v>
                </c:pt>
                <c:pt idx="242">
                  <c:v>-549</c:v>
                </c:pt>
                <c:pt idx="243">
                  <c:v>-552</c:v>
                </c:pt>
                <c:pt idx="244">
                  <c:v>-557</c:v>
                </c:pt>
                <c:pt idx="245">
                  <c:v>-559</c:v>
                </c:pt>
                <c:pt idx="246">
                  <c:v>-562</c:v>
                </c:pt>
                <c:pt idx="247">
                  <c:v>-565</c:v>
                </c:pt>
                <c:pt idx="248">
                  <c:v>-567</c:v>
                </c:pt>
                <c:pt idx="249">
                  <c:v>-570</c:v>
                </c:pt>
                <c:pt idx="250">
                  <c:v>-573</c:v>
                </c:pt>
                <c:pt idx="251">
                  <c:v>-575</c:v>
                </c:pt>
                <c:pt idx="252">
                  <c:v>-577</c:v>
                </c:pt>
                <c:pt idx="253">
                  <c:v>-580</c:v>
                </c:pt>
                <c:pt idx="254">
                  <c:v>-582</c:v>
                </c:pt>
                <c:pt idx="255">
                  <c:v>-584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76-4202-8A7D-1246E4A4C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475200"/>
        <c:axId val="586475776"/>
      </c:scatterChart>
      <c:scatterChart>
        <c:scatterStyle val="lineMarker"/>
        <c:varyColors val="0"/>
        <c:ser>
          <c:idx val="0"/>
          <c:order val="0"/>
          <c:tx>
            <c:strRef>
              <c:f>'Km83+780)'!$AJ$8:$AJ$9</c:f>
              <c:strCache>
                <c:ptCount val="2"/>
                <c:pt idx="0">
                  <c:v>Cao độ nền đường</c:v>
                </c:pt>
              </c:strCache>
            </c:strRef>
          </c:tx>
          <c:marker>
            <c:symbol val="diamond"/>
            <c:size val="2"/>
            <c:spPr>
              <a:solidFill>
                <a:srgbClr val="000080"/>
              </a:solidFill>
              <a:ln w="12700">
                <a:solidFill>
                  <a:srgbClr val="000080"/>
                </a:solidFill>
                <a:prstDash val="solid"/>
              </a:ln>
            </c:spPr>
          </c:marker>
          <c:xVal>
            <c:numRef>
              <c:f>'Km83+780)'!$B$11:$B$351</c:f>
              <c:numCache>
                <c:formatCode>[$-1010000]d/m/yyyy;@</c:formatCode>
                <c:ptCount val="341"/>
                <c:pt idx="0">
                  <c:v>45554</c:v>
                </c:pt>
                <c:pt idx="1">
                  <c:v>45555</c:v>
                </c:pt>
                <c:pt idx="2">
                  <c:v>45556</c:v>
                </c:pt>
                <c:pt idx="3">
                  <c:v>45557</c:v>
                </c:pt>
                <c:pt idx="4">
                  <c:v>45558</c:v>
                </c:pt>
                <c:pt idx="5">
                  <c:v>45559</c:v>
                </c:pt>
                <c:pt idx="6">
                  <c:v>45560</c:v>
                </c:pt>
                <c:pt idx="7">
                  <c:v>45561</c:v>
                </c:pt>
                <c:pt idx="8">
                  <c:v>45562</c:v>
                </c:pt>
                <c:pt idx="9">
                  <c:v>45563</c:v>
                </c:pt>
                <c:pt idx="10">
                  <c:v>45564</c:v>
                </c:pt>
                <c:pt idx="11">
                  <c:v>45565</c:v>
                </c:pt>
                <c:pt idx="12">
                  <c:v>45566</c:v>
                </c:pt>
                <c:pt idx="13">
                  <c:v>45567</c:v>
                </c:pt>
                <c:pt idx="14">
                  <c:v>45568</c:v>
                </c:pt>
                <c:pt idx="15">
                  <c:v>45569</c:v>
                </c:pt>
                <c:pt idx="16">
                  <c:v>45570</c:v>
                </c:pt>
                <c:pt idx="17">
                  <c:v>45571</c:v>
                </c:pt>
                <c:pt idx="18">
                  <c:v>45572</c:v>
                </c:pt>
                <c:pt idx="19">
                  <c:v>45573</c:v>
                </c:pt>
                <c:pt idx="20">
                  <c:v>45574</c:v>
                </c:pt>
                <c:pt idx="21">
                  <c:v>45575</c:v>
                </c:pt>
                <c:pt idx="22">
                  <c:v>45576</c:v>
                </c:pt>
                <c:pt idx="23">
                  <c:v>45577</c:v>
                </c:pt>
                <c:pt idx="24">
                  <c:v>45578</c:v>
                </c:pt>
                <c:pt idx="25">
                  <c:v>45579</c:v>
                </c:pt>
                <c:pt idx="26">
                  <c:v>45580</c:v>
                </c:pt>
                <c:pt idx="27">
                  <c:v>45581</c:v>
                </c:pt>
                <c:pt idx="28">
                  <c:v>45582</c:v>
                </c:pt>
                <c:pt idx="29">
                  <c:v>45583</c:v>
                </c:pt>
                <c:pt idx="30">
                  <c:v>45584</c:v>
                </c:pt>
                <c:pt idx="31">
                  <c:v>45585</c:v>
                </c:pt>
                <c:pt idx="32">
                  <c:v>45586</c:v>
                </c:pt>
                <c:pt idx="33">
                  <c:v>45587</c:v>
                </c:pt>
                <c:pt idx="34">
                  <c:v>45588</c:v>
                </c:pt>
                <c:pt idx="35">
                  <c:v>45589</c:v>
                </c:pt>
                <c:pt idx="36">
                  <c:v>45590</c:v>
                </c:pt>
                <c:pt idx="37">
                  <c:v>45591</c:v>
                </c:pt>
                <c:pt idx="38">
                  <c:v>45592</c:v>
                </c:pt>
                <c:pt idx="39">
                  <c:v>45593</c:v>
                </c:pt>
                <c:pt idx="40">
                  <c:v>45594</c:v>
                </c:pt>
                <c:pt idx="41">
                  <c:v>45595</c:v>
                </c:pt>
                <c:pt idx="42">
                  <c:v>45596</c:v>
                </c:pt>
                <c:pt idx="43">
                  <c:v>45597</c:v>
                </c:pt>
                <c:pt idx="44">
                  <c:v>45598</c:v>
                </c:pt>
                <c:pt idx="45">
                  <c:v>45599</c:v>
                </c:pt>
                <c:pt idx="46">
                  <c:v>45600</c:v>
                </c:pt>
                <c:pt idx="47">
                  <c:v>45601</c:v>
                </c:pt>
                <c:pt idx="48">
                  <c:v>45602</c:v>
                </c:pt>
                <c:pt idx="49">
                  <c:v>45603</c:v>
                </c:pt>
                <c:pt idx="50">
                  <c:v>45604</c:v>
                </c:pt>
                <c:pt idx="51">
                  <c:v>45605</c:v>
                </c:pt>
                <c:pt idx="52">
                  <c:v>45606</c:v>
                </c:pt>
                <c:pt idx="53">
                  <c:v>45607</c:v>
                </c:pt>
                <c:pt idx="54">
                  <c:v>45608</c:v>
                </c:pt>
                <c:pt idx="55">
                  <c:v>45609</c:v>
                </c:pt>
                <c:pt idx="56">
                  <c:v>45610</c:v>
                </c:pt>
                <c:pt idx="57">
                  <c:v>45611</c:v>
                </c:pt>
                <c:pt idx="58">
                  <c:v>45612</c:v>
                </c:pt>
                <c:pt idx="59">
                  <c:v>45613</c:v>
                </c:pt>
                <c:pt idx="60">
                  <c:v>45614</c:v>
                </c:pt>
                <c:pt idx="61">
                  <c:v>45615</c:v>
                </c:pt>
                <c:pt idx="62">
                  <c:v>45616</c:v>
                </c:pt>
                <c:pt idx="63">
                  <c:v>45617</c:v>
                </c:pt>
                <c:pt idx="64">
                  <c:v>45618</c:v>
                </c:pt>
                <c:pt idx="65">
                  <c:v>45619</c:v>
                </c:pt>
                <c:pt idx="66">
                  <c:v>45620</c:v>
                </c:pt>
                <c:pt idx="67">
                  <c:v>45621</c:v>
                </c:pt>
                <c:pt idx="68">
                  <c:v>45622</c:v>
                </c:pt>
                <c:pt idx="69">
                  <c:v>45623</c:v>
                </c:pt>
                <c:pt idx="70">
                  <c:v>45624</c:v>
                </c:pt>
                <c:pt idx="71">
                  <c:v>45625</c:v>
                </c:pt>
                <c:pt idx="72">
                  <c:v>45626</c:v>
                </c:pt>
                <c:pt idx="73">
                  <c:v>45627</c:v>
                </c:pt>
                <c:pt idx="74">
                  <c:v>45628</c:v>
                </c:pt>
                <c:pt idx="75">
                  <c:v>45629</c:v>
                </c:pt>
                <c:pt idx="76">
                  <c:v>45630</c:v>
                </c:pt>
                <c:pt idx="77">
                  <c:v>45631</c:v>
                </c:pt>
                <c:pt idx="78">
                  <c:v>45632</c:v>
                </c:pt>
                <c:pt idx="79">
                  <c:v>45633</c:v>
                </c:pt>
                <c:pt idx="80">
                  <c:v>45634</c:v>
                </c:pt>
                <c:pt idx="81">
                  <c:v>45635</c:v>
                </c:pt>
                <c:pt idx="82">
                  <c:v>45636</c:v>
                </c:pt>
                <c:pt idx="83">
                  <c:v>45637</c:v>
                </c:pt>
                <c:pt idx="84">
                  <c:v>45638</c:v>
                </c:pt>
                <c:pt idx="85">
                  <c:v>45639</c:v>
                </c:pt>
                <c:pt idx="86">
                  <c:v>45640</c:v>
                </c:pt>
                <c:pt idx="87">
                  <c:v>45641</c:v>
                </c:pt>
                <c:pt idx="88">
                  <c:v>45642</c:v>
                </c:pt>
                <c:pt idx="89">
                  <c:v>45643</c:v>
                </c:pt>
                <c:pt idx="90">
                  <c:v>45644</c:v>
                </c:pt>
                <c:pt idx="91">
                  <c:v>45645</c:v>
                </c:pt>
                <c:pt idx="92">
                  <c:v>45646</c:v>
                </c:pt>
                <c:pt idx="93">
                  <c:v>45647</c:v>
                </c:pt>
                <c:pt idx="94">
                  <c:v>45648</c:v>
                </c:pt>
                <c:pt idx="95">
                  <c:v>45649</c:v>
                </c:pt>
                <c:pt idx="96">
                  <c:v>45650</c:v>
                </c:pt>
                <c:pt idx="97">
                  <c:v>45651</c:v>
                </c:pt>
                <c:pt idx="98">
                  <c:v>45652</c:v>
                </c:pt>
                <c:pt idx="99">
                  <c:v>45653</c:v>
                </c:pt>
                <c:pt idx="100">
                  <c:v>45654</c:v>
                </c:pt>
                <c:pt idx="101">
                  <c:v>45655</c:v>
                </c:pt>
                <c:pt idx="102">
                  <c:v>45656</c:v>
                </c:pt>
                <c:pt idx="103">
                  <c:v>45657</c:v>
                </c:pt>
                <c:pt idx="104">
                  <c:v>45658</c:v>
                </c:pt>
                <c:pt idx="105">
                  <c:v>45659</c:v>
                </c:pt>
                <c:pt idx="106">
                  <c:v>45660</c:v>
                </c:pt>
                <c:pt idx="107">
                  <c:v>45661</c:v>
                </c:pt>
                <c:pt idx="108">
                  <c:v>45662</c:v>
                </c:pt>
                <c:pt idx="109">
                  <c:v>45663</c:v>
                </c:pt>
                <c:pt idx="110">
                  <c:v>45664</c:v>
                </c:pt>
                <c:pt idx="111">
                  <c:v>45665</c:v>
                </c:pt>
                <c:pt idx="112">
                  <c:v>45666</c:v>
                </c:pt>
                <c:pt idx="113">
                  <c:v>45667</c:v>
                </c:pt>
                <c:pt idx="114">
                  <c:v>45668</c:v>
                </c:pt>
                <c:pt idx="115">
                  <c:v>45669</c:v>
                </c:pt>
                <c:pt idx="116">
                  <c:v>45670</c:v>
                </c:pt>
                <c:pt idx="117">
                  <c:v>45671</c:v>
                </c:pt>
                <c:pt idx="118">
                  <c:v>45672</c:v>
                </c:pt>
                <c:pt idx="119">
                  <c:v>45673</c:v>
                </c:pt>
                <c:pt idx="120">
                  <c:v>45674</c:v>
                </c:pt>
                <c:pt idx="121">
                  <c:v>45675</c:v>
                </c:pt>
                <c:pt idx="122">
                  <c:v>45676</c:v>
                </c:pt>
                <c:pt idx="123">
                  <c:v>45677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45682</c:v>
                </c:pt>
                <c:pt idx="129">
                  <c:v>45683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45689</c:v>
                </c:pt>
                <c:pt idx="136">
                  <c:v>45690</c:v>
                </c:pt>
                <c:pt idx="137">
                  <c:v>45691</c:v>
                </c:pt>
                <c:pt idx="138">
                  <c:v>45692</c:v>
                </c:pt>
                <c:pt idx="139">
                  <c:v>45693</c:v>
                </c:pt>
                <c:pt idx="140">
                  <c:v>45694</c:v>
                </c:pt>
                <c:pt idx="141">
                  <c:v>45695</c:v>
                </c:pt>
                <c:pt idx="142">
                  <c:v>45696</c:v>
                </c:pt>
                <c:pt idx="143">
                  <c:v>45697</c:v>
                </c:pt>
                <c:pt idx="144">
                  <c:v>45698</c:v>
                </c:pt>
                <c:pt idx="145">
                  <c:v>45699</c:v>
                </c:pt>
                <c:pt idx="146">
                  <c:v>45700</c:v>
                </c:pt>
                <c:pt idx="147">
                  <c:v>45701</c:v>
                </c:pt>
                <c:pt idx="148">
                  <c:v>45702</c:v>
                </c:pt>
                <c:pt idx="149">
                  <c:v>45703</c:v>
                </c:pt>
                <c:pt idx="150">
                  <c:v>45704</c:v>
                </c:pt>
                <c:pt idx="151">
                  <c:v>45705</c:v>
                </c:pt>
                <c:pt idx="152">
                  <c:v>45706</c:v>
                </c:pt>
                <c:pt idx="153">
                  <c:v>45707</c:v>
                </c:pt>
                <c:pt idx="154">
                  <c:v>45708</c:v>
                </c:pt>
                <c:pt idx="155">
                  <c:v>45709</c:v>
                </c:pt>
                <c:pt idx="156">
                  <c:v>45710</c:v>
                </c:pt>
                <c:pt idx="157">
                  <c:v>45711</c:v>
                </c:pt>
                <c:pt idx="158">
                  <c:v>45712</c:v>
                </c:pt>
                <c:pt idx="159">
                  <c:v>45713</c:v>
                </c:pt>
                <c:pt idx="160">
                  <c:v>45714</c:v>
                </c:pt>
                <c:pt idx="161">
                  <c:v>45715</c:v>
                </c:pt>
                <c:pt idx="162">
                  <c:v>45716</c:v>
                </c:pt>
                <c:pt idx="163">
                  <c:v>45717</c:v>
                </c:pt>
                <c:pt idx="164">
                  <c:v>45718</c:v>
                </c:pt>
                <c:pt idx="165">
                  <c:v>45719</c:v>
                </c:pt>
                <c:pt idx="166">
                  <c:v>45720</c:v>
                </c:pt>
                <c:pt idx="167">
                  <c:v>45721</c:v>
                </c:pt>
                <c:pt idx="168">
                  <c:v>45722</c:v>
                </c:pt>
                <c:pt idx="169">
                  <c:v>45723</c:v>
                </c:pt>
                <c:pt idx="170">
                  <c:v>45724</c:v>
                </c:pt>
                <c:pt idx="171">
                  <c:v>45725</c:v>
                </c:pt>
                <c:pt idx="172">
                  <c:v>45726</c:v>
                </c:pt>
                <c:pt idx="173">
                  <c:v>45727</c:v>
                </c:pt>
                <c:pt idx="174">
                  <c:v>45728</c:v>
                </c:pt>
                <c:pt idx="175">
                  <c:v>45729</c:v>
                </c:pt>
                <c:pt idx="176">
                  <c:v>45730</c:v>
                </c:pt>
                <c:pt idx="177">
                  <c:v>45731</c:v>
                </c:pt>
                <c:pt idx="178">
                  <c:v>45732</c:v>
                </c:pt>
                <c:pt idx="179">
                  <c:v>45733</c:v>
                </c:pt>
                <c:pt idx="180">
                  <c:v>45734</c:v>
                </c:pt>
                <c:pt idx="181">
                  <c:v>45735</c:v>
                </c:pt>
                <c:pt idx="182">
                  <c:v>45736</c:v>
                </c:pt>
                <c:pt idx="183">
                  <c:v>45737</c:v>
                </c:pt>
                <c:pt idx="184">
                  <c:v>45738</c:v>
                </c:pt>
                <c:pt idx="185">
                  <c:v>45739</c:v>
                </c:pt>
                <c:pt idx="186">
                  <c:v>45740</c:v>
                </c:pt>
                <c:pt idx="187">
                  <c:v>45741</c:v>
                </c:pt>
                <c:pt idx="188">
                  <c:v>45742</c:v>
                </c:pt>
                <c:pt idx="189">
                  <c:v>45743</c:v>
                </c:pt>
                <c:pt idx="190">
                  <c:v>45744</c:v>
                </c:pt>
                <c:pt idx="191">
                  <c:v>45744</c:v>
                </c:pt>
                <c:pt idx="192">
                  <c:v>45745</c:v>
                </c:pt>
                <c:pt idx="193">
                  <c:v>45746</c:v>
                </c:pt>
                <c:pt idx="194">
                  <c:v>45747</c:v>
                </c:pt>
                <c:pt idx="195">
                  <c:v>45748</c:v>
                </c:pt>
                <c:pt idx="196">
                  <c:v>45749</c:v>
                </c:pt>
                <c:pt idx="197">
                  <c:v>45750</c:v>
                </c:pt>
                <c:pt idx="198">
                  <c:v>45751</c:v>
                </c:pt>
                <c:pt idx="199">
                  <c:v>45752</c:v>
                </c:pt>
                <c:pt idx="200">
                  <c:v>45753</c:v>
                </c:pt>
                <c:pt idx="201">
                  <c:v>45754</c:v>
                </c:pt>
                <c:pt idx="202">
                  <c:v>45755</c:v>
                </c:pt>
                <c:pt idx="203">
                  <c:v>45756</c:v>
                </c:pt>
                <c:pt idx="204">
                  <c:v>45757</c:v>
                </c:pt>
                <c:pt idx="205">
                  <c:v>45758</c:v>
                </c:pt>
                <c:pt idx="206">
                  <c:v>45759</c:v>
                </c:pt>
                <c:pt idx="207">
                  <c:v>45760</c:v>
                </c:pt>
                <c:pt idx="208">
                  <c:v>45761</c:v>
                </c:pt>
                <c:pt idx="209">
                  <c:v>45762</c:v>
                </c:pt>
                <c:pt idx="210">
                  <c:v>45763</c:v>
                </c:pt>
                <c:pt idx="211">
                  <c:v>45764</c:v>
                </c:pt>
                <c:pt idx="212">
                  <c:v>45765</c:v>
                </c:pt>
                <c:pt idx="213">
                  <c:v>45766</c:v>
                </c:pt>
                <c:pt idx="214">
                  <c:v>45767</c:v>
                </c:pt>
                <c:pt idx="215">
                  <c:v>45768</c:v>
                </c:pt>
                <c:pt idx="216">
                  <c:v>45769</c:v>
                </c:pt>
                <c:pt idx="217">
                  <c:v>45770</c:v>
                </c:pt>
                <c:pt idx="218">
                  <c:v>45771</c:v>
                </c:pt>
                <c:pt idx="219">
                  <c:v>45772</c:v>
                </c:pt>
                <c:pt idx="220">
                  <c:v>45773</c:v>
                </c:pt>
                <c:pt idx="221">
                  <c:v>45774</c:v>
                </c:pt>
                <c:pt idx="222">
                  <c:v>45775</c:v>
                </c:pt>
                <c:pt idx="223">
                  <c:v>45776</c:v>
                </c:pt>
                <c:pt idx="224">
                  <c:v>45777</c:v>
                </c:pt>
                <c:pt idx="225">
                  <c:v>45778</c:v>
                </c:pt>
                <c:pt idx="226">
                  <c:v>45779</c:v>
                </c:pt>
                <c:pt idx="227">
                  <c:v>45780</c:v>
                </c:pt>
                <c:pt idx="228">
                  <c:v>45781</c:v>
                </c:pt>
                <c:pt idx="229">
                  <c:v>45782</c:v>
                </c:pt>
                <c:pt idx="230">
                  <c:v>45783</c:v>
                </c:pt>
                <c:pt idx="231">
                  <c:v>45784</c:v>
                </c:pt>
                <c:pt idx="232">
                  <c:v>45785</c:v>
                </c:pt>
                <c:pt idx="233">
                  <c:v>45786</c:v>
                </c:pt>
                <c:pt idx="234">
                  <c:v>45787</c:v>
                </c:pt>
                <c:pt idx="235">
                  <c:v>45788</c:v>
                </c:pt>
                <c:pt idx="236">
                  <c:v>45789</c:v>
                </c:pt>
                <c:pt idx="237">
                  <c:v>45790</c:v>
                </c:pt>
                <c:pt idx="238">
                  <c:v>45791</c:v>
                </c:pt>
                <c:pt idx="239">
                  <c:v>45792</c:v>
                </c:pt>
                <c:pt idx="240">
                  <c:v>45793</c:v>
                </c:pt>
                <c:pt idx="241">
                  <c:v>45794</c:v>
                </c:pt>
                <c:pt idx="242">
                  <c:v>45795</c:v>
                </c:pt>
                <c:pt idx="243">
                  <c:v>45796</c:v>
                </c:pt>
                <c:pt idx="244">
                  <c:v>45797</c:v>
                </c:pt>
                <c:pt idx="245">
                  <c:v>45798</c:v>
                </c:pt>
                <c:pt idx="246">
                  <c:v>45799</c:v>
                </c:pt>
                <c:pt idx="247">
                  <c:v>45800</c:v>
                </c:pt>
                <c:pt idx="248">
                  <c:v>45801</c:v>
                </c:pt>
                <c:pt idx="249">
                  <c:v>45802</c:v>
                </c:pt>
                <c:pt idx="250">
                  <c:v>45803</c:v>
                </c:pt>
                <c:pt idx="251">
                  <c:v>45804</c:v>
                </c:pt>
                <c:pt idx="252">
                  <c:v>45805</c:v>
                </c:pt>
                <c:pt idx="253">
                  <c:v>45806</c:v>
                </c:pt>
                <c:pt idx="254">
                  <c:v>45807</c:v>
                </c:pt>
                <c:pt idx="255">
                  <c:v>45808</c:v>
                </c:pt>
              </c:numCache>
            </c:numRef>
          </c:xVal>
          <c:yVal>
            <c:numRef>
              <c:f>'Km83+780)'!$AJ$11:$AJ$351</c:f>
              <c:numCache>
                <c:formatCode>0.000</c:formatCode>
                <c:ptCount val="341"/>
                <c:pt idx="0">
                  <c:v>0.59899999999999998</c:v>
                </c:pt>
                <c:pt idx="1">
                  <c:v>0.89599999999999991</c:v>
                </c:pt>
                <c:pt idx="2">
                  <c:v>0.89399999999999991</c:v>
                </c:pt>
                <c:pt idx="3">
                  <c:v>0.8899999999999999</c:v>
                </c:pt>
                <c:pt idx="4">
                  <c:v>0.8859999999999999</c:v>
                </c:pt>
                <c:pt idx="5">
                  <c:v>1.1819999999999999</c:v>
                </c:pt>
                <c:pt idx="6">
                  <c:v>1.179</c:v>
                </c:pt>
                <c:pt idx="7">
                  <c:v>1.175</c:v>
                </c:pt>
                <c:pt idx="8">
                  <c:v>1.1700000000000002</c:v>
                </c:pt>
                <c:pt idx="9">
                  <c:v>1.1650000000000003</c:v>
                </c:pt>
                <c:pt idx="10">
                  <c:v>1.4590000000000003</c:v>
                </c:pt>
                <c:pt idx="11">
                  <c:v>1.4530000000000003</c:v>
                </c:pt>
                <c:pt idx="12">
                  <c:v>1.4480000000000004</c:v>
                </c:pt>
                <c:pt idx="13">
                  <c:v>1.4430000000000005</c:v>
                </c:pt>
                <c:pt idx="14">
                  <c:v>1.7380000000000007</c:v>
                </c:pt>
                <c:pt idx="15">
                  <c:v>1.7330000000000008</c:v>
                </c:pt>
                <c:pt idx="16">
                  <c:v>1.7280000000000009</c:v>
                </c:pt>
                <c:pt idx="17">
                  <c:v>1.723000000000001</c:v>
                </c:pt>
                <c:pt idx="18">
                  <c:v>1.7180000000000011</c:v>
                </c:pt>
                <c:pt idx="19">
                  <c:v>1.7140000000000011</c:v>
                </c:pt>
                <c:pt idx="20">
                  <c:v>1.7100000000000011</c:v>
                </c:pt>
                <c:pt idx="21">
                  <c:v>1.7070000000000012</c:v>
                </c:pt>
                <c:pt idx="22">
                  <c:v>1.7040000000000013</c:v>
                </c:pt>
                <c:pt idx="23">
                  <c:v>1.7010000000000014</c:v>
                </c:pt>
                <c:pt idx="24">
                  <c:v>1.6990000000000014</c:v>
                </c:pt>
                <c:pt idx="25">
                  <c:v>1.6970000000000014</c:v>
                </c:pt>
                <c:pt idx="26">
                  <c:v>1.6950000000000014</c:v>
                </c:pt>
                <c:pt idx="27">
                  <c:v>1.6930000000000014</c:v>
                </c:pt>
                <c:pt idx="28">
                  <c:v>1.6920000000000015</c:v>
                </c:pt>
                <c:pt idx="29">
                  <c:v>1.6910000000000016</c:v>
                </c:pt>
                <c:pt idx="30">
                  <c:v>1.6900000000000017</c:v>
                </c:pt>
                <c:pt idx="31">
                  <c:v>1.6890000000000018</c:v>
                </c:pt>
                <c:pt idx="32">
                  <c:v>1.6880000000000019</c:v>
                </c:pt>
                <c:pt idx="33">
                  <c:v>1.6870000000000021</c:v>
                </c:pt>
                <c:pt idx="34">
                  <c:v>1.6860000000000022</c:v>
                </c:pt>
                <c:pt idx="35">
                  <c:v>1.6860000000000022</c:v>
                </c:pt>
                <c:pt idx="36">
                  <c:v>1.6860000000000022</c:v>
                </c:pt>
                <c:pt idx="37">
                  <c:v>1.6840000000000022</c:v>
                </c:pt>
                <c:pt idx="38">
                  <c:v>1.6840000000000022</c:v>
                </c:pt>
                <c:pt idx="39">
                  <c:v>1.6810000000000023</c:v>
                </c:pt>
                <c:pt idx="40">
                  <c:v>1.6810000000000023</c:v>
                </c:pt>
                <c:pt idx="41">
                  <c:v>1.6800000000000024</c:v>
                </c:pt>
                <c:pt idx="42">
                  <c:v>1.6790000000000025</c:v>
                </c:pt>
                <c:pt idx="43">
                  <c:v>1.6790000000000025</c:v>
                </c:pt>
                <c:pt idx="44">
                  <c:v>1.6790000000000025</c:v>
                </c:pt>
                <c:pt idx="45">
                  <c:v>1.6760000000000026</c:v>
                </c:pt>
                <c:pt idx="46">
                  <c:v>1.6750000000000027</c:v>
                </c:pt>
                <c:pt idx="47">
                  <c:v>1.6750000000000027</c:v>
                </c:pt>
                <c:pt idx="48">
                  <c:v>1.6740000000000028</c:v>
                </c:pt>
                <c:pt idx="49">
                  <c:v>1.6740000000000028</c:v>
                </c:pt>
                <c:pt idx="50">
                  <c:v>1.6730000000000029</c:v>
                </c:pt>
                <c:pt idx="51">
                  <c:v>1.672000000000003</c:v>
                </c:pt>
                <c:pt idx="52">
                  <c:v>1.672000000000003</c:v>
                </c:pt>
                <c:pt idx="53">
                  <c:v>1.6710000000000031</c:v>
                </c:pt>
                <c:pt idx="54">
                  <c:v>1.6700000000000033</c:v>
                </c:pt>
                <c:pt idx="55">
                  <c:v>1.6670000000000034</c:v>
                </c:pt>
                <c:pt idx="56">
                  <c:v>1.6640000000000035</c:v>
                </c:pt>
                <c:pt idx="57">
                  <c:v>1.6610000000000036</c:v>
                </c:pt>
                <c:pt idx="58">
                  <c:v>1.6590000000000036</c:v>
                </c:pt>
                <c:pt idx="59">
                  <c:v>1.6570000000000036</c:v>
                </c:pt>
                <c:pt idx="60">
                  <c:v>1.6550000000000036</c:v>
                </c:pt>
                <c:pt idx="61">
                  <c:v>1.6530000000000036</c:v>
                </c:pt>
                <c:pt idx="62">
                  <c:v>1.6520000000000037</c:v>
                </c:pt>
                <c:pt idx="63">
                  <c:v>1.6510000000000038</c:v>
                </c:pt>
                <c:pt idx="64">
                  <c:v>1.6500000000000039</c:v>
                </c:pt>
                <c:pt idx="65">
                  <c:v>1.649000000000004</c:v>
                </c:pt>
                <c:pt idx="66">
                  <c:v>1.6480000000000041</c:v>
                </c:pt>
                <c:pt idx="67">
                  <c:v>1.6470000000000042</c:v>
                </c:pt>
                <c:pt idx="68">
                  <c:v>1.6460000000000043</c:v>
                </c:pt>
                <c:pt idx="69">
                  <c:v>1.6460000000000043</c:v>
                </c:pt>
                <c:pt idx="70">
                  <c:v>1.6420000000000043</c:v>
                </c:pt>
                <c:pt idx="71">
                  <c:v>1.6400000000000043</c:v>
                </c:pt>
                <c:pt idx="72">
                  <c:v>1.6400000000000043</c:v>
                </c:pt>
                <c:pt idx="73">
                  <c:v>1.6370000000000045</c:v>
                </c:pt>
                <c:pt idx="74">
                  <c:v>1.6370000000000045</c:v>
                </c:pt>
                <c:pt idx="75">
                  <c:v>1.6360000000000046</c:v>
                </c:pt>
                <c:pt idx="76">
                  <c:v>1.6350000000000047</c:v>
                </c:pt>
                <c:pt idx="77">
                  <c:v>1.6350000000000047</c:v>
                </c:pt>
                <c:pt idx="78">
                  <c:v>1.6350000000000047</c:v>
                </c:pt>
                <c:pt idx="79">
                  <c:v>1.6320000000000048</c:v>
                </c:pt>
                <c:pt idx="80">
                  <c:v>1.6310000000000049</c:v>
                </c:pt>
                <c:pt idx="81">
                  <c:v>1.6310000000000049</c:v>
                </c:pt>
                <c:pt idx="82">
                  <c:v>1.630000000000005</c:v>
                </c:pt>
                <c:pt idx="83">
                  <c:v>1.630000000000005</c:v>
                </c:pt>
                <c:pt idx="84">
                  <c:v>1.6290000000000051</c:v>
                </c:pt>
                <c:pt idx="85">
                  <c:v>1.6280000000000052</c:v>
                </c:pt>
                <c:pt idx="86">
                  <c:v>1.6280000000000052</c:v>
                </c:pt>
                <c:pt idx="87">
                  <c:v>1.6270000000000053</c:v>
                </c:pt>
                <c:pt idx="88">
                  <c:v>1.6260000000000054</c:v>
                </c:pt>
                <c:pt idx="89">
                  <c:v>1.6260000000000054</c:v>
                </c:pt>
                <c:pt idx="90">
                  <c:v>1.6250000000000056</c:v>
                </c:pt>
                <c:pt idx="91">
                  <c:v>1.6250000000000056</c:v>
                </c:pt>
                <c:pt idx="92">
                  <c:v>1.6220000000000057</c:v>
                </c:pt>
                <c:pt idx="93">
                  <c:v>1.6210000000000058</c:v>
                </c:pt>
                <c:pt idx="94">
                  <c:v>1.6210000000000058</c:v>
                </c:pt>
                <c:pt idx="95">
                  <c:v>1.6210000000000058</c:v>
                </c:pt>
                <c:pt idx="96">
                  <c:v>1.6200000000000059</c:v>
                </c:pt>
                <c:pt idx="97">
                  <c:v>1.6200000000000059</c:v>
                </c:pt>
                <c:pt idx="98">
                  <c:v>1.619000000000006</c:v>
                </c:pt>
                <c:pt idx="99">
                  <c:v>1.619000000000006</c:v>
                </c:pt>
                <c:pt idx="100">
                  <c:v>1.6180000000000061</c:v>
                </c:pt>
                <c:pt idx="101">
                  <c:v>1.6180000000000061</c:v>
                </c:pt>
                <c:pt idx="102">
                  <c:v>1.6170000000000062</c:v>
                </c:pt>
                <c:pt idx="103">
                  <c:v>1.6140000000000063</c:v>
                </c:pt>
                <c:pt idx="104">
                  <c:v>1.6130000000000064</c:v>
                </c:pt>
                <c:pt idx="105">
                  <c:v>1.6130000000000064</c:v>
                </c:pt>
                <c:pt idx="106">
                  <c:v>1.6100000000000065</c:v>
                </c:pt>
                <c:pt idx="107">
                  <c:v>1.6100000000000065</c:v>
                </c:pt>
                <c:pt idx="108">
                  <c:v>1.6090000000000066</c:v>
                </c:pt>
                <c:pt idx="109">
                  <c:v>1.6090000000000066</c:v>
                </c:pt>
                <c:pt idx="110">
                  <c:v>1.6080000000000068</c:v>
                </c:pt>
                <c:pt idx="111">
                  <c:v>1.6080000000000068</c:v>
                </c:pt>
                <c:pt idx="112">
                  <c:v>1.6070000000000069</c:v>
                </c:pt>
                <c:pt idx="113">
                  <c:v>1.606000000000007</c:v>
                </c:pt>
                <c:pt idx="114">
                  <c:v>1.606000000000007</c:v>
                </c:pt>
                <c:pt idx="115">
                  <c:v>1.6030000000000071</c:v>
                </c:pt>
                <c:pt idx="116">
                  <c:v>1.6020000000000072</c:v>
                </c:pt>
                <c:pt idx="117">
                  <c:v>1.5990000000000073</c:v>
                </c:pt>
                <c:pt idx="118">
                  <c:v>1.5980000000000074</c:v>
                </c:pt>
                <c:pt idx="119">
                  <c:v>1.5950000000000075</c:v>
                </c:pt>
                <c:pt idx="120">
                  <c:v>1.5950000000000075</c:v>
                </c:pt>
                <c:pt idx="121">
                  <c:v>1.5940000000000076</c:v>
                </c:pt>
                <c:pt idx="122">
                  <c:v>1.5940000000000076</c:v>
                </c:pt>
                <c:pt idx="123">
                  <c:v>1.5910000000000077</c:v>
                </c:pt>
                <c:pt idx="124">
                  <c:v>1.5900000000000079</c:v>
                </c:pt>
                <c:pt idx="125">
                  <c:v>1.5900000000000079</c:v>
                </c:pt>
                <c:pt idx="126">
                  <c:v>1.587000000000008</c:v>
                </c:pt>
                <c:pt idx="127">
                  <c:v>1.587000000000008</c:v>
                </c:pt>
                <c:pt idx="128">
                  <c:v>1.5860000000000081</c:v>
                </c:pt>
                <c:pt idx="129">
                  <c:v>1.5860000000000081</c:v>
                </c:pt>
                <c:pt idx="130">
                  <c:v>1.5840000000000081</c:v>
                </c:pt>
                <c:pt idx="131">
                  <c:v>1.5840000000000081</c:v>
                </c:pt>
                <c:pt idx="132">
                  <c:v>1.5830000000000082</c:v>
                </c:pt>
                <c:pt idx="133">
                  <c:v>1.5830000000000082</c:v>
                </c:pt>
                <c:pt idx="134">
                  <c:v>1.5800000000000083</c:v>
                </c:pt>
                <c:pt idx="135">
                  <c:v>1.5800000000000083</c:v>
                </c:pt>
                <c:pt idx="136">
                  <c:v>1.5770000000000084</c:v>
                </c:pt>
                <c:pt idx="137">
                  <c:v>1.5750000000000084</c:v>
                </c:pt>
                <c:pt idx="138">
                  <c:v>1.5750000000000084</c:v>
                </c:pt>
                <c:pt idx="139">
                  <c:v>1.5750000000000084</c:v>
                </c:pt>
                <c:pt idx="140">
                  <c:v>1.5750000000000084</c:v>
                </c:pt>
                <c:pt idx="141">
                  <c:v>1.5750000000000084</c:v>
                </c:pt>
                <c:pt idx="142">
                  <c:v>1.5730000000000084</c:v>
                </c:pt>
                <c:pt idx="143">
                  <c:v>1.5730000000000084</c:v>
                </c:pt>
                <c:pt idx="144">
                  <c:v>1.5700000000000085</c:v>
                </c:pt>
                <c:pt idx="145">
                  <c:v>1.5700000000000085</c:v>
                </c:pt>
                <c:pt idx="146">
                  <c:v>1.5690000000000086</c:v>
                </c:pt>
                <c:pt idx="147">
                  <c:v>1.5660000000000087</c:v>
                </c:pt>
                <c:pt idx="148">
                  <c:v>1.5640000000000087</c:v>
                </c:pt>
                <c:pt idx="149">
                  <c:v>1.5630000000000088</c:v>
                </c:pt>
                <c:pt idx="150">
                  <c:v>1.5630000000000088</c:v>
                </c:pt>
                <c:pt idx="151">
                  <c:v>1.5620000000000089</c:v>
                </c:pt>
                <c:pt idx="152">
                  <c:v>1.559000000000009</c:v>
                </c:pt>
                <c:pt idx="153">
                  <c:v>1.5560000000000092</c:v>
                </c:pt>
                <c:pt idx="154">
                  <c:v>1.5550000000000093</c:v>
                </c:pt>
                <c:pt idx="155">
                  <c:v>1.5550000000000093</c:v>
                </c:pt>
                <c:pt idx="156">
                  <c:v>1.5550000000000093</c:v>
                </c:pt>
                <c:pt idx="157">
                  <c:v>1.5540000000000094</c:v>
                </c:pt>
                <c:pt idx="158">
                  <c:v>1.5540000000000094</c:v>
                </c:pt>
                <c:pt idx="159">
                  <c:v>1.5520000000000094</c:v>
                </c:pt>
                <c:pt idx="160">
                  <c:v>1.5480000000000094</c:v>
                </c:pt>
                <c:pt idx="161">
                  <c:v>1.5470000000000095</c:v>
                </c:pt>
                <c:pt idx="162">
                  <c:v>1.5470000000000095</c:v>
                </c:pt>
                <c:pt idx="163">
                  <c:v>1.5460000000000096</c:v>
                </c:pt>
                <c:pt idx="164">
                  <c:v>1.5460000000000096</c:v>
                </c:pt>
                <c:pt idx="165">
                  <c:v>1.5450000000000097</c:v>
                </c:pt>
                <c:pt idx="166">
                  <c:v>1.5440000000000098</c:v>
                </c:pt>
                <c:pt idx="167">
                  <c:v>1.5440000000000098</c:v>
                </c:pt>
                <c:pt idx="168">
                  <c:v>1.5440000000000098</c:v>
                </c:pt>
                <c:pt idx="169">
                  <c:v>1.5430000000000099</c:v>
                </c:pt>
                <c:pt idx="170">
                  <c:v>1.54200000000001</c:v>
                </c:pt>
                <c:pt idx="171">
                  <c:v>1.54200000000001</c:v>
                </c:pt>
                <c:pt idx="172">
                  <c:v>1.54000000000001</c:v>
                </c:pt>
                <c:pt idx="173">
                  <c:v>1.54000000000001</c:v>
                </c:pt>
                <c:pt idx="174">
                  <c:v>1.5390000000000101</c:v>
                </c:pt>
                <c:pt idx="175">
                  <c:v>1.5380000000000102</c:v>
                </c:pt>
                <c:pt idx="176">
                  <c:v>1.5380000000000102</c:v>
                </c:pt>
                <c:pt idx="177">
                  <c:v>1.5370000000000104</c:v>
                </c:pt>
                <c:pt idx="178">
                  <c:v>1.5360000000000105</c:v>
                </c:pt>
                <c:pt idx="179">
                  <c:v>1.5360000000000105</c:v>
                </c:pt>
                <c:pt idx="180">
                  <c:v>1.5340000000000105</c:v>
                </c:pt>
                <c:pt idx="181">
                  <c:v>1.5300000000000105</c:v>
                </c:pt>
                <c:pt idx="182">
                  <c:v>1.5270000000000106</c:v>
                </c:pt>
                <c:pt idx="183">
                  <c:v>1.5260000000000107</c:v>
                </c:pt>
                <c:pt idx="184">
                  <c:v>1.5260000000000107</c:v>
                </c:pt>
                <c:pt idx="185">
                  <c:v>1.5230000000000108</c:v>
                </c:pt>
                <c:pt idx="186">
                  <c:v>1.5210000000000108</c:v>
                </c:pt>
                <c:pt idx="187">
                  <c:v>1.5170000000000108</c:v>
                </c:pt>
                <c:pt idx="188">
                  <c:v>1.5160000000000109</c:v>
                </c:pt>
                <c:pt idx="189">
                  <c:v>1.5160000000000109</c:v>
                </c:pt>
                <c:pt idx="190">
                  <c:v>1.5160000000000109</c:v>
                </c:pt>
                <c:pt idx="191">
                  <c:v>1.5160000000000109</c:v>
                </c:pt>
                <c:pt idx="192">
                  <c:v>1.509000000000011</c:v>
                </c:pt>
                <c:pt idx="193">
                  <c:v>1.5020000000000111</c:v>
                </c:pt>
                <c:pt idx="194">
                  <c:v>1.4950000000000112</c:v>
                </c:pt>
                <c:pt idx="195">
                  <c:v>1.4880000000000113</c:v>
                </c:pt>
                <c:pt idx="196">
                  <c:v>1.4820000000000113</c:v>
                </c:pt>
                <c:pt idx="197">
                  <c:v>1.4760000000000113</c:v>
                </c:pt>
                <c:pt idx="198">
                  <c:v>1.4700000000000113</c:v>
                </c:pt>
                <c:pt idx="199">
                  <c:v>1.4640000000000113</c:v>
                </c:pt>
                <c:pt idx="200">
                  <c:v>1.4580000000000113</c:v>
                </c:pt>
                <c:pt idx="201">
                  <c:v>1.4520000000000113</c:v>
                </c:pt>
                <c:pt idx="202">
                  <c:v>1.4460000000000113</c:v>
                </c:pt>
                <c:pt idx="203">
                  <c:v>1.4400000000000113</c:v>
                </c:pt>
                <c:pt idx="204">
                  <c:v>1.4320000000000113</c:v>
                </c:pt>
                <c:pt idx="205">
                  <c:v>1.4260000000000113</c:v>
                </c:pt>
                <c:pt idx="206">
                  <c:v>1.4190000000000114</c:v>
                </c:pt>
                <c:pt idx="207">
                  <c:v>1.4140000000000115</c:v>
                </c:pt>
                <c:pt idx="208">
                  <c:v>1.4100000000000115</c:v>
                </c:pt>
                <c:pt idx="209">
                  <c:v>1.4040000000000115</c:v>
                </c:pt>
                <c:pt idx="210">
                  <c:v>1.4010000000000116</c:v>
                </c:pt>
                <c:pt idx="211">
                  <c:v>1.3940000000000117</c:v>
                </c:pt>
                <c:pt idx="212">
                  <c:v>1.3880000000000117</c:v>
                </c:pt>
                <c:pt idx="213">
                  <c:v>1.3830000000000118</c:v>
                </c:pt>
                <c:pt idx="214">
                  <c:v>1.3760000000000119</c:v>
                </c:pt>
                <c:pt idx="215">
                  <c:v>1.3700000000000119</c:v>
                </c:pt>
                <c:pt idx="216">
                  <c:v>1.365000000000012</c:v>
                </c:pt>
                <c:pt idx="217">
                  <c:v>1.361000000000012</c:v>
                </c:pt>
                <c:pt idx="218">
                  <c:v>1.3560000000000121</c:v>
                </c:pt>
                <c:pt idx="219">
                  <c:v>1.3520000000000121</c:v>
                </c:pt>
                <c:pt idx="220">
                  <c:v>1.3480000000000121</c:v>
                </c:pt>
                <c:pt idx="221">
                  <c:v>1.3420000000000121</c:v>
                </c:pt>
                <c:pt idx="222">
                  <c:v>1.3380000000000121</c:v>
                </c:pt>
                <c:pt idx="223">
                  <c:v>1.3330000000000122</c:v>
                </c:pt>
                <c:pt idx="224">
                  <c:v>1.3290000000000122</c:v>
                </c:pt>
                <c:pt idx="225">
                  <c:v>1.3240000000000123</c:v>
                </c:pt>
                <c:pt idx="226">
                  <c:v>1.3210000000000124</c:v>
                </c:pt>
                <c:pt idx="227">
                  <c:v>1.3180000000000125</c:v>
                </c:pt>
                <c:pt idx="228">
                  <c:v>1.3130000000000126</c:v>
                </c:pt>
                <c:pt idx="229">
                  <c:v>1.3090000000000126</c:v>
                </c:pt>
                <c:pt idx="230">
                  <c:v>1.3060000000000127</c:v>
                </c:pt>
                <c:pt idx="231">
                  <c:v>1.3010000000000128</c:v>
                </c:pt>
                <c:pt idx="232">
                  <c:v>1.2960000000000129</c:v>
                </c:pt>
                <c:pt idx="233">
                  <c:v>1.2900000000000129</c:v>
                </c:pt>
                <c:pt idx="234">
                  <c:v>1.285000000000013</c:v>
                </c:pt>
                <c:pt idx="235">
                  <c:v>1.2800000000000131</c:v>
                </c:pt>
                <c:pt idx="236">
                  <c:v>1.2740000000000131</c:v>
                </c:pt>
                <c:pt idx="237">
                  <c:v>1.2680000000000131</c:v>
                </c:pt>
                <c:pt idx="238">
                  <c:v>1.2630000000000132</c:v>
                </c:pt>
                <c:pt idx="239">
                  <c:v>1.2570000000000132</c:v>
                </c:pt>
                <c:pt idx="240">
                  <c:v>1.2520000000000133</c:v>
                </c:pt>
                <c:pt idx="241">
                  <c:v>1.2470000000000134</c:v>
                </c:pt>
                <c:pt idx="242">
                  <c:v>1.2410000000000134</c:v>
                </c:pt>
                <c:pt idx="243">
                  <c:v>1.2360000000000135</c:v>
                </c:pt>
                <c:pt idx="244">
                  <c:v>1.2310000000000136</c:v>
                </c:pt>
                <c:pt idx="245">
                  <c:v>1.2260000000000137</c:v>
                </c:pt>
                <c:pt idx="246">
                  <c:v>1.2210000000000139</c:v>
                </c:pt>
                <c:pt idx="247">
                  <c:v>1.2170000000000138</c:v>
                </c:pt>
                <c:pt idx="248">
                  <c:v>1.2130000000000138</c:v>
                </c:pt>
                <c:pt idx="249">
                  <c:v>1.2090000000000138</c:v>
                </c:pt>
                <c:pt idx="250">
                  <c:v>1.2060000000000139</c:v>
                </c:pt>
                <c:pt idx="251">
                  <c:v>1.2030000000000141</c:v>
                </c:pt>
                <c:pt idx="252">
                  <c:v>1.2000000000000142</c:v>
                </c:pt>
                <c:pt idx="253">
                  <c:v>1.1980000000000142</c:v>
                </c:pt>
                <c:pt idx="254">
                  <c:v>1.1960000000000142</c:v>
                </c:pt>
                <c:pt idx="255">
                  <c:v>1.1940000000000142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76-4202-8A7D-1246E4A4CEB1}"/>
            </c:ext>
          </c:extLst>
        </c:ser>
        <c:ser>
          <c:idx val="4"/>
          <c:order val="4"/>
          <c:tx>
            <c:strRef>
              <c:f>'Km83+780)'!$AL$8:$AL$9</c:f>
              <c:strCache>
                <c:ptCount val="2"/>
                <c:pt idx="0">
                  <c:v>Chiều dày đắp</c:v>
                </c:pt>
              </c:strCache>
            </c:strRef>
          </c:tx>
          <c:marker>
            <c:symbol val="star"/>
            <c:size val="2"/>
            <c:spPr>
              <a:noFill/>
              <a:ln w="12700">
                <a:solidFill>
                  <a:srgbClr val="800080"/>
                </a:solidFill>
                <a:prstDash val="solid"/>
              </a:ln>
            </c:spPr>
          </c:marker>
          <c:xVal>
            <c:numRef>
              <c:f>'Km83+780)'!$B$11:$B$362</c:f>
              <c:numCache>
                <c:formatCode>[$-1010000]d/m/yyyy;@</c:formatCode>
                <c:ptCount val="352"/>
                <c:pt idx="0">
                  <c:v>45554</c:v>
                </c:pt>
                <c:pt idx="1">
                  <c:v>45555</c:v>
                </c:pt>
                <c:pt idx="2">
                  <c:v>45556</c:v>
                </c:pt>
                <c:pt idx="3">
                  <c:v>45557</c:v>
                </c:pt>
                <c:pt idx="4">
                  <c:v>45558</c:v>
                </c:pt>
                <c:pt idx="5">
                  <c:v>45559</c:v>
                </c:pt>
                <c:pt idx="6">
                  <c:v>45560</c:v>
                </c:pt>
                <c:pt idx="7">
                  <c:v>45561</c:v>
                </c:pt>
                <c:pt idx="8">
                  <c:v>45562</c:v>
                </c:pt>
                <c:pt idx="9">
                  <c:v>45563</c:v>
                </c:pt>
                <c:pt idx="10">
                  <c:v>45564</c:v>
                </c:pt>
                <c:pt idx="11">
                  <c:v>45565</c:v>
                </c:pt>
                <c:pt idx="12">
                  <c:v>45566</c:v>
                </c:pt>
                <c:pt idx="13">
                  <c:v>45567</c:v>
                </c:pt>
                <c:pt idx="14">
                  <c:v>45568</c:v>
                </c:pt>
                <c:pt idx="15">
                  <c:v>45569</c:v>
                </c:pt>
                <c:pt idx="16">
                  <c:v>45570</c:v>
                </c:pt>
                <c:pt idx="17">
                  <c:v>45571</c:v>
                </c:pt>
                <c:pt idx="18">
                  <c:v>45572</c:v>
                </c:pt>
                <c:pt idx="19">
                  <c:v>45573</c:v>
                </c:pt>
                <c:pt idx="20">
                  <c:v>45574</c:v>
                </c:pt>
                <c:pt idx="21">
                  <c:v>45575</c:v>
                </c:pt>
                <c:pt idx="22">
                  <c:v>45576</c:v>
                </c:pt>
                <c:pt idx="23">
                  <c:v>45577</c:v>
                </c:pt>
                <c:pt idx="24">
                  <c:v>45578</c:v>
                </c:pt>
                <c:pt idx="25">
                  <c:v>45579</c:v>
                </c:pt>
                <c:pt idx="26">
                  <c:v>45580</c:v>
                </c:pt>
                <c:pt idx="27">
                  <c:v>45581</c:v>
                </c:pt>
                <c:pt idx="28">
                  <c:v>45582</c:v>
                </c:pt>
                <c:pt idx="29">
                  <c:v>45583</c:v>
                </c:pt>
                <c:pt idx="30">
                  <c:v>45584</c:v>
                </c:pt>
                <c:pt idx="31">
                  <c:v>45585</c:v>
                </c:pt>
                <c:pt idx="32">
                  <c:v>45586</c:v>
                </c:pt>
                <c:pt idx="33">
                  <c:v>45587</c:v>
                </c:pt>
                <c:pt idx="34">
                  <c:v>45588</c:v>
                </c:pt>
                <c:pt idx="35">
                  <c:v>45589</c:v>
                </c:pt>
                <c:pt idx="36">
                  <c:v>45590</c:v>
                </c:pt>
                <c:pt idx="37">
                  <c:v>45591</c:v>
                </c:pt>
                <c:pt idx="38">
                  <c:v>45592</c:v>
                </c:pt>
                <c:pt idx="39">
                  <c:v>45593</c:v>
                </c:pt>
                <c:pt idx="40">
                  <c:v>45594</c:v>
                </c:pt>
                <c:pt idx="41">
                  <c:v>45595</c:v>
                </c:pt>
                <c:pt idx="42">
                  <c:v>45596</c:v>
                </c:pt>
                <c:pt idx="43">
                  <c:v>45597</c:v>
                </c:pt>
                <c:pt idx="44">
                  <c:v>45598</c:v>
                </c:pt>
                <c:pt idx="45">
                  <c:v>45599</c:v>
                </c:pt>
                <c:pt idx="46">
                  <c:v>45600</c:v>
                </c:pt>
                <c:pt idx="47">
                  <c:v>45601</c:v>
                </c:pt>
                <c:pt idx="48">
                  <c:v>45602</c:v>
                </c:pt>
                <c:pt idx="49">
                  <c:v>45603</c:v>
                </c:pt>
                <c:pt idx="50">
                  <c:v>45604</c:v>
                </c:pt>
                <c:pt idx="51">
                  <c:v>45605</c:v>
                </c:pt>
                <c:pt idx="52">
                  <c:v>45606</c:v>
                </c:pt>
                <c:pt idx="53">
                  <c:v>45607</c:v>
                </c:pt>
                <c:pt idx="54">
                  <c:v>45608</c:v>
                </c:pt>
                <c:pt idx="55">
                  <c:v>45609</c:v>
                </c:pt>
                <c:pt idx="56">
                  <c:v>45610</c:v>
                </c:pt>
                <c:pt idx="57">
                  <c:v>45611</c:v>
                </c:pt>
                <c:pt idx="58">
                  <c:v>45612</c:v>
                </c:pt>
                <c:pt idx="59">
                  <c:v>45613</c:v>
                </c:pt>
                <c:pt idx="60">
                  <c:v>45614</c:v>
                </c:pt>
                <c:pt idx="61">
                  <c:v>45615</c:v>
                </c:pt>
                <c:pt idx="62">
                  <c:v>45616</c:v>
                </c:pt>
                <c:pt idx="63">
                  <c:v>45617</c:v>
                </c:pt>
                <c:pt idx="64">
                  <c:v>45618</c:v>
                </c:pt>
                <c:pt idx="65">
                  <c:v>45619</c:v>
                </c:pt>
                <c:pt idx="66">
                  <c:v>45620</c:v>
                </c:pt>
                <c:pt idx="67">
                  <c:v>45621</c:v>
                </c:pt>
                <c:pt idx="68">
                  <c:v>45622</c:v>
                </c:pt>
                <c:pt idx="69">
                  <c:v>45623</c:v>
                </c:pt>
                <c:pt idx="70">
                  <c:v>45624</c:v>
                </c:pt>
                <c:pt idx="71">
                  <c:v>45625</c:v>
                </c:pt>
                <c:pt idx="72">
                  <c:v>45626</c:v>
                </c:pt>
                <c:pt idx="73">
                  <c:v>45627</c:v>
                </c:pt>
                <c:pt idx="74">
                  <c:v>45628</c:v>
                </c:pt>
                <c:pt idx="75">
                  <c:v>45629</c:v>
                </c:pt>
                <c:pt idx="76">
                  <c:v>45630</c:v>
                </c:pt>
                <c:pt idx="77">
                  <c:v>45631</c:v>
                </c:pt>
                <c:pt idx="78">
                  <c:v>45632</c:v>
                </c:pt>
                <c:pt idx="79">
                  <c:v>45633</c:v>
                </c:pt>
                <c:pt idx="80">
                  <c:v>45634</c:v>
                </c:pt>
                <c:pt idx="81">
                  <c:v>45635</c:v>
                </c:pt>
                <c:pt idx="82">
                  <c:v>45636</c:v>
                </c:pt>
                <c:pt idx="83">
                  <c:v>45637</c:v>
                </c:pt>
                <c:pt idx="84">
                  <c:v>45638</c:v>
                </c:pt>
                <c:pt idx="85">
                  <c:v>45639</c:v>
                </c:pt>
                <c:pt idx="86">
                  <c:v>45640</c:v>
                </c:pt>
                <c:pt idx="87">
                  <c:v>45641</c:v>
                </c:pt>
                <c:pt idx="88">
                  <c:v>45642</c:v>
                </c:pt>
                <c:pt idx="89">
                  <c:v>45643</c:v>
                </c:pt>
                <c:pt idx="90">
                  <c:v>45644</c:v>
                </c:pt>
                <c:pt idx="91">
                  <c:v>45645</c:v>
                </c:pt>
                <c:pt idx="92">
                  <c:v>45646</c:v>
                </c:pt>
                <c:pt idx="93">
                  <c:v>45647</c:v>
                </c:pt>
                <c:pt idx="94">
                  <c:v>45648</c:v>
                </c:pt>
                <c:pt idx="95">
                  <c:v>45649</c:v>
                </c:pt>
                <c:pt idx="96">
                  <c:v>45650</c:v>
                </c:pt>
                <c:pt idx="97">
                  <c:v>45651</c:v>
                </c:pt>
                <c:pt idx="98">
                  <c:v>45652</c:v>
                </c:pt>
                <c:pt idx="99">
                  <c:v>45653</c:v>
                </c:pt>
                <c:pt idx="100">
                  <c:v>45654</c:v>
                </c:pt>
                <c:pt idx="101">
                  <c:v>45655</c:v>
                </c:pt>
                <c:pt idx="102">
                  <c:v>45656</c:v>
                </c:pt>
                <c:pt idx="103">
                  <c:v>45657</c:v>
                </c:pt>
                <c:pt idx="104">
                  <c:v>45658</c:v>
                </c:pt>
                <c:pt idx="105">
                  <c:v>45659</c:v>
                </c:pt>
                <c:pt idx="106">
                  <c:v>45660</c:v>
                </c:pt>
                <c:pt idx="107">
                  <c:v>45661</c:v>
                </c:pt>
                <c:pt idx="108">
                  <c:v>45662</c:v>
                </c:pt>
                <c:pt idx="109">
                  <c:v>45663</c:v>
                </c:pt>
                <c:pt idx="110">
                  <c:v>45664</c:v>
                </c:pt>
                <c:pt idx="111">
                  <c:v>45665</c:v>
                </c:pt>
                <c:pt idx="112">
                  <c:v>45666</c:v>
                </c:pt>
                <c:pt idx="113">
                  <c:v>45667</c:v>
                </c:pt>
                <c:pt idx="114">
                  <c:v>45668</c:v>
                </c:pt>
                <c:pt idx="115">
                  <c:v>45669</c:v>
                </c:pt>
                <c:pt idx="116">
                  <c:v>45670</c:v>
                </c:pt>
                <c:pt idx="117">
                  <c:v>45671</c:v>
                </c:pt>
                <c:pt idx="118">
                  <c:v>45672</c:v>
                </c:pt>
                <c:pt idx="119">
                  <c:v>45673</c:v>
                </c:pt>
                <c:pt idx="120">
                  <c:v>45674</c:v>
                </c:pt>
                <c:pt idx="121">
                  <c:v>45675</c:v>
                </c:pt>
                <c:pt idx="122">
                  <c:v>45676</c:v>
                </c:pt>
                <c:pt idx="123">
                  <c:v>45677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45682</c:v>
                </c:pt>
                <c:pt idx="129">
                  <c:v>45683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45689</c:v>
                </c:pt>
                <c:pt idx="136">
                  <c:v>45690</c:v>
                </c:pt>
                <c:pt idx="137">
                  <c:v>45691</c:v>
                </c:pt>
                <c:pt idx="138">
                  <c:v>45692</c:v>
                </c:pt>
                <c:pt idx="139">
                  <c:v>45693</c:v>
                </c:pt>
                <c:pt idx="140">
                  <c:v>45694</c:v>
                </c:pt>
                <c:pt idx="141">
                  <c:v>45695</c:v>
                </c:pt>
                <c:pt idx="142">
                  <c:v>45696</c:v>
                </c:pt>
                <c:pt idx="143">
                  <c:v>45697</c:v>
                </c:pt>
                <c:pt idx="144">
                  <c:v>45698</c:v>
                </c:pt>
                <c:pt idx="145">
                  <c:v>45699</c:v>
                </c:pt>
                <c:pt idx="146">
                  <c:v>45700</c:v>
                </c:pt>
                <c:pt idx="147">
                  <c:v>45701</c:v>
                </c:pt>
                <c:pt idx="148">
                  <c:v>45702</c:v>
                </c:pt>
                <c:pt idx="149">
                  <c:v>45703</c:v>
                </c:pt>
                <c:pt idx="150">
                  <c:v>45704</c:v>
                </c:pt>
                <c:pt idx="151">
                  <c:v>45705</c:v>
                </c:pt>
                <c:pt idx="152">
                  <c:v>45706</c:v>
                </c:pt>
                <c:pt idx="153">
                  <c:v>45707</c:v>
                </c:pt>
                <c:pt idx="154">
                  <c:v>45708</c:v>
                </c:pt>
                <c:pt idx="155">
                  <c:v>45709</c:v>
                </c:pt>
                <c:pt idx="156">
                  <c:v>45710</c:v>
                </c:pt>
                <c:pt idx="157">
                  <c:v>45711</c:v>
                </c:pt>
                <c:pt idx="158">
                  <c:v>45712</c:v>
                </c:pt>
                <c:pt idx="159">
                  <c:v>45713</c:v>
                </c:pt>
                <c:pt idx="160">
                  <c:v>45714</c:v>
                </c:pt>
                <c:pt idx="161">
                  <c:v>45715</c:v>
                </c:pt>
                <c:pt idx="162">
                  <c:v>45716</c:v>
                </c:pt>
                <c:pt idx="163">
                  <c:v>45717</c:v>
                </c:pt>
                <c:pt idx="164">
                  <c:v>45718</c:v>
                </c:pt>
                <c:pt idx="165">
                  <c:v>45719</c:v>
                </c:pt>
                <c:pt idx="166">
                  <c:v>45720</c:v>
                </c:pt>
                <c:pt idx="167">
                  <c:v>45721</c:v>
                </c:pt>
                <c:pt idx="168">
                  <c:v>45722</c:v>
                </c:pt>
                <c:pt idx="169">
                  <c:v>45723</c:v>
                </c:pt>
                <c:pt idx="170">
                  <c:v>45724</c:v>
                </c:pt>
                <c:pt idx="171">
                  <c:v>45725</c:v>
                </c:pt>
                <c:pt idx="172">
                  <c:v>45726</c:v>
                </c:pt>
                <c:pt idx="173">
                  <c:v>45727</c:v>
                </c:pt>
                <c:pt idx="174">
                  <c:v>45728</c:v>
                </c:pt>
                <c:pt idx="175">
                  <c:v>45729</c:v>
                </c:pt>
                <c:pt idx="176">
                  <c:v>45730</c:v>
                </c:pt>
                <c:pt idx="177">
                  <c:v>45731</c:v>
                </c:pt>
                <c:pt idx="178">
                  <c:v>45732</c:v>
                </c:pt>
                <c:pt idx="179">
                  <c:v>45733</c:v>
                </c:pt>
                <c:pt idx="180">
                  <c:v>45734</c:v>
                </c:pt>
                <c:pt idx="181">
                  <c:v>45735</c:v>
                </c:pt>
                <c:pt idx="182">
                  <c:v>45736</c:v>
                </c:pt>
                <c:pt idx="183">
                  <c:v>45737</c:v>
                </c:pt>
                <c:pt idx="184">
                  <c:v>45738</c:v>
                </c:pt>
                <c:pt idx="185">
                  <c:v>45739</c:v>
                </c:pt>
                <c:pt idx="186">
                  <c:v>45740</c:v>
                </c:pt>
                <c:pt idx="187">
                  <c:v>45741</c:v>
                </c:pt>
                <c:pt idx="188">
                  <c:v>45742</c:v>
                </c:pt>
                <c:pt idx="189">
                  <c:v>45743</c:v>
                </c:pt>
                <c:pt idx="190">
                  <c:v>45744</c:v>
                </c:pt>
                <c:pt idx="191">
                  <c:v>45744</c:v>
                </c:pt>
                <c:pt idx="192">
                  <c:v>45745</c:v>
                </c:pt>
                <c:pt idx="193">
                  <c:v>45746</c:v>
                </c:pt>
                <c:pt idx="194">
                  <c:v>45747</c:v>
                </c:pt>
                <c:pt idx="195">
                  <c:v>45748</c:v>
                </c:pt>
                <c:pt idx="196">
                  <c:v>45749</c:v>
                </c:pt>
                <c:pt idx="197">
                  <c:v>45750</c:v>
                </c:pt>
                <c:pt idx="198">
                  <c:v>45751</c:v>
                </c:pt>
                <c:pt idx="199">
                  <c:v>45752</c:v>
                </c:pt>
                <c:pt idx="200">
                  <c:v>45753</c:v>
                </c:pt>
                <c:pt idx="201">
                  <c:v>45754</c:v>
                </c:pt>
                <c:pt idx="202">
                  <c:v>45755</c:v>
                </c:pt>
                <c:pt idx="203">
                  <c:v>45756</c:v>
                </c:pt>
                <c:pt idx="204">
                  <c:v>45757</c:v>
                </c:pt>
                <c:pt idx="205">
                  <c:v>45758</c:v>
                </c:pt>
                <c:pt idx="206">
                  <c:v>45759</c:v>
                </c:pt>
                <c:pt idx="207">
                  <c:v>45760</c:v>
                </c:pt>
                <c:pt idx="208">
                  <c:v>45761</c:v>
                </c:pt>
                <c:pt idx="209">
                  <c:v>45762</c:v>
                </c:pt>
                <c:pt idx="210">
                  <c:v>45763</c:v>
                </c:pt>
                <c:pt idx="211">
                  <c:v>45764</c:v>
                </c:pt>
                <c:pt idx="212">
                  <c:v>45765</c:v>
                </c:pt>
                <c:pt idx="213">
                  <c:v>45766</c:v>
                </c:pt>
                <c:pt idx="214">
                  <c:v>45767</c:v>
                </c:pt>
                <c:pt idx="215">
                  <c:v>45768</c:v>
                </c:pt>
                <c:pt idx="216">
                  <c:v>45769</c:v>
                </c:pt>
                <c:pt idx="217">
                  <c:v>45770</c:v>
                </c:pt>
                <c:pt idx="218">
                  <c:v>45771</c:v>
                </c:pt>
                <c:pt idx="219">
                  <c:v>45772</c:v>
                </c:pt>
                <c:pt idx="220">
                  <c:v>45773</c:v>
                </c:pt>
                <c:pt idx="221">
                  <c:v>45774</c:v>
                </c:pt>
                <c:pt idx="222">
                  <c:v>45775</c:v>
                </c:pt>
                <c:pt idx="223">
                  <c:v>45776</c:v>
                </c:pt>
                <c:pt idx="224">
                  <c:v>45777</c:v>
                </c:pt>
                <c:pt idx="225">
                  <c:v>45778</c:v>
                </c:pt>
                <c:pt idx="226">
                  <c:v>45779</c:v>
                </c:pt>
                <c:pt idx="227">
                  <c:v>45780</c:v>
                </c:pt>
                <c:pt idx="228">
                  <c:v>45781</c:v>
                </c:pt>
                <c:pt idx="229">
                  <c:v>45782</c:v>
                </c:pt>
                <c:pt idx="230">
                  <c:v>45783</c:v>
                </c:pt>
                <c:pt idx="231">
                  <c:v>45784</c:v>
                </c:pt>
                <c:pt idx="232">
                  <c:v>45785</c:v>
                </c:pt>
                <c:pt idx="233">
                  <c:v>45786</c:v>
                </c:pt>
                <c:pt idx="234">
                  <c:v>45787</c:v>
                </c:pt>
                <c:pt idx="235">
                  <c:v>45788</c:v>
                </c:pt>
                <c:pt idx="236">
                  <c:v>45789</c:v>
                </c:pt>
                <c:pt idx="237">
                  <c:v>45790</c:v>
                </c:pt>
                <c:pt idx="238">
                  <c:v>45791</c:v>
                </c:pt>
                <c:pt idx="239">
                  <c:v>45792</c:v>
                </c:pt>
                <c:pt idx="240">
                  <c:v>45793</c:v>
                </c:pt>
                <c:pt idx="241">
                  <c:v>45794</c:v>
                </c:pt>
                <c:pt idx="242">
                  <c:v>45795</c:v>
                </c:pt>
                <c:pt idx="243">
                  <c:v>45796</c:v>
                </c:pt>
                <c:pt idx="244">
                  <c:v>45797</c:v>
                </c:pt>
                <c:pt idx="245">
                  <c:v>45798</c:v>
                </c:pt>
                <c:pt idx="246">
                  <c:v>45799</c:v>
                </c:pt>
                <c:pt idx="247">
                  <c:v>45800</c:v>
                </c:pt>
                <c:pt idx="248">
                  <c:v>45801</c:v>
                </c:pt>
                <c:pt idx="249">
                  <c:v>45802</c:v>
                </c:pt>
                <c:pt idx="250">
                  <c:v>45803</c:v>
                </c:pt>
                <c:pt idx="251">
                  <c:v>45804</c:v>
                </c:pt>
                <c:pt idx="252">
                  <c:v>45805</c:v>
                </c:pt>
                <c:pt idx="253">
                  <c:v>45806</c:v>
                </c:pt>
                <c:pt idx="254">
                  <c:v>45807</c:v>
                </c:pt>
                <c:pt idx="255">
                  <c:v>45808</c:v>
                </c:pt>
              </c:numCache>
            </c:numRef>
          </c:xVal>
          <c:yVal>
            <c:numRef>
              <c:f>'Km83+780)'!$AL$11:$AL$373</c:f>
              <c:numCache>
                <c:formatCode>0.00</c:formatCode>
                <c:ptCount val="363"/>
                <c:pt idx="0">
                  <c:v>0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0.89999999999999991</c:v>
                </c:pt>
                <c:pt idx="11">
                  <c:v>0.89999999999999991</c:v>
                </c:pt>
                <c:pt idx="12">
                  <c:v>0.89999999999999991</c:v>
                </c:pt>
                <c:pt idx="13">
                  <c:v>0.89999999999999991</c:v>
                </c:pt>
                <c:pt idx="14">
                  <c:v>1.2</c:v>
                </c:pt>
                <c:pt idx="15">
                  <c:v>1.2</c:v>
                </c:pt>
                <c:pt idx="16">
                  <c:v>1.2</c:v>
                </c:pt>
                <c:pt idx="17">
                  <c:v>1.2</c:v>
                </c:pt>
                <c:pt idx="18">
                  <c:v>1.2</c:v>
                </c:pt>
                <c:pt idx="19">
                  <c:v>1.2</c:v>
                </c:pt>
                <c:pt idx="20">
                  <c:v>1.2</c:v>
                </c:pt>
                <c:pt idx="21">
                  <c:v>1.2</c:v>
                </c:pt>
                <c:pt idx="22">
                  <c:v>1.2</c:v>
                </c:pt>
                <c:pt idx="23">
                  <c:v>1.2</c:v>
                </c:pt>
                <c:pt idx="24">
                  <c:v>1.2</c:v>
                </c:pt>
                <c:pt idx="25">
                  <c:v>1.2</c:v>
                </c:pt>
                <c:pt idx="26">
                  <c:v>1.2</c:v>
                </c:pt>
                <c:pt idx="27">
                  <c:v>1.2</c:v>
                </c:pt>
                <c:pt idx="28">
                  <c:v>1.2</c:v>
                </c:pt>
                <c:pt idx="29">
                  <c:v>1.2</c:v>
                </c:pt>
                <c:pt idx="30">
                  <c:v>1.2</c:v>
                </c:pt>
                <c:pt idx="31">
                  <c:v>1.2</c:v>
                </c:pt>
                <c:pt idx="32">
                  <c:v>1.2</c:v>
                </c:pt>
                <c:pt idx="33">
                  <c:v>1.2</c:v>
                </c:pt>
                <c:pt idx="34">
                  <c:v>1.2</c:v>
                </c:pt>
                <c:pt idx="35">
                  <c:v>1.2</c:v>
                </c:pt>
                <c:pt idx="36">
                  <c:v>1.2</c:v>
                </c:pt>
                <c:pt idx="37">
                  <c:v>1.2</c:v>
                </c:pt>
                <c:pt idx="38">
                  <c:v>1.2</c:v>
                </c:pt>
                <c:pt idx="39">
                  <c:v>1.2</c:v>
                </c:pt>
                <c:pt idx="40">
                  <c:v>1.2</c:v>
                </c:pt>
                <c:pt idx="41">
                  <c:v>1.2</c:v>
                </c:pt>
                <c:pt idx="42">
                  <c:v>1.2</c:v>
                </c:pt>
                <c:pt idx="43">
                  <c:v>1.2</c:v>
                </c:pt>
                <c:pt idx="44">
                  <c:v>1.2</c:v>
                </c:pt>
                <c:pt idx="45">
                  <c:v>1.2</c:v>
                </c:pt>
                <c:pt idx="46">
                  <c:v>1.2</c:v>
                </c:pt>
                <c:pt idx="47">
                  <c:v>1.2</c:v>
                </c:pt>
                <c:pt idx="48">
                  <c:v>1.2</c:v>
                </c:pt>
                <c:pt idx="49">
                  <c:v>1.2</c:v>
                </c:pt>
                <c:pt idx="50">
                  <c:v>1.2</c:v>
                </c:pt>
                <c:pt idx="51">
                  <c:v>1.2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1.2</c:v>
                </c:pt>
                <c:pt idx="56">
                  <c:v>1.2</c:v>
                </c:pt>
                <c:pt idx="57">
                  <c:v>1.2</c:v>
                </c:pt>
                <c:pt idx="58">
                  <c:v>1.2</c:v>
                </c:pt>
                <c:pt idx="59">
                  <c:v>1.2</c:v>
                </c:pt>
                <c:pt idx="60">
                  <c:v>1.2</c:v>
                </c:pt>
                <c:pt idx="61">
                  <c:v>1.2</c:v>
                </c:pt>
                <c:pt idx="62">
                  <c:v>1.2</c:v>
                </c:pt>
                <c:pt idx="63">
                  <c:v>1.2</c:v>
                </c:pt>
                <c:pt idx="64">
                  <c:v>1.2</c:v>
                </c:pt>
                <c:pt idx="65">
                  <c:v>1.2</c:v>
                </c:pt>
                <c:pt idx="66">
                  <c:v>1.2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</c:v>
                </c:pt>
                <c:pt idx="73">
                  <c:v>1.2</c:v>
                </c:pt>
                <c:pt idx="74">
                  <c:v>1.2</c:v>
                </c:pt>
                <c:pt idx="75">
                  <c:v>1.2</c:v>
                </c:pt>
                <c:pt idx="76">
                  <c:v>1.2</c:v>
                </c:pt>
                <c:pt idx="77">
                  <c:v>1.2</c:v>
                </c:pt>
                <c:pt idx="78">
                  <c:v>1.2</c:v>
                </c:pt>
                <c:pt idx="79">
                  <c:v>1.2</c:v>
                </c:pt>
                <c:pt idx="80">
                  <c:v>1.2</c:v>
                </c:pt>
                <c:pt idx="81">
                  <c:v>1.2</c:v>
                </c:pt>
                <c:pt idx="82">
                  <c:v>1.2</c:v>
                </c:pt>
                <c:pt idx="83">
                  <c:v>1.2</c:v>
                </c:pt>
                <c:pt idx="84">
                  <c:v>1.2</c:v>
                </c:pt>
                <c:pt idx="85">
                  <c:v>1.2</c:v>
                </c:pt>
                <c:pt idx="86">
                  <c:v>1.2</c:v>
                </c:pt>
                <c:pt idx="87">
                  <c:v>1.2</c:v>
                </c:pt>
                <c:pt idx="88">
                  <c:v>1.2</c:v>
                </c:pt>
                <c:pt idx="89">
                  <c:v>1.2</c:v>
                </c:pt>
                <c:pt idx="90">
                  <c:v>1.2</c:v>
                </c:pt>
                <c:pt idx="91">
                  <c:v>1.2</c:v>
                </c:pt>
                <c:pt idx="92">
                  <c:v>1.2</c:v>
                </c:pt>
                <c:pt idx="93">
                  <c:v>1.2</c:v>
                </c:pt>
                <c:pt idx="94">
                  <c:v>1.2</c:v>
                </c:pt>
                <c:pt idx="95">
                  <c:v>1.2</c:v>
                </c:pt>
                <c:pt idx="96">
                  <c:v>1.2</c:v>
                </c:pt>
                <c:pt idx="97">
                  <c:v>1.2</c:v>
                </c:pt>
                <c:pt idx="98">
                  <c:v>1.2</c:v>
                </c:pt>
                <c:pt idx="99">
                  <c:v>1.2</c:v>
                </c:pt>
                <c:pt idx="100">
                  <c:v>1.2</c:v>
                </c:pt>
                <c:pt idx="101">
                  <c:v>1.2</c:v>
                </c:pt>
                <c:pt idx="102">
                  <c:v>1.2</c:v>
                </c:pt>
                <c:pt idx="103">
                  <c:v>1.2</c:v>
                </c:pt>
                <c:pt idx="104">
                  <c:v>1.2</c:v>
                </c:pt>
                <c:pt idx="105">
                  <c:v>1.2</c:v>
                </c:pt>
                <c:pt idx="106">
                  <c:v>1.2</c:v>
                </c:pt>
                <c:pt idx="107">
                  <c:v>1.2</c:v>
                </c:pt>
                <c:pt idx="108">
                  <c:v>1.2</c:v>
                </c:pt>
                <c:pt idx="109">
                  <c:v>1.2</c:v>
                </c:pt>
                <c:pt idx="110">
                  <c:v>1.2</c:v>
                </c:pt>
                <c:pt idx="111">
                  <c:v>1.2</c:v>
                </c:pt>
                <c:pt idx="112">
                  <c:v>1.2</c:v>
                </c:pt>
                <c:pt idx="113">
                  <c:v>1.2</c:v>
                </c:pt>
                <c:pt idx="114">
                  <c:v>1.2</c:v>
                </c:pt>
                <c:pt idx="115">
                  <c:v>1.2</c:v>
                </c:pt>
                <c:pt idx="116">
                  <c:v>1.2</c:v>
                </c:pt>
                <c:pt idx="117">
                  <c:v>1.2</c:v>
                </c:pt>
                <c:pt idx="118">
                  <c:v>1.2</c:v>
                </c:pt>
                <c:pt idx="119">
                  <c:v>1.2</c:v>
                </c:pt>
                <c:pt idx="120">
                  <c:v>1.2</c:v>
                </c:pt>
                <c:pt idx="121">
                  <c:v>1.2</c:v>
                </c:pt>
                <c:pt idx="122">
                  <c:v>1.2</c:v>
                </c:pt>
                <c:pt idx="123">
                  <c:v>1.2</c:v>
                </c:pt>
                <c:pt idx="124">
                  <c:v>1.2</c:v>
                </c:pt>
                <c:pt idx="125">
                  <c:v>1.2</c:v>
                </c:pt>
                <c:pt idx="126">
                  <c:v>1.2</c:v>
                </c:pt>
                <c:pt idx="127">
                  <c:v>1.2</c:v>
                </c:pt>
                <c:pt idx="128">
                  <c:v>1.2</c:v>
                </c:pt>
                <c:pt idx="129">
                  <c:v>1.2</c:v>
                </c:pt>
                <c:pt idx="130">
                  <c:v>1.2</c:v>
                </c:pt>
                <c:pt idx="131">
                  <c:v>1.2</c:v>
                </c:pt>
                <c:pt idx="132">
                  <c:v>1.2</c:v>
                </c:pt>
                <c:pt idx="133">
                  <c:v>1.2</c:v>
                </c:pt>
                <c:pt idx="134">
                  <c:v>1.2</c:v>
                </c:pt>
                <c:pt idx="135">
                  <c:v>1.2</c:v>
                </c:pt>
                <c:pt idx="136">
                  <c:v>1.2</c:v>
                </c:pt>
                <c:pt idx="137">
                  <c:v>1.2</c:v>
                </c:pt>
                <c:pt idx="138">
                  <c:v>1.2</c:v>
                </c:pt>
                <c:pt idx="139">
                  <c:v>1.2</c:v>
                </c:pt>
                <c:pt idx="140">
                  <c:v>1.2</c:v>
                </c:pt>
                <c:pt idx="141">
                  <c:v>1.2</c:v>
                </c:pt>
                <c:pt idx="142">
                  <c:v>1.2</c:v>
                </c:pt>
                <c:pt idx="143">
                  <c:v>1.2</c:v>
                </c:pt>
                <c:pt idx="144">
                  <c:v>1.2</c:v>
                </c:pt>
                <c:pt idx="145">
                  <c:v>1.2</c:v>
                </c:pt>
                <c:pt idx="146">
                  <c:v>1.2</c:v>
                </c:pt>
                <c:pt idx="147">
                  <c:v>1.2</c:v>
                </c:pt>
                <c:pt idx="148">
                  <c:v>1.2</c:v>
                </c:pt>
                <c:pt idx="149">
                  <c:v>1.2</c:v>
                </c:pt>
                <c:pt idx="150">
                  <c:v>1.2</c:v>
                </c:pt>
                <c:pt idx="151">
                  <c:v>1.2</c:v>
                </c:pt>
                <c:pt idx="152">
                  <c:v>1.2</c:v>
                </c:pt>
                <c:pt idx="153">
                  <c:v>1.2</c:v>
                </c:pt>
                <c:pt idx="154">
                  <c:v>1.2</c:v>
                </c:pt>
                <c:pt idx="155">
                  <c:v>1.2</c:v>
                </c:pt>
                <c:pt idx="156">
                  <c:v>1.2</c:v>
                </c:pt>
                <c:pt idx="157">
                  <c:v>1.2</c:v>
                </c:pt>
                <c:pt idx="158">
                  <c:v>1.2</c:v>
                </c:pt>
                <c:pt idx="159">
                  <c:v>1.2</c:v>
                </c:pt>
                <c:pt idx="160">
                  <c:v>1.2</c:v>
                </c:pt>
                <c:pt idx="161">
                  <c:v>1.2</c:v>
                </c:pt>
                <c:pt idx="162">
                  <c:v>1.2</c:v>
                </c:pt>
                <c:pt idx="163">
                  <c:v>1.2</c:v>
                </c:pt>
                <c:pt idx="164">
                  <c:v>1.2</c:v>
                </c:pt>
                <c:pt idx="165">
                  <c:v>1.2</c:v>
                </c:pt>
                <c:pt idx="166">
                  <c:v>1.2</c:v>
                </c:pt>
                <c:pt idx="167">
                  <c:v>1.2</c:v>
                </c:pt>
                <c:pt idx="168">
                  <c:v>1.2</c:v>
                </c:pt>
                <c:pt idx="169">
                  <c:v>1.2</c:v>
                </c:pt>
                <c:pt idx="170">
                  <c:v>1.2</c:v>
                </c:pt>
                <c:pt idx="171">
                  <c:v>1.2</c:v>
                </c:pt>
                <c:pt idx="172">
                  <c:v>1.2</c:v>
                </c:pt>
                <c:pt idx="173">
                  <c:v>1.2</c:v>
                </c:pt>
                <c:pt idx="174">
                  <c:v>1.2</c:v>
                </c:pt>
                <c:pt idx="175">
                  <c:v>1.2</c:v>
                </c:pt>
                <c:pt idx="176">
                  <c:v>1.2</c:v>
                </c:pt>
                <c:pt idx="177">
                  <c:v>1.2</c:v>
                </c:pt>
                <c:pt idx="178">
                  <c:v>1.2</c:v>
                </c:pt>
                <c:pt idx="179">
                  <c:v>1.2</c:v>
                </c:pt>
                <c:pt idx="180">
                  <c:v>1.2</c:v>
                </c:pt>
                <c:pt idx="181">
                  <c:v>1.2</c:v>
                </c:pt>
                <c:pt idx="182">
                  <c:v>1.2</c:v>
                </c:pt>
                <c:pt idx="183">
                  <c:v>1.2</c:v>
                </c:pt>
                <c:pt idx="184">
                  <c:v>1.2</c:v>
                </c:pt>
                <c:pt idx="185">
                  <c:v>1.2</c:v>
                </c:pt>
                <c:pt idx="186">
                  <c:v>1.2</c:v>
                </c:pt>
                <c:pt idx="187">
                  <c:v>1.2</c:v>
                </c:pt>
                <c:pt idx="188">
                  <c:v>1.2</c:v>
                </c:pt>
                <c:pt idx="189">
                  <c:v>1.2</c:v>
                </c:pt>
                <c:pt idx="190">
                  <c:v>1.2</c:v>
                </c:pt>
                <c:pt idx="191">
                  <c:v>1.2</c:v>
                </c:pt>
                <c:pt idx="192">
                  <c:v>1.2</c:v>
                </c:pt>
                <c:pt idx="193">
                  <c:v>1.2</c:v>
                </c:pt>
                <c:pt idx="194">
                  <c:v>1.2</c:v>
                </c:pt>
                <c:pt idx="195">
                  <c:v>1.2</c:v>
                </c:pt>
                <c:pt idx="196">
                  <c:v>1.2</c:v>
                </c:pt>
                <c:pt idx="197">
                  <c:v>1.2</c:v>
                </c:pt>
                <c:pt idx="198">
                  <c:v>1.2</c:v>
                </c:pt>
                <c:pt idx="199">
                  <c:v>1.2</c:v>
                </c:pt>
                <c:pt idx="200">
                  <c:v>1.2</c:v>
                </c:pt>
                <c:pt idx="201">
                  <c:v>1.2</c:v>
                </c:pt>
                <c:pt idx="202">
                  <c:v>1.2</c:v>
                </c:pt>
                <c:pt idx="203">
                  <c:v>1.2</c:v>
                </c:pt>
                <c:pt idx="204">
                  <c:v>1.2</c:v>
                </c:pt>
                <c:pt idx="205">
                  <c:v>1.2</c:v>
                </c:pt>
                <c:pt idx="206">
                  <c:v>1.2</c:v>
                </c:pt>
                <c:pt idx="207">
                  <c:v>1.2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1.2</c:v>
                </c:pt>
                <c:pt idx="226">
                  <c:v>1.2</c:v>
                </c:pt>
                <c:pt idx="227">
                  <c:v>1.2</c:v>
                </c:pt>
                <c:pt idx="228">
                  <c:v>1.2</c:v>
                </c:pt>
                <c:pt idx="229">
                  <c:v>1.2</c:v>
                </c:pt>
                <c:pt idx="230">
                  <c:v>1.2</c:v>
                </c:pt>
                <c:pt idx="231">
                  <c:v>1.2</c:v>
                </c:pt>
                <c:pt idx="232">
                  <c:v>1.2</c:v>
                </c:pt>
                <c:pt idx="233">
                  <c:v>1.2</c:v>
                </c:pt>
                <c:pt idx="234">
                  <c:v>1.2</c:v>
                </c:pt>
                <c:pt idx="235">
                  <c:v>1.2</c:v>
                </c:pt>
                <c:pt idx="236">
                  <c:v>1.2</c:v>
                </c:pt>
                <c:pt idx="237">
                  <c:v>1.2</c:v>
                </c:pt>
                <c:pt idx="238">
                  <c:v>1.2</c:v>
                </c:pt>
                <c:pt idx="239">
                  <c:v>1.2</c:v>
                </c:pt>
                <c:pt idx="240">
                  <c:v>1.2</c:v>
                </c:pt>
                <c:pt idx="241">
                  <c:v>1.2</c:v>
                </c:pt>
                <c:pt idx="242">
                  <c:v>1.2</c:v>
                </c:pt>
                <c:pt idx="243">
                  <c:v>1.2</c:v>
                </c:pt>
                <c:pt idx="244">
                  <c:v>1.2</c:v>
                </c:pt>
                <c:pt idx="245">
                  <c:v>1.2</c:v>
                </c:pt>
                <c:pt idx="246">
                  <c:v>1.2</c:v>
                </c:pt>
                <c:pt idx="247">
                  <c:v>1.2</c:v>
                </c:pt>
                <c:pt idx="248">
                  <c:v>1.2</c:v>
                </c:pt>
                <c:pt idx="249">
                  <c:v>1.2</c:v>
                </c:pt>
                <c:pt idx="250">
                  <c:v>1.2</c:v>
                </c:pt>
                <c:pt idx="251">
                  <c:v>1.2</c:v>
                </c:pt>
                <c:pt idx="252">
                  <c:v>1.2</c:v>
                </c:pt>
                <c:pt idx="253">
                  <c:v>1.2</c:v>
                </c:pt>
                <c:pt idx="254">
                  <c:v>1.2</c:v>
                </c:pt>
                <c:pt idx="255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76-4202-8A7D-1246E4A4C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476352"/>
        <c:axId val="586476928"/>
      </c:scatterChart>
      <c:valAx>
        <c:axId val="586475200"/>
        <c:scaling>
          <c:orientation val="minMax"/>
          <c:max val="45807"/>
          <c:min val="45553"/>
        </c:scaling>
        <c:delete val="0"/>
        <c:axPos val="b"/>
        <c:numFmt formatCode="dd/mm/yyyy;@" sourceLinked="0"/>
        <c:majorTickMark val="out"/>
        <c:minorTickMark val="none"/>
        <c:tickLblPos val="low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586475776"/>
        <c:crossesAt val="-1800"/>
        <c:crossBetween val="midCat"/>
      </c:valAx>
      <c:valAx>
        <c:axId val="586475776"/>
        <c:scaling>
          <c:orientation val="minMax"/>
          <c:max val="1800"/>
          <c:min val="-1800"/>
        </c:scaling>
        <c:delete val="0"/>
        <c:axPos val="l"/>
        <c:majorGridlines>
          <c:spPr>
            <a:ln w="3175">
              <a:solidFill>
                <a:schemeClr val="tx1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3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Độ lún（mm）</a:t>
                </a:r>
              </a:p>
            </c:rich>
          </c:tx>
          <c:layout>
            <c:manualLayout>
              <c:xMode val="edge"/>
              <c:yMode val="edge"/>
              <c:x val="1.7880170123771136E-2"/>
              <c:y val="0.34426600140328995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586475200"/>
        <c:crosses val="autoZero"/>
        <c:crossBetween val="midCat"/>
        <c:majorUnit val="200"/>
      </c:valAx>
      <c:valAx>
        <c:axId val="586476352"/>
        <c:scaling>
          <c:orientation val="minMax"/>
        </c:scaling>
        <c:delete val="1"/>
        <c:axPos val="t"/>
        <c:numFmt formatCode="[$-1010000]d/m/yyyy;@" sourceLinked="1"/>
        <c:majorTickMark val="out"/>
        <c:minorTickMark val="none"/>
        <c:tickLblPos val="nextTo"/>
        <c:crossAx val="586476928"/>
        <c:crossesAt val="0"/>
        <c:crossBetween val="midCat"/>
      </c:valAx>
      <c:valAx>
        <c:axId val="586476928"/>
        <c:scaling>
          <c:orientation val="minMax"/>
          <c:max val="6"/>
          <c:min val="-6"/>
        </c:scaling>
        <c:delete val="0"/>
        <c:axPos val="r"/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vi-VN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Chiều dày/cao độ đắp (m</a:t>
                </a:r>
                <a:r>
                  <a:rPr lang="vi-VN" sz="1000" b="0" i="0" u="none" strike="noStrike" baseline="0">
                    <a:solidFill>
                      <a:srgbClr val="000000"/>
                    </a:solidFill>
                    <a:ea typeface="宋体"/>
                  </a:rPr>
                  <a:t>）</a:t>
                </a:r>
              </a:p>
            </c:rich>
          </c:tx>
          <c:layout>
            <c:manualLayout>
              <c:xMode val="edge"/>
              <c:yMode val="edge"/>
              <c:x val="0.96166207126160286"/>
              <c:y val="0.24613445596528155"/>
            </c:manualLayout>
          </c:layout>
          <c:overlay val="0"/>
          <c:spPr>
            <a:noFill/>
            <a:ln w="25400">
              <a:noFill/>
            </a:ln>
          </c:spPr>
        </c:title>
        <c:numFmt formatCode="##.0#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586476352"/>
        <c:crosses val="max"/>
        <c:crossBetween val="midCat"/>
        <c:majorUnit val="1"/>
        <c:minorUnit val="1"/>
      </c:valAx>
      <c:spPr>
        <a:ln w="6350" cmpd="sng"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8.2956525764775524E-2"/>
          <c:y val="0.87384201208293577"/>
          <c:w val="0.82376524838877152"/>
          <c:h val="0.10335434939004758"/>
        </c:manualLayout>
      </c:layout>
      <c:overlay val="0"/>
      <c:spPr>
        <a:solidFill>
          <a:srgbClr val="FFFFFF"/>
        </a:solidFill>
        <a:ln w="6350" cap="flat">
          <a:solidFill>
            <a:srgbClr val="000000"/>
          </a:solidFill>
          <a:prstDash val="solid"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8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 orientation="landscape" horizontalDpi="1200" verticalDpi="12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 sz="1500"/>
              <a:t>Biểu</a:t>
            </a:r>
            <a:r>
              <a:rPr lang="en-US" sz="1500" baseline="0"/>
              <a:t> đồ </a:t>
            </a:r>
            <a:r>
              <a:rPr lang="en-US" sz="1500"/>
              <a:t>Bàn quan trắc lún-Lý trình: Km83+720</a:t>
            </a:r>
          </a:p>
        </c:rich>
      </c:tx>
      <c:layout>
        <c:manualLayout>
          <c:xMode val="edge"/>
          <c:yMode val="edge"/>
          <c:x val="0.39979352028130694"/>
          <c:y val="4.3462874572937134E-2"/>
        </c:manualLayout>
      </c:layout>
      <c:overlay val="0"/>
      <c:spPr>
        <a:solidFill>
          <a:srgbClr val="FFFFFF"/>
        </a:solidFill>
        <a:ln w="6350">
          <a:solidFill>
            <a:srgbClr val="000000"/>
          </a:solidFill>
          <a:prstDash val="solid"/>
        </a:ln>
        <a:effectLst>
          <a:outerShdw sx="1000" sy="1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7.4589286974132543E-2"/>
          <c:y val="0.13662332142282568"/>
          <c:w val="0.83566878980891657"/>
          <c:h val="0.69972640034865863"/>
        </c:manualLayout>
      </c:layout>
      <c:scatterChart>
        <c:scatterStyle val="lineMarker"/>
        <c:varyColors val="0"/>
        <c:ser>
          <c:idx val="1"/>
          <c:order val="1"/>
          <c:tx>
            <c:strRef>
              <c:f>'Km83+860'!$AF$9</c:f>
              <c:strCache>
                <c:ptCount val="1"/>
                <c:pt idx="0">
                  <c:v>Trái</c:v>
                </c:pt>
              </c:strCache>
            </c:strRef>
          </c:tx>
          <c:marker>
            <c:symbol val="circle"/>
            <c:size val="2"/>
            <c:spPr>
              <a:solidFill>
                <a:srgbClr val="FF00FF"/>
              </a:solidFill>
              <a:ln w="12700">
                <a:solidFill>
                  <a:srgbClr val="FF00FF"/>
                </a:solidFill>
                <a:prstDash val="solid"/>
              </a:ln>
            </c:spPr>
          </c:marker>
          <c:xVal>
            <c:numRef>
              <c:f>'Km83+860'!$B$11:$B$345</c:f>
              <c:numCache>
                <c:formatCode>[$-1010000]d/m/yyyy;@</c:formatCode>
                <c:ptCount val="335"/>
                <c:pt idx="0">
                  <c:v>45576</c:v>
                </c:pt>
                <c:pt idx="1">
                  <c:v>45577</c:v>
                </c:pt>
                <c:pt idx="2">
                  <c:v>45578</c:v>
                </c:pt>
                <c:pt idx="3">
                  <c:v>45579</c:v>
                </c:pt>
                <c:pt idx="4">
                  <c:v>45580</c:v>
                </c:pt>
                <c:pt idx="5">
                  <c:v>45581</c:v>
                </c:pt>
                <c:pt idx="6">
                  <c:v>45582</c:v>
                </c:pt>
                <c:pt idx="7">
                  <c:v>45583</c:v>
                </c:pt>
                <c:pt idx="8">
                  <c:v>45584</c:v>
                </c:pt>
                <c:pt idx="9">
                  <c:v>45585</c:v>
                </c:pt>
                <c:pt idx="10">
                  <c:v>45586</c:v>
                </c:pt>
                <c:pt idx="11">
                  <c:v>45587</c:v>
                </c:pt>
                <c:pt idx="12">
                  <c:v>45588</c:v>
                </c:pt>
                <c:pt idx="13">
                  <c:v>45589</c:v>
                </c:pt>
                <c:pt idx="14">
                  <c:v>45590</c:v>
                </c:pt>
                <c:pt idx="15">
                  <c:v>45591</c:v>
                </c:pt>
                <c:pt idx="16">
                  <c:v>45592</c:v>
                </c:pt>
                <c:pt idx="17">
                  <c:v>45593</c:v>
                </c:pt>
                <c:pt idx="18">
                  <c:v>45594</c:v>
                </c:pt>
                <c:pt idx="19">
                  <c:v>45595</c:v>
                </c:pt>
                <c:pt idx="20">
                  <c:v>45596</c:v>
                </c:pt>
                <c:pt idx="21">
                  <c:v>45597</c:v>
                </c:pt>
                <c:pt idx="22">
                  <c:v>45598</c:v>
                </c:pt>
                <c:pt idx="23">
                  <c:v>45599</c:v>
                </c:pt>
                <c:pt idx="24">
                  <c:v>45600</c:v>
                </c:pt>
                <c:pt idx="25">
                  <c:v>45601</c:v>
                </c:pt>
                <c:pt idx="26">
                  <c:v>45602</c:v>
                </c:pt>
                <c:pt idx="27">
                  <c:v>45603</c:v>
                </c:pt>
                <c:pt idx="28">
                  <c:v>45604</c:v>
                </c:pt>
                <c:pt idx="29">
                  <c:v>45605</c:v>
                </c:pt>
                <c:pt idx="30">
                  <c:v>45606</c:v>
                </c:pt>
                <c:pt idx="31">
                  <c:v>45607</c:v>
                </c:pt>
                <c:pt idx="32">
                  <c:v>45608</c:v>
                </c:pt>
                <c:pt idx="33">
                  <c:v>45609</c:v>
                </c:pt>
                <c:pt idx="34">
                  <c:v>45610</c:v>
                </c:pt>
                <c:pt idx="35">
                  <c:v>45611</c:v>
                </c:pt>
                <c:pt idx="36">
                  <c:v>45612</c:v>
                </c:pt>
                <c:pt idx="37">
                  <c:v>45613</c:v>
                </c:pt>
                <c:pt idx="38">
                  <c:v>45614</c:v>
                </c:pt>
                <c:pt idx="39">
                  <c:v>45615</c:v>
                </c:pt>
                <c:pt idx="40">
                  <c:v>45616</c:v>
                </c:pt>
                <c:pt idx="41">
                  <c:v>45617</c:v>
                </c:pt>
                <c:pt idx="42">
                  <c:v>45618</c:v>
                </c:pt>
                <c:pt idx="43">
                  <c:v>45619</c:v>
                </c:pt>
                <c:pt idx="44">
                  <c:v>45620</c:v>
                </c:pt>
                <c:pt idx="45">
                  <c:v>45621</c:v>
                </c:pt>
                <c:pt idx="46">
                  <c:v>45622</c:v>
                </c:pt>
                <c:pt idx="47">
                  <c:v>45623</c:v>
                </c:pt>
                <c:pt idx="48">
                  <c:v>45624</c:v>
                </c:pt>
                <c:pt idx="49">
                  <c:v>45625</c:v>
                </c:pt>
                <c:pt idx="50">
                  <c:v>45626</c:v>
                </c:pt>
                <c:pt idx="51">
                  <c:v>45627</c:v>
                </c:pt>
                <c:pt idx="52">
                  <c:v>45628</c:v>
                </c:pt>
                <c:pt idx="53">
                  <c:v>45629</c:v>
                </c:pt>
                <c:pt idx="54">
                  <c:v>45630</c:v>
                </c:pt>
                <c:pt idx="55">
                  <c:v>45631</c:v>
                </c:pt>
                <c:pt idx="56">
                  <c:v>45632</c:v>
                </c:pt>
                <c:pt idx="57">
                  <c:v>45633</c:v>
                </c:pt>
                <c:pt idx="58">
                  <c:v>45634</c:v>
                </c:pt>
                <c:pt idx="59">
                  <c:v>45635</c:v>
                </c:pt>
                <c:pt idx="60">
                  <c:v>45636</c:v>
                </c:pt>
                <c:pt idx="61">
                  <c:v>45637</c:v>
                </c:pt>
                <c:pt idx="62">
                  <c:v>45638</c:v>
                </c:pt>
                <c:pt idx="63">
                  <c:v>45639</c:v>
                </c:pt>
                <c:pt idx="64">
                  <c:v>45640</c:v>
                </c:pt>
                <c:pt idx="65">
                  <c:v>45641</c:v>
                </c:pt>
                <c:pt idx="66">
                  <c:v>45642</c:v>
                </c:pt>
                <c:pt idx="67">
                  <c:v>45643</c:v>
                </c:pt>
                <c:pt idx="68">
                  <c:v>45644</c:v>
                </c:pt>
                <c:pt idx="69">
                  <c:v>45645</c:v>
                </c:pt>
                <c:pt idx="70">
                  <c:v>45646</c:v>
                </c:pt>
                <c:pt idx="71">
                  <c:v>45647</c:v>
                </c:pt>
                <c:pt idx="72">
                  <c:v>45648</c:v>
                </c:pt>
                <c:pt idx="73">
                  <c:v>45649</c:v>
                </c:pt>
                <c:pt idx="74">
                  <c:v>45650</c:v>
                </c:pt>
                <c:pt idx="75">
                  <c:v>45651</c:v>
                </c:pt>
                <c:pt idx="76">
                  <c:v>45652</c:v>
                </c:pt>
                <c:pt idx="77">
                  <c:v>45653</c:v>
                </c:pt>
                <c:pt idx="78">
                  <c:v>45654</c:v>
                </c:pt>
                <c:pt idx="79">
                  <c:v>45655</c:v>
                </c:pt>
                <c:pt idx="80">
                  <c:v>45656</c:v>
                </c:pt>
                <c:pt idx="81">
                  <c:v>45657</c:v>
                </c:pt>
                <c:pt idx="82">
                  <c:v>45658</c:v>
                </c:pt>
                <c:pt idx="83">
                  <c:v>45659</c:v>
                </c:pt>
                <c:pt idx="84">
                  <c:v>45660</c:v>
                </c:pt>
                <c:pt idx="85">
                  <c:v>45661</c:v>
                </c:pt>
                <c:pt idx="86">
                  <c:v>45662</c:v>
                </c:pt>
                <c:pt idx="87">
                  <c:v>45663</c:v>
                </c:pt>
                <c:pt idx="88">
                  <c:v>45664</c:v>
                </c:pt>
                <c:pt idx="89">
                  <c:v>45665</c:v>
                </c:pt>
                <c:pt idx="90">
                  <c:v>45666</c:v>
                </c:pt>
                <c:pt idx="91">
                  <c:v>45667</c:v>
                </c:pt>
                <c:pt idx="92">
                  <c:v>45668</c:v>
                </c:pt>
                <c:pt idx="93">
                  <c:v>45669</c:v>
                </c:pt>
                <c:pt idx="94">
                  <c:v>45670</c:v>
                </c:pt>
                <c:pt idx="95">
                  <c:v>45671</c:v>
                </c:pt>
                <c:pt idx="96">
                  <c:v>45672</c:v>
                </c:pt>
                <c:pt idx="97">
                  <c:v>45673</c:v>
                </c:pt>
                <c:pt idx="98">
                  <c:v>45674</c:v>
                </c:pt>
                <c:pt idx="99">
                  <c:v>45675</c:v>
                </c:pt>
                <c:pt idx="100">
                  <c:v>45676</c:v>
                </c:pt>
                <c:pt idx="101">
                  <c:v>45677</c:v>
                </c:pt>
                <c:pt idx="102">
                  <c:v>45678</c:v>
                </c:pt>
                <c:pt idx="103">
                  <c:v>45679</c:v>
                </c:pt>
                <c:pt idx="104">
                  <c:v>45680</c:v>
                </c:pt>
                <c:pt idx="105">
                  <c:v>45681</c:v>
                </c:pt>
                <c:pt idx="106">
                  <c:v>45682</c:v>
                </c:pt>
                <c:pt idx="107">
                  <c:v>45683</c:v>
                </c:pt>
                <c:pt idx="108">
                  <c:v>45684</c:v>
                </c:pt>
                <c:pt idx="109">
                  <c:v>45685</c:v>
                </c:pt>
                <c:pt idx="110">
                  <c:v>45686</c:v>
                </c:pt>
                <c:pt idx="111">
                  <c:v>45687</c:v>
                </c:pt>
                <c:pt idx="112">
                  <c:v>45688</c:v>
                </c:pt>
                <c:pt idx="113">
                  <c:v>45689</c:v>
                </c:pt>
                <c:pt idx="114">
                  <c:v>45690</c:v>
                </c:pt>
                <c:pt idx="115">
                  <c:v>45691</c:v>
                </c:pt>
                <c:pt idx="116">
                  <c:v>45692</c:v>
                </c:pt>
                <c:pt idx="117">
                  <c:v>45693</c:v>
                </c:pt>
                <c:pt idx="118">
                  <c:v>45694</c:v>
                </c:pt>
                <c:pt idx="119">
                  <c:v>45695</c:v>
                </c:pt>
                <c:pt idx="120">
                  <c:v>45696</c:v>
                </c:pt>
                <c:pt idx="121">
                  <c:v>45697</c:v>
                </c:pt>
                <c:pt idx="122">
                  <c:v>45698</c:v>
                </c:pt>
                <c:pt idx="123">
                  <c:v>45699</c:v>
                </c:pt>
                <c:pt idx="124">
                  <c:v>45700</c:v>
                </c:pt>
                <c:pt idx="125">
                  <c:v>45701</c:v>
                </c:pt>
                <c:pt idx="126">
                  <c:v>45702</c:v>
                </c:pt>
                <c:pt idx="127">
                  <c:v>45703</c:v>
                </c:pt>
                <c:pt idx="128">
                  <c:v>45704</c:v>
                </c:pt>
                <c:pt idx="129">
                  <c:v>45705</c:v>
                </c:pt>
                <c:pt idx="130">
                  <c:v>45706</c:v>
                </c:pt>
                <c:pt idx="131">
                  <c:v>45707</c:v>
                </c:pt>
                <c:pt idx="132">
                  <c:v>45708</c:v>
                </c:pt>
                <c:pt idx="133">
                  <c:v>45709</c:v>
                </c:pt>
                <c:pt idx="134">
                  <c:v>45710</c:v>
                </c:pt>
                <c:pt idx="135">
                  <c:v>45711</c:v>
                </c:pt>
                <c:pt idx="136">
                  <c:v>45712</c:v>
                </c:pt>
                <c:pt idx="137">
                  <c:v>45713</c:v>
                </c:pt>
                <c:pt idx="138">
                  <c:v>45714</c:v>
                </c:pt>
                <c:pt idx="139">
                  <c:v>45715</c:v>
                </c:pt>
                <c:pt idx="140">
                  <c:v>45716</c:v>
                </c:pt>
                <c:pt idx="141">
                  <c:v>45717</c:v>
                </c:pt>
                <c:pt idx="142">
                  <c:v>45718</c:v>
                </c:pt>
                <c:pt idx="143">
                  <c:v>45719</c:v>
                </c:pt>
                <c:pt idx="144">
                  <c:v>45720</c:v>
                </c:pt>
                <c:pt idx="145">
                  <c:v>45721</c:v>
                </c:pt>
                <c:pt idx="146">
                  <c:v>45722</c:v>
                </c:pt>
                <c:pt idx="147">
                  <c:v>45723</c:v>
                </c:pt>
                <c:pt idx="148">
                  <c:v>45724</c:v>
                </c:pt>
                <c:pt idx="149">
                  <c:v>45725</c:v>
                </c:pt>
                <c:pt idx="150">
                  <c:v>45726</c:v>
                </c:pt>
                <c:pt idx="151">
                  <c:v>45727</c:v>
                </c:pt>
                <c:pt idx="152">
                  <c:v>45728</c:v>
                </c:pt>
                <c:pt idx="153">
                  <c:v>45729</c:v>
                </c:pt>
                <c:pt idx="154">
                  <c:v>45730</c:v>
                </c:pt>
                <c:pt idx="155">
                  <c:v>45731</c:v>
                </c:pt>
                <c:pt idx="156">
                  <c:v>45732</c:v>
                </c:pt>
                <c:pt idx="157">
                  <c:v>45733</c:v>
                </c:pt>
                <c:pt idx="158">
                  <c:v>45734</c:v>
                </c:pt>
                <c:pt idx="159">
                  <c:v>45735</c:v>
                </c:pt>
                <c:pt idx="160">
                  <c:v>45736</c:v>
                </c:pt>
                <c:pt idx="161">
                  <c:v>45737</c:v>
                </c:pt>
                <c:pt idx="162">
                  <c:v>45738</c:v>
                </c:pt>
                <c:pt idx="163">
                  <c:v>45739</c:v>
                </c:pt>
                <c:pt idx="164">
                  <c:v>45740</c:v>
                </c:pt>
                <c:pt idx="165">
                  <c:v>45741</c:v>
                </c:pt>
                <c:pt idx="166">
                  <c:v>45742</c:v>
                </c:pt>
                <c:pt idx="167">
                  <c:v>45743</c:v>
                </c:pt>
                <c:pt idx="168">
                  <c:v>45744</c:v>
                </c:pt>
                <c:pt idx="169">
                  <c:v>45745</c:v>
                </c:pt>
                <c:pt idx="170">
                  <c:v>45746</c:v>
                </c:pt>
                <c:pt idx="171">
                  <c:v>45747</c:v>
                </c:pt>
                <c:pt idx="172">
                  <c:v>45748</c:v>
                </c:pt>
                <c:pt idx="173">
                  <c:v>45749</c:v>
                </c:pt>
                <c:pt idx="174">
                  <c:v>45750</c:v>
                </c:pt>
                <c:pt idx="175">
                  <c:v>45751</c:v>
                </c:pt>
                <c:pt idx="176">
                  <c:v>45752</c:v>
                </c:pt>
                <c:pt idx="177">
                  <c:v>45753</c:v>
                </c:pt>
                <c:pt idx="178">
                  <c:v>45754</c:v>
                </c:pt>
                <c:pt idx="179">
                  <c:v>45755</c:v>
                </c:pt>
                <c:pt idx="180">
                  <c:v>45756</c:v>
                </c:pt>
                <c:pt idx="181">
                  <c:v>45757</c:v>
                </c:pt>
                <c:pt idx="182">
                  <c:v>45758</c:v>
                </c:pt>
                <c:pt idx="183">
                  <c:v>45759</c:v>
                </c:pt>
                <c:pt idx="184">
                  <c:v>45760</c:v>
                </c:pt>
                <c:pt idx="185">
                  <c:v>45761</c:v>
                </c:pt>
                <c:pt idx="186">
                  <c:v>45762</c:v>
                </c:pt>
                <c:pt idx="187">
                  <c:v>45763</c:v>
                </c:pt>
                <c:pt idx="188">
                  <c:v>45764</c:v>
                </c:pt>
                <c:pt idx="189">
                  <c:v>45765</c:v>
                </c:pt>
                <c:pt idx="190">
                  <c:v>45766</c:v>
                </c:pt>
                <c:pt idx="191">
                  <c:v>45767</c:v>
                </c:pt>
                <c:pt idx="192">
                  <c:v>45768</c:v>
                </c:pt>
                <c:pt idx="193">
                  <c:v>45769</c:v>
                </c:pt>
                <c:pt idx="194">
                  <c:v>45770</c:v>
                </c:pt>
                <c:pt idx="195">
                  <c:v>45771</c:v>
                </c:pt>
                <c:pt idx="196">
                  <c:v>45772</c:v>
                </c:pt>
                <c:pt idx="197">
                  <c:v>45773</c:v>
                </c:pt>
                <c:pt idx="198">
                  <c:v>45774</c:v>
                </c:pt>
                <c:pt idx="199">
                  <c:v>45775</c:v>
                </c:pt>
                <c:pt idx="200">
                  <c:v>45776</c:v>
                </c:pt>
                <c:pt idx="201">
                  <c:v>45777</c:v>
                </c:pt>
                <c:pt idx="202">
                  <c:v>45778</c:v>
                </c:pt>
                <c:pt idx="203">
                  <c:v>45779</c:v>
                </c:pt>
                <c:pt idx="204">
                  <c:v>45780</c:v>
                </c:pt>
                <c:pt idx="205">
                  <c:v>45781</c:v>
                </c:pt>
                <c:pt idx="206">
                  <c:v>45782</c:v>
                </c:pt>
                <c:pt idx="207">
                  <c:v>45783</c:v>
                </c:pt>
                <c:pt idx="208">
                  <c:v>45784</c:v>
                </c:pt>
                <c:pt idx="209">
                  <c:v>45785</c:v>
                </c:pt>
                <c:pt idx="210">
                  <c:v>45786</c:v>
                </c:pt>
                <c:pt idx="211">
                  <c:v>45787</c:v>
                </c:pt>
                <c:pt idx="212">
                  <c:v>45788</c:v>
                </c:pt>
                <c:pt idx="213">
                  <c:v>45789</c:v>
                </c:pt>
                <c:pt idx="214">
                  <c:v>45790</c:v>
                </c:pt>
                <c:pt idx="215">
                  <c:v>45791</c:v>
                </c:pt>
                <c:pt idx="216">
                  <c:v>45792</c:v>
                </c:pt>
                <c:pt idx="217">
                  <c:v>45793</c:v>
                </c:pt>
                <c:pt idx="218">
                  <c:v>45794</c:v>
                </c:pt>
                <c:pt idx="219">
                  <c:v>45795</c:v>
                </c:pt>
                <c:pt idx="220">
                  <c:v>45796</c:v>
                </c:pt>
                <c:pt idx="221">
                  <c:v>45797</c:v>
                </c:pt>
                <c:pt idx="222">
                  <c:v>45798</c:v>
                </c:pt>
                <c:pt idx="223">
                  <c:v>45799</c:v>
                </c:pt>
                <c:pt idx="224">
                  <c:v>45800</c:v>
                </c:pt>
                <c:pt idx="225">
                  <c:v>45801</c:v>
                </c:pt>
                <c:pt idx="226">
                  <c:v>45802</c:v>
                </c:pt>
                <c:pt idx="227">
                  <c:v>45803</c:v>
                </c:pt>
                <c:pt idx="228">
                  <c:v>45804</c:v>
                </c:pt>
                <c:pt idx="229">
                  <c:v>45805</c:v>
                </c:pt>
                <c:pt idx="230">
                  <c:v>45806</c:v>
                </c:pt>
                <c:pt idx="231">
                  <c:v>45807</c:v>
                </c:pt>
                <c:pt idx="232">
                  <c:v>45808</c:v>
                </c:pt>
              </c:numCache>
            </c:numRef>
          </c:xVal>
          <c:yVal>
            <c:numRef>
              <c:f>'Km83+860'!$AF$11:$AF$469</c:f>
              <c:numCache>
                <c:formatCode>0</c:formatCode>
                <c:ptCount val="459"/>
                <c:pt idx="0">
                  <c:v>0</c:v>
                </c:pt>
                <c:pt idx="1">
                  <c:v>-4</c:v>
                </c:pt>
                <c:pt idx="2">
                  <c:v>-8</c:v>
                </c:pt>
                <c:pt idx="3">
                  <c:v>-15</c:v>
                </c:pt>
                <c:pt idx="4">
                  <c:v>-21</c:v>
                </c:pt>
                <c:pt idx="5">
                  <c:v>-30</c:v>
                </c:pt>
                <c:pt idx="6">
                  <c:v>-39</c:v>
                </c:pt>
                <c:pt idx="7">
                  <c:v>-47</c:v>
                </c:pt>
                <c:pt idx="8">
                  <c:v>-54</c:v>
                </c:pt>
                <c:pt idx="9">
                  <c:v>-63</c:v>
                </c:pt>
                <c:pt idx="10">
                  <c:v>-72</c:v>
                </c:pt>
                <c:pt idx="11">
                  <c:v>-80</c:v>
                </c:pt>
                <c:pt idx="12">
                  <c:v>-87</c:v>
                </c:pt>
                <c:pt idx="13">
                  <c:v>-92</c:v>
                </c:pt>
                <c:pt idx="14">
                  <c:v>-101</c:v>
                </c:pt>
                <c:pt idx="15">
                  <c:v>-108</c:v>
                </c:pt>
                <c:pt idx="16">
                  <c:v>-115</c:v>
                </c:pt>
                <c:pt idx="17">
                  <c:v>-122</c:v>
                </c:pt>
                <c:pt idx="18">
                  <c:v>-130</c:v>
                </c:pt>
                <c:pt idx="19">
                  <c:v>-138</c:v>
                </c:pt>
                <c:pt idx="20">
                  <c:v>-146</c:v>
                </c:pt>
                <c:pt idx="21">
                  <c:v>-153</c:v>
                </c:pt>
                <c:pt idx="22">
                  <c:v>-161</c:v>
                </c:pt>
                <c:pt idx="23">
                  <c:v>-168</c:v>
                </c:pt>
                <c:pt idx="24">
                  <c:v>-175</c:v>
                </c:pt>
                <c:pt idx="25">
                  <c:v>-182</c:v>
                </c:pt>
                <c:pt idx="26">
                  <c:v>-188</c:v>
                </c:pt>
                <c:pt idx="27">
                  <c:v>-194</c:v>
                </c:pt>
                <c:pt idx="28">
                  <c:v>-200</c:v>
                </c:pt>
                <c:pt idx="29">
                  <c:v>-207</c:v>
                </c:pt>
                <c:pt idx="30">
                  <c:v>-213</c:v>
                </c:pt>
                <c:pt idx="31">
                  <c:v>-219</c:v>
                </c:pt>
                <c:pt idx="32">
                  <c:v>-224</c:v>
                </c:pt>
                <c:pt idx="33">
                  <c:v>-230</c:v>
                </c:pt>
                <c:pt idx="34">
                  <c:v>-235</c:v>
                </c:pt>
                <c:pt idx="35">
                  <c:v>-240</c:v>
                </c:pt>
                <c:pt idx="36">
                  <c:v>-245</c:v>
                </c:pt>
                <c:pt idx="37">
                  <c:v>-248</c:v>
                </c:pt>
                <c:pt idx="38">
                  <c:v>-254</c:v>
                </c:pt>
                <c:pt idx="39">
                  <c:v>-257</c:v>
                </c:pt>
                <c:pt idx="40">
                  <c:v>-260</c:v>
                </c:pt>
                <c:pt idx="41">
                  <c:v>-263</c:v>
                </c:pt>
                <c:pt idx="42">
                  <c:v>-266</c:v>
                </c:pt>
                <c:pt idx="43">
                  <c:v>-268</c:v>
                </c:pt>
                <c:pt idx="44">
                  <c:v>-270</c:v>
                </c:pt>
                <c:pt idx="45">
                  <c:v>-272</c:v>
                </c:pt>
                <c:pt idx="46">
                  <c:v>-274</c:v>
                </c:pt>
                <c:pt idx="47">
                  <c:v>-277</c:v>
                </c:pt>
                <c:pt idx="48">
                  <c:v>-280</c:v>
                </c:pt>
                <c:pt idx="49">
                  <c:v>-283</c:v>
                </c:pt>
                <c:pt idx="50">
                  <c:v>-284</c:v>
                </c:pt>
                <c:pt idx="51">
                  <c:v>-285</c:v>
                </c:pt>
                <c:pt idx="52">
                  <c:v>-286</c:v>
                </c:pt>
                <c:pt idx="53">
                  <c:v>-287</c:v>
                </c:pt>
                <c:pt idx="54">
                  <c:v>-288</c:v>
                </c:pt>
                <c:pt idx="55">
                  <c:v>-288</c:v>
                </c:pt>
                <c:pt idx="56">
                  <c:v>-291</c:v>
                </c:pt>
                <c:pt idx="57">
                  <c:v>-291</c:v>
                </c:pt>
                <c:pt idx="58">
                  <c:v>-291</c:v>
                </c:pt>
                <c:pt idx="59">
                  <c:v>-293</c:v>
                </c:pt>
                <c:pt idx="60">
                  <c:v>-293</c:v>
                </c:pt>
                <c:pt idx="61">
                  <c:v>-294</c:v>
                </c:pt>
                <c:pt idx="62">
                  <c:v>-295</c:v>
                </c:pt>
                <c:pt idx="63">
                  <c:v>-295</c:v>
                </c:pt>
                <c:pt idx="64">
                  <c:v>-299</c:v>
                </c:pt>
                <c:pt idx="65">
                  <c:v>-299</c:v>
                </c:pt>
                <c:pt idx="66">
                  <c:v>-299</c:v>
                </c:pt>
                <c:pt idx="67">
                  <c:v>-299</c:v>
                </c:pt>
                <c:pt idx="68">
                  <c:v>-303</c:v>
                </c:pt>
                <c:pt idx="69">
                  <c:v>-303</c:v>
                </c:pt>
                <c:pt idx="70">
                  <c:v>-303</c:v>
                </c:pt>
                <c:pt idx="71">
                  <c:v>-305</c:v>
                </c:pt>
                <c:pt idx="72">
                  <c:v>-308</c:v>
                </c:pt>
                <c:pt idx="73">
                  <c:v>-308</c:v>
                </c:pt>
                <c:pt idx="74">
                  <c:v>-312</c:v>
                </c:pt>
                <c:pt idx="75">
                  <c:v>-316</c:v>
                </c:pt>
                <c:pt idx="76">
                  <c:v>-319</c:v>
                </c:pt>
                <c:pt idx="77">
                  <c:v>-320</c:v>
                </c:pt>
                <c:pt idx="78">
                  <c:v>-320</c:v>
                </c:pt>
                <c:pt idx="79">
                  <c:v>-321</c:v>
                </c:pt>
                <c:pt idx="80">
                  <c:v>-323</c:v>
                </c:pt>
                <c:pt idx="81">
                  <c:v>-325</c:v>
                </c:pt>
                <c:pt idx="82">
                  <c:v>-326</c:v>
                </c:pt>
                <c:pt idx="83">
                  <c:v>-329</c:v>
                </c:pt>
                <c:pt idx="84">
                  <c:v>-329</c:v>
                </c:pt>
                <c:pt idx="85">
                  <c:v>-329</c:v>
                </c:pt>
                <c:pt idx="86">
                  <c:v>-333</c:v>
                </c:pt>
                <c:pt idx="87">
                  <c:v>-333</c:v>
                </c:pt>
                <c:pt idx="88">
                  <c:v>-334</c:v>
                </c:pt>
                <c:pt idx="89">
                  <c:v>-334</c:v>
                </c:pt>
                <c:pt idx="90">
                  <c:v>-338</c:v>
                </c:pt>
                <c:pt idx="91">
                  <c:v>-338</c:v>
                </c:pt>
                <c:pt idx="92">
                  <c:v>-340</c:v>
                </c:pt>
                <c:pt idx="93">
                  <c:v>-340</c:v>
                </c:pt>
                <c:pt idx="94">
                  <c:v>-340</c:v>
                </c:pt>
                <c:pt idx="95">
                  <c:v>-340</c:v>
                </c:pt>
                <c:pt idx="96">
                  <c:v>-343</c:v>
                </c:pt>
                <c:pt idx="97">
                  <c:v>-343</c:v>
                </c:pt>
                <c:pt idx="98">
                  <c:v>-347</c:v>
                </c:pt>
                <c:pt idx="99">
                  <c:v>-350</c:v>
                </c:pt>
                <c:pt idx="100">
                  <c:v>-351</c:v>
                </c:pt>
                <c:pt idx="101">
                  <c:v>-353</c:v>
                </c:pt>
                <c:pt idx="102">
                  <c:v>-353</c:v>
                </c:pt>
                <c:pt idx="103">
                  <c:v>-354</c:v>
                </c:pt>
                <c:pt idx="104">
                  <c:v>-354</c:v>
                </c:pt>
                <c:pt idx="105">
                  <c:v>-355</c:v>
                </c:pt>
                <c:pt idx="106">
                  <c:v>-357</c:v>
                </c:pt>
                <c:pt idx="107">
                  <c:v>-357</c:v>
                </c:pt>
                <c:pt idx="108">
                  <c:v>-359</c:v>
                </c:pt>
                <c:pt idx="109">
                  <c:v>-359</c:v>
                </c:pt>
                <c:pt idx="110">
                  <c:v>-359</c:v>
                </c:pt>
                <c:pt idx="111">
                  <c:v>-361</c:v>
                </c:pt>
                <c:pt idx="112">
                  <c:v>-361</c:v>
                </c:pt>
                <c:pt idx="113">
                  <c:v>-361</c:v>
                </c:pt>
                <c:pt idx="114">
                  <c:v>-365</c:v>
                </c:pt>
                <c:pt idx="115">
                  <c:v>-365</c:v>
                </c:pt>
                <c:pt idx="116">
                  <c:v>-365</c:v>
                </c:pt>
                <c:pt idx="117">
                  <c:v>-368</c:v>
                </c:pt>
                <c:pt idx="118">
                  <c:v>-368</c:v>
                </c:pt>
                <c:pt idx="119">
                  <c:v>-368</c:v>
                </c:pt>
                <c:pt idx="120">
                  <c:v>-369</c:v>
                </c:pt>
                <c:pt idx="121">
                  <c:v>-369</c:v>
                </c:pt>
                <c:pt idx="122">
                  <c:v>-373</c:v>
                </c:pt>
                <c:pt idx="123">
                  <c:v>-373</c:v>
                </c:pt>
                <c:pt idx="124">
                  <c:v>-373</c:v>
                </c:pt>
                <c:pt idx="125">
                  <c:v>-374</c:v>
                </c:pt>
                <c:pt idx="126">
                  <c:v>-375</c:v>
                </c:pt>
                <c:pt idx="127">
                  <c:v>-375</c:v>
                </c:pt>
                <c:pt idx="128">
                  <c:v>-375</c:v>
                </c:pt>
                <c:pt idx="129">
                  <c:v>-379</c:v>
                </c:pt>
                <c:pt idx="130">
                  <c:v>-382</c:v>
                </c:pt>
                <c:pt idx="131">
                  <c:v>-382</c:v>
                </c:pt>
                <c:pt idx="132">
                  <c:v>-385</c:v>
                </c:pt>
                <c:pt idx="133">
                  <c:v>-385</c:v>
                </c:pt>
                <c:pt idx="134">
                  <c:v>-388</c:v>
                </c:pt>
                <c:pt idx="135">
                  <c:v>-388</c:v>
                </c:pt>
                <c:pt idx="136">
                  <c:v>-388</c:v>
                </c:pt>
                <c:pt idx="137">
                  <c:v>-391</c:v>
                </c:pt>
                <c:pt idx="138">
                  <c:v>-391</c:v>
                </c:pt>
                <c:pt idx="139">
                  <c:v>-393</c:v>
                </c:pt>
                <c:pt idx="140">
                  <c:v>-393</c:v>
                </c:pt>
                <c:pt idx="141">
                  <c:v>-397</c:v>
                </c:pt>
                <c:pt idx="142">
                  <c:v>-397</c:v>
                </c:pt>
                <c:pt idx="143">
                  <c:v>-397</c:v>
                </c:pt>
                <c:pt idx="144">
                  <c:v>-401</c:v>
                </c:pt>
                <c:pt idx="145">
                  <c:v>-401</c:v>
                </c:pt>
                <c:pt idx="146">
                  <c:v>-402</c:v>
                </c:pt>
                <c:pt idx="147">
                  <c:v>-403</c:v>
                </c:pt>
                <c:pt idx="148">
                  <c:v>-406</c:v>
                </c:pt>
                <c:pt idx="149">
                  <c:v>-408</c:v>
                </c:pt>
                <c:pt idx="150">
                  <c:v>-408</c:v>
                </c:pt>
                <c:pt idx="151">
                  <c:v>-408</c:v>
                </c:pt>
                <c:pt idx="152">
                  <c:v>-408</c:v>
                </c:pt>
                <c:pt idx="153">
                  <c:v>-411</c:v>
                </c:pt>
                <c:pt idx="154">
                  <c:v>-411</c:v>
                </c:pt>
                <c:pt idx="155">
                  <c:v>-411</c:v>
                </c:pt>
                <c:pt idx="156">
                  <c:v>-415</c:v>
                </c:pt>
                <c:pt idx="157">
                  <c:v>-415</c:v>
                </c:pt>
                <c:pt idx="158">
                  <c:v>-415</c:v>
                </c:pt>
                <c:pt idx="159">
                  <c:v>-416</c:v>
                </c:pt>
                <c:pt idx="160">
                  <c:v>-417</c:v>
                </c:pt>
                <c:pt idx="161">
                  <c:v>-417</c:v>
                </c:pt>
                <c:pt idx="162">
                  <c:v>-418</c:v>
                </c:pt>
                <c:pt idx="163">
                  <c:v>-418</c:v>
                </c:pt>
                <c:pt idx="164">
                  <c:v>-419</c:v>
                </c:pt>
                <c:pt idx="165">
                  <c:v>-421</c:v>
                </c:pt>
                <c:pt idx="166">
                  <c:v>-425</c:v>
                </c:pt>
                <c:pt idx="167">
                  <c:v>-426</c:v>
                </c:pt>
                <c:pt idx="168">
                  <c:v>-426</c:v>
                </c:pt>
                <c:pt idx="169">
                  <c:v>-426</c:v>
                </c:pt>
                <c:pt idx="170">
                  <c:v>-429</c:v>
                </c:pt>
                <c:pt idx="171">
                  <c:v>-429</c:v>
                </c:pt>
                <c:pt idx="172">
                  <c:v>-429</c:v>
                </c:pt>
                <c:pt idx="173">
                  <c:v>-430</c:v>
                </c:pt>
                <c:pt idx="174">
                  <c:v>-430</c:v>
                </c:pt>
                <c:pt idx="175">
                  <c:v>-430</c:v>
                </c:pt>
                <c:pt idx="176">
                  <c:v>-433</c:v>
                </c:pt>
                <c:pt idx="177">
                  <c:v>-435</c:v>
                </c:pt>
                <c:pt idx="178">
                  <c:v>-435</c:v>
                </c:pt>
                <c:pt idx="179">
                  <c:v>-435</c:v>
                </c:pt>
                <c:pt idx="180">
                  <c:v>-435</c:v>
                </c:pt>
                <c:pt idx="181">
                  <c:v>-444</c:v>
                </c:pt>
                <c:pt idx="182">
                  <c:v>-444</c:v>
                </c:pt>
                <c:pt idx="183">
                  <c:v>-453</c:v>
                </c:pt>
                <c:pt idx="184">
                  <c:v>-452</c:v>
                </c:pt>
                <c:pt idx="185">
                  <c:v>-462</c:v>
                </c:pt>
                <c:pt idx="186">
                  <c:v>-461</c:v>
                </c:pt>
                <c:pt idx="187">
                  <c:v>-471</c:v>
                </c:pt>
                <c:pt idx="188">
                  <c:v>-469</c:v>
                </c:pt>
                <c:pt idx="189">
                  <c:v>-480</c:v>
                </c:pt>
                <c:pt idx="190">
                  <c:v>-477</c:v>
                </c:pt>
                <c:pt idx="191">
                  <c:v>-488</c:v>
                </c:pt>
                <c:pt idx="192">
                  <c:v>-483</c:v>
                </c:pt>
                <c:pt idx="193">
                  <c:v>-496</c:v>
                </c:pt>
                <c:pt idx="194">
                  <c:v>-490</c:v>
                </c:pt>
                <c:pt idx="195">
                  <c:v>-503</c:v>
                </c:pt>
                <c:pt idx="196">
                  <c:v>-498</c:v>
                </c:pt>
                <c:pt idx="197">
                  <c:v>-511</c:v>
                </c:pt>
                <c:pt idx="198">
                  <c:v>-505</c:v>
                </c:pt>
                <c:pt idx="199">
                  <c:v>-518</c:v>
                </c:pt>
                <c:pt idx="200">
                  <c:v>-512</c:v>
                </c:pt>
                <c:pt idx="201">
                  <c:v>-524</c:v>
                </c:pt>
                <c:pt idx="202">
                  <c:v>-518</c:v>
                </c:pt>
                <c:pt idx="203">
                  <c:v>-530</c:v>
                </c:pt>
                <c:pt idx="204">
                  <c:v>-522</c:v>
                </c:pt>
                <c:pt idx="205">
                  <c:v>-535</c:v>
                </c:pt>
                <c:pt idx="206">
                  <c:v>-526</c:v>
                </c:pt>
                <c:pt idx="207">
                  <c:v>-541</c:v>
                </c:pt>
                <c:pt idx="208">
                  <c:v>-531</c:v>
                </c:pt>
                <c:pt idx="209">
                  <c:v>-547</c:v>
                </c:pt>
                <c:pt idx="210">
                  <c:v>-537</c:v>
                </c:pt>
                <c:pt idx="211">
                  <c:v>-552</c:v>
                </c:pt>
                <c:pt idx="212">
                  <c:v>-542</c:v>
                </c:pt>
                <c:pt idx="213">
                  <c:v>-558</c:v>
                </c:pt>
                <c:pt idx="214">
                  <c:v>-547</c:v>
                </c:pt>
                <c:pt idx="215">
                  <c:v>-563</c:v>
                </c:pt>
                <c:pt idx="216">
                  <c:v>-552</c:v>
                </c:pt>
                <c:pt idx="217">
                  <c:v>-568</c:v>
                </c:pt>
                <c:pt idx="218">
                  <c:v>-556</c:v>
                </c:pt>
                <c:pt idx="219">
                  <c:v>-572</c:v>
                </c:pt>
                <c:pt idx="220">
                  <c:v>-560</c:v>
                </c:pt>
                <c:pt idx="221">
                  <c:v>-575</c:v>
                </c:pt>
                <c:pt idx="222">
                  <c:v>-563</c:v>
                </c:pt>
                <c:pt idx="223">
                  <c:v>-578</c:v>
                </c:pt>
                <c:pt idx="224">
                  <c:v>-566</c:v>
                </c:pt>
                <c:pt idx="225">
                  <c:v>-581</c:v>
                </c:pt>
                <c:pt idx="226">
                  <c:v>-569</c:v>
                </c:pt>
                <c:pt idx="227">
                  <c:v>-584</c:v>
                </c:pt>
                <c:pt idx="228">
                  <c:v>-571</c:v>
                </c:pt>
                <c:pt idx="229">
                  <c:v>-587</c:v>
                </c:pt>
                <c:pt idx="230">
                  <c:v>-573</c:v>
                </c:pt>
                <c:pt idx="231">
                  <c:v>-590</c:v>
                </c:pt>
                <c:pt idx="232">
                  <c:v>-576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79-4D8D-8268-1DA8C96B5DCC}"/>
            </c:ext>
          </c:extLst>
        </c:ser>
        <c:ser>
          <c:idx val="2"/>
          <c:order val="2"/>
          <c:tx>
            <c:strRef>
              <c:f>'Km83+860'!$AG$9</c:f>
              <c:strCache>
                <c:ptCount val="1"/>
                <c:pt idx="0">
                  <c:v>Tim</c:v>
                </c:pt>
              </c:strCache>
            </c:strRef>
          </c:tx>
          <c:marker>
            <c:symbol val="triangle"/>
            <c:size val="2"/>
            <c:spPr>
              <a:solidFill>
                <a:srgbClr val="0000FF"/>
              </a:solidFill>
              <a:ln w="12700">
                <a:solidFill>
                  <a:srgbClr val="0000FF"/>
                </a:solidFill>
                <a:prstDash val="solid"/>
              </a:ln>
            </c:spPr>
          </c:marker>
          <c:xVal>
            <c:numRef>
              <c:f>'Km83+860'!$B$11:$B$331</c:f>
              <c:numCache>
                <c:formatCode>[$-1010000]d/m/yyyy;@</c:formatCode>
                <c:ptCount val="321"/>
                <c:pt idx="0">
                  <c:v>45576</c:v>
                </c:pt>
                <c:pt idx="1">
                  <c:v>45577</c:v>
                </c:pt>
                <c:pt idx="2">
                  <c:v>45578</c:v>
                </c:pt>
                <c:pt idx="3">
                  <c:v>45579</c:v>
                </c:pt>
                <c:pt idx="4">
                  <c:v>45580</c:v>
                </c:pt>
                <c:pt idx="5">
                  <c:v>45581</c:v>
                </c:pt>
                <c:pt idx="6">
                  <c:v>45582</c:v>
                </c:pt>
                <c:pt idx="7">
                  <c:v>45583</c:v>
                </c:pt>
                <c:pt idx="8">
                  <c:v>45584</c:v>
                </c:pt>
                <c:pt idx="9">
                  <c:v>45585</c:v>
                </c:pt>
                <c:pt idx="10">
                  <c:v>45586</c:v>
                </c:pt>
                <c:pt idx="11">
                  <c:v>45587</c:v>
                </c:pt>
                <c:pt idx="12">
                  <c:v>45588</c:v>
                </c:pt>
                <c:pt idx="13">
                  <c:v>45589</c:v>
                </c:pt>
                <c:pt idx="14">
                  <c:v>45590</c:v>
                </c:pt>
                <c:pt idx="15">
                  <c:v>45591</c:v>
                </c:pt>
                <c:pt idx="16">
                  <c:v>45592</c:v>
                </c:pt>
                <c:pt idx="17">
                  <c:v>45593</c:v>
                </c:pt>
                <c:pt idx="18">
                  <c:v>45594</c:v>
                </c:pt>
                <c:pt idx="19">
                  <c:v>45595</c:v>
                </c:pt>
                <c:pt idx="20">
                  <c:v>45596</c:v>
                </c:pt>
                <c:pt idx="21">
                  <c:v>45597</c:v>
                </c:pt>
                <c:pt idx="22">
                  <c:v>45598</c:v>
                </c:pt>
                <c:pt idx="23">
                  <c:v>45599</c:v>
                </c:pt>
                <c:pt idx="24">
                  <c:v>45600</c:v>
                </c:pt>
                <c:pt idx="25">
                  <c:v>45601</c:v>
                </c:pt>
                <c:pt idx="26">
                  <c:v>45602</c:v>
                </c:pt>
                <c:pt idx="27">
                  <c:v>45603</c:v>
                </c:pt>
                <c:pt idx="28">
                  <c:v>45604</c:v>
                </c:pt>
                <c:pt idx="29">
                  <c:v>45605</c:v>
                </c:pt>
                <c:pt idx="30">
                  <c:v>45606</c:v>
                </c:pt>
                <c:pt idx="31">
                  <c:v>45607</c:v>
                </c:pt>
                <c:pt idx="32">
                  <c:v>45608</c:v>
                </c:pt>
                <c:pt idx="33">
                  <c:v>45609</c:v>
                </c:pt>
                <c:pt idx="34">
                  <c:v>45610</c:v>
                </c:pt>
                <c:pt idx="35">
                  <c:v>45611</c:v>
                </c:pt>
                <c:pt idx="36">
                  <c:v>45612</c:v>
                </c:pt>
                <c:pt idx="37">
                  <c:v>45613</c:v>
                </c:pt>
                <c:pt idx="38">
                  <c:v>45614</c:v>
                </c:pt>
                <c:pt idx="39">
                  <c:v>45615</c:v>
                </c:pt>
                <c:pt idx="40">
                  <c:v>45616</c:v>
                </c:pt>
                <c:pt idx="41">
                  <c:v>45617</c:v>
                </c:pt>
                <c:pt idx="42">
                  <c:v>45618</c:v>
                </c:pt>
                <c:pt idx="43">
                  <c:v>45619</c:v>
                </c:pt>
                <c:pt idx="44">
                  <c:v>45620</c:v>
                </c:pt>
                <c:pt idx="45">
                  <c:v>45621</c:v>
                </c:pt>
                <c:pt idx="46">
                  <c:v>45622</c:v>
                </c:pt>
                <c:pt idx="47">
                  <c:v>45623</c:v>
                </c:pt>
                <c:pt idx="48">
                  <c:v>45624</c:v>
                </c:pt>
                <c:pt idx="49">
                  <c:v>45625</c:v>
                </c:pt>
                <c:pt idx="50">
                  <c:v>45626</c:v>
                </c:pt>
                <c:pt idx="51">
                  <c:v>45627</c:v>
                </c:pt>
                <c:pt idx="52">
                  <c:v>45628</c:v>
                </c:pt>
                <c:pt idx="53">
                  <c:v>45629</c:v>
                </c:pt>
                <c:pt idx="54">
                  <c:v>45630</c:v>
                </c:pt>
                <c:pt idx="55">
                  <c:v>45631</c:v>
                </c:pt>
                <c:pt idx="56">
                  <c:v>45632</c:v>
                </c:pt>
                <c:pt idx="57">
                  <c:v>45633</c:v>
                </c:pt>
                <c:pt idx="58">
                  <c:v>45634</c:v>
                </c:pt>
                <c:pt idx="59">
                  <c:v>45635</c:v>
                </c:pt>
                <c:pt idx="60">
                  <c:v>45636</c:v>
                </c:pt>
                <c:pt idx="61">
                  <c:v>45637</c:v>
                </c:pt>
                <c:pt idx="62">
                  <c:v>45638</c:v>
                </c:pt>
                <c:pt idx="63">
                  <c:v>45639</c:v>
                </c:pt>
                <c:pt idx="64">
                  <c:v>45640</c:v>
                </c:pt>
                <c:pt idx="65">
                  <c:v>45641</c:v>
                </c:pt>
                <c:pt idx="66">
                  <c:v>45642</c:v>
                </c:pt>
                <c:pt idx="67">
                  <c:v>45643</c:v>
                </c:pt>
                <c:pt idx="68">
                  <c:v>45644</c:v>
                </c:pt>
                <c:pt idx="69">
                  <c:v>45645</c:v>
                </c:pt>
                <c:pt idx="70">
                  <c:v>45646</c:v>
                </c:pt>
                <c:pt idx="71">
                  <c:v>45647</c:v>
                </c:pt>
                <c:pt idx="72">
                  <c:v>45648</c:v>
                </c:pt>
                <c:pt idx="73">
                  <c:v>45649</c:v>
                </c:pt>
                <c:pt idx="74">
                  <c:v>45650</c:v>
                </c:pt>
                <c:pt idx="75">
                  <c:v>45651</c:v>
                </c:pt>
                <c:pt idx="76">
                  <c:v>45652</c:v>
                </c:pt>
                <c:pt idx="77">
                  <c:v>45653</c:v>
                </c:pt>
                <c:pt idx="78">
                  <c:v>45654</c:v>
                </c:pt>
                <c:pt idx="79">
                  <c:v>45655</c:v>
                </c:pt>
                <c:pt idx="80">
                  <c:v>45656</c:v>
                </c:pt>
                <c:pt idx="81">
                  <c:v>45657</c:v>
                </c:pt>
                <c:pt idx="82">
                  <c:v>45658</c:v>
                </c:pt>
                <c:pt idx="83">
                  <c:v>45659</c:v>
                </c:pt>
                <c:pt idx="84">
                  <c:v>45660</c:v>
                </c:pt>
                <c:pt idx="85">
                  <c:v>45661</c:v>
                </c:pt>
                <c:pt idx="86">
                  <c:v>45662</c:v>
                </c:pt>
                <c:pt idx="87">
                  <c:v>45663</c:v>
                </c:pt>
                <c:pt idx="88">
                  <c:v>45664</c:v>
                </c:pt>
                <c:pt idx="89">
                  <c:v>45665</c:v>
                </c:pt>
                <c:pt idx="90">
                  <c:v>45666</c:v>
                </c:pt>
                <c:pt idx="91">
                  <c:v>45667</c:v>
                </c:pt>
                <c:pt idx="92">
                  <c:v>45668</c:v>
                </c:pt>
                <c:pt idx="93">
                  <c:v>45669</c:v>
                </c:pt>
                <c:pt idx="94">
                  <c:v>45670</c:v>
                </c:pt>
                <c:pt idx="95">
                  <c:v>45671</c:v>
                </c:pt>
                <c:pt idx="96">
                  <c:v>45672</c:v>
                </c:pt>
                <c:pt idx="97">
                  <c:v>45673</c:v>
                </c:pt>
                <c:pt idx="98">
                  <c:v>45674</c:v>
                </c:pt>
                <c:pt idx="99">
                  <c:v>45675</c:v>
                </c:pt>
                <c:pt idx="100">
                  <c:v>45676</c:v>
                </c:pt>
                <c:pt idx="101">
                  <c:v>45677</c:v>
                </c:pt>
                <c:pt idx="102">
                  <c:v>45678</c:v>
                </c:pt>
                <c:pt idx="103">
                  <c:v>45679</c:v>
                </c:pt>
                <c:pt idx="104">
                  <c:v>45680</c:v>
                </c:pt>
                <c:pt idx="105">
                  <c:v>45681</c:v>
                </c:pt>
                <c:pt idx="106">
                  <c:v>45682</c:v>
                </c:pt>
                <c:pt idx="107">
                  <c:v>45683</c:v>
                </c:pt>
                <c:pt idx="108">
                  <c:v>45684</c:v>
                </c:pt>
                <c:pt idx="109">
                  <c:v>45685</c:v>
                </c:pt>
                <c:pt idx="110">
                  <c:v>45686</c:v>
                </c:pt>
                <c:pt idx="111">
                  <c:v>45687</c:v>
                </c:pt>
                <c:pt idx="112">
                  <c:v>45688</c:v>
                </c:pt>
                <c:pt idx="113">
                  <c:v>45689</c:v>
                </c:pt>
                <c:pt idx="114">
                  <c:v>45690</c:v>
                </c:pt>
                <c:pt idx="115">
                  <c:v>45691</c:v>
                </c:pt>
                <c:pt idx="116">
                  <c:v>45692</c:v>
                </c:pt>
                <c:pt idx="117">
                  <c:v>45693</c:v>
                </c:pt>
                <c:pt idx="118">
                  <c:v>45694</c:v>
                </c:pt>
                <c:pt idx="119">
                  <c:v>45695</c:v>
                </c:pt>
                <c:pt idx="120">
                  <c:v>45696</c:v>
                </c:pt>
                <c:pt idx="121">
                  <c:v>45697</c:v>
                </c:pt>
                <c:pt idx="122">
                  <c:v>45698</c:v>
                </c:pt>
                <c:pt idx="123">
                  <c:v>45699</c:v>
                </c:pt>
                <c:pt idx="124">
                  <c:v>45700</c:v>
                </c:pt>
                <c:pt idx="125">
                  <c:v>45701</c:v>
                </c:pt>
                <c:pt idx="126">
                  <c:v>45702</c:v>
                </c:pt>
                <c:pt idx="127">
                  <c:v>45703</c:v>
                </c:pt>
                <c:pt idx="128">
                  <c:v>45704</c:v>
                </c:pt>
                <c:pt idx="129">
                  <c:v>45705</c:v>
                </c:pt>
                <c:pt idx="130">
                  <c:v>45706</c:v>
                </c:pt>
                <c:pt idx="131">
                  <c:v>45707</c:v>
                </c:pt>
                <c:pt idx="132">
                  <c:v>45708</c:v>
                </c:pt>
                <c:pt idx="133">
                  <c:v>45709</c:v>
                </c:pt>
                <c:pt idx="134">
                  <c:v>45710</c:v>
                </c:pt>
                <c:pt idx="135">
                  <c:v>45711</c:v>
                </c:pt>
                <c:pt idx="136">
                  <c:v>45712</c:v>
                </c:pt>
                <c:pt idx="137">
                  <c:v>45713</c:v>
                </c:pt>
                <c:pt idx="138">
                  <c:v>45714</c:v>
                </c:pt>
                <c:pt idx="139">
                  <c:v>45715</c:v>
                </c:pt>
                <c:pt idx="140">
                  <c:v>45716</c:v>
                </c:pt>
                <c:pt idx="141">
                  <c:v>45717</c:v>
                </c:pt>
                <c:pt idx="142">
                  <c:v>45718</c:v>
                </c:pt>
                <c:pt idx="143">
                  <c:v>45719</c:v>
                </c:pt>
                <c:pt idx="144">
                  <c:v>45720</c:v>
                </c:pt>
                <c:pt idx="145">
                  <c:v>45721</c:v>
                </c:pt>
                <c:pt idx="146">
                  <c:v>45722</c:v>
                </c:pt>
                <c:pt idx="147">
                  <c:v>45723</c:v>
                </c:pt>
                <c:pt idx="148">
                  <c:v>45724</c:v>
                </c:pt>
                <c:pt idx="149">
                  <c:v>45725</c:v>
                </c:pt>
                <c:pt idx="150">
                  <c:v>45726</c:v>
                </c:pt>
                <c:pt idx="151">
                  <c:v>45727</c:v>
                </c:pt>
                <c:pt idx="152">
                  <c:v>45728</c:v>
                </c:pt>
                <c:pt idx="153">
                  <c:v>45729</c:v>
                </c:pt>
                <c:pt idx="154">
                  <c:v>45730</c:v>
                </c:pt>
                <c:pt idx="155">
                  <c:v>45731</c:v>
                </c:pt>
                <c:pt idx="156">
                  <c:v>45732</c:v>
                </c:pt>
                <c:pt idx="157">
                  <c:v>45733</c:v>
                </c:pt>
                <c:pt idx="158">
                  <c:v>45734</c:v>
                </c:pt>
                <c:pt idx="159">
                  <c:v>45735</c:v>
                </c:pt>
                <c:pt idx="160">
                  <c:v>45736</c:v>
                </c:pt>
                <c:pt idx="161">
                  <c:v>45737</c:v>
                </c:pt>
                <c:pt idx="162">
                  <c:v>45738</c:v>
                </c:pt>
                <c:pt idx="163">
                  <c:v>45739</c:v>
                </c:pt>
                <c:pt idx="164">
                  <c:v>45740</c:v>
                </c:pt>
                <c:pt idx="165">
                  <c:v>45741</c:v>
                </c:pt>
                <c:pt idx="166">
                  <c:v>45742</c:v>
                </c:pt>
                <c:pt idx="167">
                  <c:v>45743</c:v>
                </c:pt>
                <c:pt idx="168">
                  <c:v>45744</c:v>
                </c:pt>
                <c:pt idx="169">
                  <c:v>45745</c:v>
                </c:pt>
                <c:pt idx="170">
                  <c:v>45746</c:v>
                </c:pt>
                <c:pt idx="171">
                  <c:v>45747</c:v>
                </c:pt>
                <c:pt idx="172">
                  <c:v>45748</c:v>
                </c:pt>
                <c:pt idx="173">
                  <c:v>45749</c:v>
                </c:pt>
                <c:pt idx="174">
                  <c:v>45750</c:v>
                </c:pt>
                <c:pt idx="175">
                  <c:v>45751</c:v>
                </c:pt>
                <c:pt idx="176">
                  <c:v>45752</c:v>
                </c:pt>
                <c:pt idx="177">
                  <c:v>45753</c:v>
                </c:pt>
                <c:pt idx="178">
                  <c:v>45754</c:v>
                </c:pt>
                <c:pt idx="179">
                  <c:v>45755</c:v>
                </c:pt>
                <c:pt idx="180">
                  <c:v>45756</c:v>
                </c:pt>
                <c:pt idx="181">
                  <c:v>45757</c:v>
                </c:pt>
                <c:pt idx="182">
                  <c:v>45758</c:v>
                </c:pt>
                <c:pt idx="183">
                  <c:v>45759</c:v>
                </c:pt>
                <c:pt idx="184">
                  <c:v>45760</c:v>
                </c:pt>
                <c:pt idx="185">
                  <c:v>45761</c:v>
                </c:pt>
                <c:pt idx="186">
                  <c:v>45762</c:v>
                </c:pt>
                <c:pt idx="187">
                  <c:v>45763</c:v>
                </c:pt>
                <c:pt idx="188">
                  <c:v>45764</c:v>
                </c:pt>
                <c:pt idx="189">
                  <c:v>45765</c:v>
                </c:pt>
                <c:pt idx="190">
                  <c:v>45766</c:v>
                </c:pt>
                <c:pt idx="191">
                  <c:v>45767</c:v>
                </c:pt>
                <c:pt idx="192">
                  <c:v>45768</c:v>
                </c:pt>
                <c:pt idx="193">
                  <c:v>45769</c:v>
                </c:pt>
                <c:pt idx="194">
                  <c:v>45770</c:v>
                </c:pt>
                <c:pt idx="195">
                  <c:v>45771</c:v>
                </c:pt>
                <c:pt idx="196">
                  <c:v>45772</c:v>
                </c:pt>
                <c:pt idx="197">
                  <c:v>45773</c:v>
                </c:pt>
                <c:pt idx="198">
                  <c:v>45774</c:v>
                </c:pt>
                <c:pt idx="199">
                  <c:v>45775</c:v>
                </c:pt>
                <c:pt idx="200">
                  <c:v>45776</c:v>
                </c:pt>
                <c:pt idx="201">
                  <c:v>45777</c:v>
                </c:pt>
                <c:pt idx="202">
                  <c:v>45778</c:v>
                </c:pt>
                <c:pt idx="203">
                  <c:v>45779</c:v>
                </c:pt>
                <c:pt idx="204">
                  <c:v>45780</c:v>
                </c:pt>
                <c:pt idx="205">
                  <c:v>45781</c:v>
                </c:pt>
                <c:pt idx="206">
                  <c:v>45782</c:v>
                </c:pt>
                <c:pt idx="207">
                  <c:v>45783</c:v>
                </c:pt>
                <c:pt idx="208">
                  <c:v>45784</c:v>
                </c:pt>
                <c:pt idx="209">
                  <c:v>45785</c:v>
                </c:pt>
                <c:pt idx="210">
                  <c:v>45786</c:v>
                </c:pt>
                <c:pt idx="211">
                  <c:v>45787</c:v>
                </c:pt>
                <c:pt idx="212">
                  <c:v>45788</c:v>
                </c:pt>
                <c:pt idx="213">
                  <c:v>45789</c:v>
                </c:pt>
                <c:pt idx="214">
                  <c:v>45790</c:v>
                </c:pt>
                <c:pt idx="215">
                  <c:v>45791</c:v>
                </c:pt>
                <c:pt idx="216">
                  <c:v>45792</c:v>
                </c:pt>
                <c:pt idx="217">
                  <c:v>45793</c:v>
                </c:pt>
                <c:pt idx="218">
                  <c:v>45794</c:v>
                </c:pt>
                <c:pt idx="219">
                  <c:v>45795</c:v>
                </c:pt>
                <c:pt idx="220">
                  <c:v>45796</c:v>
                </c:pt>
                <c:pt idx="221">
                  <c:v>45797</c:v>
                </c:pt>
                <c:pt idx="222">
                  <c:v>45798</c:v>
                </c:pt>
                <c:pt idx="223">
                  <c:v>45799</c:v>
                </c:pt>
                <c:pt idx="224">
                  <c:v>45800</c:v>
                </c:pt>
                <c:pt idx="225">
                  <c:v>45801</c:v>
                </c:pt>
                <c:pt idx="226">
                  <c:v>45802</c:v>
                </c:pt>
                <c:pt idx="227">
                  <c:v>45803</c:v>
                </c:pt>
                <c:pt idx="228">
                  <c:v>45804</c:v>
                </c:pt>
                <c:pt idx="229">
                  <c:v>45805</c:v>
                </c:pt>
                <c:pt idx="230">
                  <c:v>45806</c:v>
                </c:pt>
                <c:pt idx="231">
                  <c:v>45807</c:v>
                </c:pt>
                <c:pt idx="232">
                  <c:v>45808</c:v>
                </c:pt>
              </c:numCache>
            </c:numRef>
          </c:xVal>
          <c:yVal>
            <c:numRef>
              <c:f>'Km83+860'!$AG$11:$AG$330</c:f>
              <c:numCache>
                <c:formatCode>0</c:formatCode>
                <c:ptCount val="320"/>
                <c:pt idx="0">
                  <c:v>0</c:v>
                </c:pt>
                <c:pt idx="1">
                  <c:v>-4</c:v>
                </c:pt>
                <c:pt idx="2">
                  <c:v>-7</c:v>
                </c:pt>
                <c:pt idx="3">
                  <c:v>-15</c:v>
                </c:pt>
                <c:pt idx="4">
                  <c:v>-22</c:v>
                </c:pt>
                <c:pt idx="5">
                  <c:v>-31</c:v>
                </c:pt>
                <c:pt idx="6">
                  <c:v>-39</c:v>
                </c:pt>
                <c:pt idx="7">
                  <c:v>-47</c:v>
                </c:pt>
                <c:pt idx="8">
                  <c:v>-55</c:v>
                </c:pt>
                <c:pt idx="9">
                  <c:v>-62</c:v>
                </c:pt>
                <c:pt idx="10">
                  <c:v>-69</c:v>
                </c:pt>
                <c:pt idx="11">
                  <c:v>-75</c:v>
                </c:pt>
                <c:pt idx="12">
                  <c:v>-81</c:v>
                </c:pt>
                <c:pt idx="13">
                  <c:v>-86</c:v>
                </c:pt>
                <c:pt idx="14">
                  <c:v>-91</c:v>
                </c:pt>
                <c:pt idx="15">
                  <c:v>-99</c:v>
                </c:pt>
                <c:pt idx="16">
                  <c:v>-107</c:v>
                </c:pt>
                <c:pt idx="17">
                  <c:v>-115</c:v>
                </c:pt>
                <c:pt idx="18">
                  <c:v>-123</c:v>
                </c:pt>
                <c:pt idx="19">
                  <c:v>-131</c:v>
                </c:pt>
                <c:pt idx="20">
                  <c:v>-139</c:v>
                </c:pt>
                <c:pt idx="21">
                  <c:v>-147</c:v>
                </c:pt>
                <c:pt idx="22">
                  <c:v>-155</c:v>
                </c:pt>
                <c:pt idx="23">
                  <c:v>-163</c:v>
                </c:pt>
                <c:pt idx="24">
                  <c:v>-171</c:v>
                </c:pt>
                <c:pt idx="25">
                  <c:v>-179</c:v>
                </c:pt>
                <c:pt idx="26">
                  <c:v>-186</c:v>
                </c:pt>
                <c:pt idx="27">
                  <c:v>-193</c:v>
                </c:pt>
                <c:pt idx="28">
                  <c:v>-200</c:v>
                </c:pt>
                <c:pt idx="29">
                  <c:v>-207</c:v>
                </c:pt>
                <c:pt idx="30">
                  <c:v>-214</c:v>
                </c:pt>
                <c:pt idx="31">
                  <c:v>-221</c:v>
                </c:pt>
                <c:pt idx="32">
                  <c:v>-227</c:v>
                </c:pt>
                <c:pt idx="33">
                  <c:v>-233</c:v>
                </c:pt>
                <c:pt idx="34">
                  <c:v>-239</c:v>
                </c:pt>
                <c:pt idx="35">
                  <c:v>-245</c:v>
                </c:pt>
                <c:pt idx="36">
                  <c:v>-251</c:v>
                </c:pt>
                <c:pt idx="37">
                  <c:v>-256</c:v>
                </c:pt>
                <c:pt idx="38">
                  <c:v>-261</c:v>
                </c:pt>
                <c:pt idx="39">
                  <c:v>-266</c:v>
                </c:pt>
                <c:pt idx="40">
                  <c:v>-271</c:v>
                </c:pt>
                <c:pt idx="41">
                  <c:v>-276</c:v>
                </c:pt>
                <c:pt idx="42">
                  <c:v>-281</c:v>
                </c:pt>
                <c:pt idx="43">
                  <c:v>-286</c:v>
                </c:pt>
                <c:pt idx="44">
                  <c:v>-290</c:v>
                </c:pt>
                <c:pt idx="45">
                  <c:v>-294</c:v>
                </c:pt>
                <c:pt idx="46">
                  <c:v>-298</c:v>
                </c:pt>
                <c:pt idx="47">
                  <c:v>-302</c:v>
                </c:pt>
                <c:pt idx="48">
                  <c:v>-305</c:v>
                </c:pt>
                <c:pt idx="49">
                  <c:v>-308</c:v>
                </c:pt>
                <c:pt idx="50">
                  <c:v>-311</c:v>
                </c:pt>
                <c:pt idx="51">
                  <c:v>-313</c:v>
                </c:pt>
                <c:pt idx="52">
                  <c:v>-315</c:v>
                </c:pt>
                <c:pt idx="53">
                  <c:v>-317</c:v>
                </c:pt>
                <c:pt idx="54">
                  <c:v>-319</c:v>
                </c:pt>
                <c:pt idx="55">
                  <c:v>-320</c:v>
                </c:pt>
                <c:pt idx="56">
                  <c:v>-321</c:v>
                </c:pt>
                <c:pt idx="57">
                  <c:v>-322</c:v>
                </c:pt>
                <c:pt idx="58">
                  <c:v>-325</c:v>
                </c:pt>
                <c:pt idx="59">
                  <c:v>-327</c:v>
                </c:pt>
                <c:pt idx="60">
                  <c:v>-329</c:v>
                </c:pt>
                <c:pt idx="61">
                  <c:v>-331</c:v>
                </c:pt>
                <c:pt idx="62">
                  <c:v>-333</c:v>
                </c:pt>
                <c:pt idx="63">
                  <c:v>-334</c:v>
                </c:pt>
                <c:pt idx="64">
                  <c:v>-335</c:v>
                </c:pt>
                <c:pt idx="65">
                  <c:v>-336</c:v>
                </c:pt>
                <c:pt idx="66">
                  <c:v>-337</c:v>
                </c:pt>
                <c:pt idx="67">
                  <c:v>-338</c:v>
                </c:pt>
                <c:pt idx="68">
                  <c:v>-339</c:v>
                </c:pt>
                <c:pt idx="69">
                  <c:v>-340</c:v>
                </c:pt>
                <c:pt idx="70">
                  <c:v>-340</c:v>
                </c:pt>
                <c:pt idx="71">
                  <c:v>-340</c:v>
                </c:pt>
                <c:pt idx="72">
                  <c:v>-342</c:v>
                </c:pt>
                <c:pt idx="73">
                  <c:v>-342</c:v>
                </c:pt>
                <c:pt idx="74">
                  <c:v>-345</c:v>
                </c:pt>
                <c:pt idx="75">
                  <c:v>-345</c:v>
                </c:pt>
                <c:pt idx="76">
                  <c:v>-346</c:v>
                </c:pt>
                <c:pt idx="77">
                  <c:v>-347</c:v>
                </c:pt>
                <c:pt idx="78">
                  <c:v>-347</c:v>
                </c:pt>
                <c:pt idx="79">
                  <c:v>-347</c:v>
                </c:pt>
                <c:pt idx="80">
                  <c:v>-350</c:v>
                </c:pt>
                <c:pt idx="81">
                  <c:v>-351</c:v>
                </c:pt>
                <c:pt idx="82">
                  <c:v>-351</c:v>
                </c:pt>
                <c:pt idx="83">
                  <c:v>-352</c:v>
                </c:pt>
                <c:pt idx="84">
                  <c:v>-352</c:v>
                </c:pt>
                <c:pt idx="85">
                  <c:v>-353</c:v>
                </c:pt>
                <c:pt idx="86">
                  <c:v>-354</c:v>
                </c:pt>
                <c:pt idx="87">
                  <c:v>-354</c:v>
                </c:pt>
                <c:pt idx="88">
                  <c:v>-355</c:v>
                </c:pt>
                <c:pt idx="89">
                  <c:v>-356</c:v>
                </c:pt>
                <c:pt idx="90">
                  <c:v>-356</c:v>
                </c:pt>
                <c:pt idx="91">
                  <c:v>-357</c:v>
                </c:pt>
                <c:pt idx="92">
                  <c:v>-357</c:v>
                </c:pt>
                <c:pt idx="93">
                  <c:v>-357</c:v>
                </c:pt>
                <c:pt idx="94">
                  <c:v>-358</c:v>
                </c:pt>
                <c:pt idx="95">
                  <c:v>-358</c:v>
                </c:pt>
                <c:pt idx="96">
                  <c:v>-358</c:v>
                </c:pt>
                <c:pt idx="97">
                  <c:v>-359</c:v>
                </c:pt>
                <c:pt idx="98">
                  <c:v>-359</c:v>
                </c:pt>
                <c:pt idx="99">
                  <c:v>-360</c:v>
                </c:pt>
                <c:pt idx="100">
                  <c:v>-360</c:v>
                </c:pt>
                <c:pt idx="101">
                  <c:v>-361</c:v>
                </c:pt>
                <c:pt idx="102">
                  <c:v>-361</c:v>
                </c:pt>
                <c:pt idx="103">
                  <c:v>-362</c:v>
                </c:pt>
                <c:pt idx="104">
                  <c:v>-365</c:v>
                </c:pt>
                <c:pt idx="105">
                  <c:v>-366</c:v>
                </c:pt>
                <c:pt idx="106">
                  <c:v>-366</c:v>
                </c:pt>
                <c:pt idx="107">
                  <c:v>-366</c:v>
                </c:pt>
                <c:pt idx="108">
                  <c:v>-366</c:v>
                </c:pt>
                <c:pt idx="109">
                  <c:v>-367</c:v>
                </c:pt>
                <c:pt idx="110">
                  <c:v>-367</c:v>
                </c:pt>
                <c:pt idx="111">
                  <c:v>-368</c:v>
                </c:pt>
                <c:pt idx="112">
                  <c:v>-368</c:v>
                </c:pt>
                <c:pt idx="113">
                  <c:v>-369</c:v>
                </c:pt>
                <c:pt idx="114">
                  <c:v>-370</c:v>
                </c:pt>
                <c:pt idx="115">
                  <c:v>-370</c:v>
                </c:pt>
                <c:pt idx="116">
                  <c:v>-373</c:v>
                </c:pt>
                <c:pt idx="117">
                  <c:v>-374</c:v>
                </c:pt>
                <c:pt idx="118">
                  <c:v>-377</c:v>
                </c:pt>
                <c:pt idx="119">
                  <c:v>-378</c:v>
                </c:pt>
                <c:pt idx="120">
                  <c:v>-378</c:v>
                </c:pt>
                <c:pt idx="121">
                  <c:v>-382</c:v>
                </c:pt>
                <c:pt idx="122">
                  <c:v>-383</c:v>
                </c:pt>
                <c:pt idx="123">
                  <c:v>-383</c:v>
                </c:pt>
                <c:pt idx="124">
                  <c:v>-386</c:v>
                </c:pt>
                <c:pt idx="125">
                  <c:v>-387</c:v>
                </c:pt>
                <c:pt idx="126">
                  <c:v>-387</c:v>
                </c:pt>
                <c:pt idx="127">
                  <c:v>-390</c:v>
                </c:pt>
                <c:pt idx="128">
                  <c:v>-390</c:v>
                </c:pt>
                <c:pt idx="129">
                  <c:v>-391</c:v>
                </c:pt>
                <c:pt idx="130">
                  <c:v>-391</c:v>
                </c:pt>
                <c:pt idx="131">
                  <c:v>-395</c:v>
                </c:pt>
                <c:pt idx="132">
                  <c:v>-395</c:v>
                </c:pt>
                <c:pt idx="133">
                  <c:v>-399</c:v>
                </c:pt>
                <c:pt idx="134">
                  <c:v>-399</c:v>
                </c:pt>
                <c:pt idx="135">
                  <c:v>-402</c:v>
                </c:pt>
                <c:pt idx="136">
                  <c:v>-402</c:v>
                </c:pt>
                <c:pt idx="137">
                  <c:v>-405</c:v>
                </c:pt>
                <c:pt idx="138">
                  <c:v>-406</c:v>
                </c:pt>
                <c:pt idx="139">
                  <c:v>-406</c:v>
                </c:pt>
                <c:pt idx="140">
                  <c:v>-406</c:v>
                </c:pt>
                <c:pt idx="141">
                  <c:v>-406</c:v>
                </c:pt>
                <c:pt idx="142">
                  <c:v>-406</c:v>
                </c:pt>
                <c:pt idx="143">
                  <c:v>-408</c:v>
                </c:pt>
                <c:pt idx="144">
                  <c:v>-408</c:v>
                </c:pt>
                <c:pt idx="145">
                  <c:v>-411</c:v>
                </c:pt>
                <c:pt idx="146">
                  <c:v>-411</c:v>
                </c:pt>
                <c:pt idx="147">
                  <c:v>-412</c:v>
                </c:pt>
                <c:pt idx="148">
                  <c:v>-415</c:v>
                </c:pt>
                <c:pt idx="149">
                  <c:v>-416</c:v>
                </c:pt>
                <c:pt idx="150">
                  <c:v>-420</c:v>
                </c:pt>
                <c:pt idx="151">
                  <c:v>-420</c:v>
                </c:pt>
                <c:pt idx="152">
                  <c:v>-421</c:v>
                </c:pt>
                <c:pt idx="153">
                  <c:v>-424</c:v>
                </c:pt>
                <c:pt idx="154">
                  <c:v>-427</c:v>
                </c:pt>
                <c:pt idx="155">
                  <c:v>-428</c:v>
                </c:pt>
                <c:pt idx="156">
                  <c:v>-430</c:v>
                </c:pt>
                <c:pt idx="157">
                  <c:v>-430</c:v>
                </c:pt>
                <c:pt idx="158">
                  <c:v>-431</c:v>
                </c:pt>
                <c:pt idx="159">
                  <c:v>-431</c:v>
                </c:pt>
                <c:pt idx="160">
                  <c:v>-432</c:v>
                </c:pt>
                <c:pt idx="161">
                  <c:v>-436</c:v>
                </c:pt>
                <c:pt idx="162">
                  <c:v>-437</c:v>
                </c:pt>
                <c:pt idx="163">
                  <c:v>-437</c:v>
                </c:pt>
                <c:pt idx="164">
                  <c:v>-441</c:v>
                </c:pt>
                <c:pt idx="165">
                  <c:v>-441</c:v>
                </c:pt>
                <c:pt idx="166">
                  <c:v>-444</c:v>
                </c:pt>
                <c:pt idx="167">
                  <c:v>-445</c:v>
                </c:pt>
                <c:pt idx="168">
                  <c:v>-445</c:v>
                </c:pt>
                <c:pt idx="169">
                  <c:v>-445</c:v>
                </c:pt>
                <c:pt idx="170">
                  <c:v>-447</c:v>
                </c:pt>
                <c:pt idx="171">
                  <c:v>-449</c:v>
                </c:pt>
                <c:pt idx="172">
                  <c:v>-449</c:v>
                </c:pt>
                <c:pt idx="173">
                  <c:v>-453</c:v>
                </c:pt>
                <c:pt idx="174">
                  <c:v>-453</c:v>
                </c:pt>
                <c:pt idx="175">
                  <c:v>-454</c:v>
                </c:pt>
                <c:pt idx="176">
                  <c:v>-455</c:v>
                </c:pt>
                <c:pt idx="177">
                  <c:v>-455</c:v>
                </c:pt>
                <c:pt idx="178">
                  <c:v>-456</c:v>
                </c:pt>
                <c:pt idx="179">
                  <c:v>-457</c:v>
                </c:pt>
                <c:pt idx="180">
                  <c:v>-458</c:v>
                </c:pt>
                <c:pt idx="181">
                  <c:v>-466</c:v>
                </c:pt>
                <c:pt idx="182">
                  <c:v>-467</c:v>
                </c:pt>
                <c:pt idx="183">
                  <c:v>-475</c:v>
                </c:pt>
                <c:pt idx="184">
                  <c:v>-476</c:v>
                </c:pt>
                <c:pt idx="185">
                  <c:v>-483</c:v>
                </c:pt>
                <c:pt idx="186">
                  <c:v>-484</c:v>
                </c:pt>
                <c:pt idx="187">
                  <c:v>-491</c:v>
                </c:pt>
                <c:pt idx="188">
                  <c:v>-491</c:v>
                </c:pt>
                <c:pt idx="189">
                  <c:v>-498</c:v>
                </c:pt>
                <c:pt idx="190">
                  <c:v>-499</c:v>
                </c:pt>
                <c:pt idx="191">
                  <c:v>-507</c:v>
                </c:pt>
                <c:pt idx="192">
                  <c:v>-507</c:v>
                </c:pt>
                <c:pt idx="193">
                  <c:v>-515</c:v>
                </c:pt>
                <c:pt idx="194">
                  <c:v>-515</c:v>
                </c:pt>
                <c:pt idx="195">
                  <c:v>-524</c:v>
                </c:pt>
                <c:pt idx="196">
                  <c:v>-523</c:v>
                </c:pt>
                <c:pt idx="197">
                  <c:v>-533</c:v>
                </c:pt>
                <c:pt idx="198">
                  <c:v>-530</c:v>
                </c:pt>
                <c:pt idx="199">
                  <c:v>-540</c:v>
                </c:pt>
                <c:pt idx="200">
                  <c:v>-538</c:v>
                </c:pt>
                <c:pt idx="201">
                  <c:v>-548</c:v>
                </c:pt>
                <c:pt idx="202">
                  <c:v>-545</c:v>
                </c:pt>
                <c:pt idx="203">
                  <c:v>-555</c:v>
                </c:pt>
                <c:pt idx="204">
                  <c:v>-553</c:v>
                </c:pt>
                <c:pt idx="205">
                  <c:v>-562</c:v>
                </c:pt>
                <c:pt idx="206">
                  <c:v>-559</c:v>
                </c:pt>
                <c:pt idx="207">
                  <c:v>-569</c:v>
                </c:pt>
                <c:pt idx="208">
                  <c:v>-564</c:v>
                </c:pt>
                <c:pt idx="209">
                  <c:v>-574</c:v>
                </c:pt>
                <c:pt idx="210">
                  <c:v>-570</c:v>
                </c:pt>
                <c:pt idx="211">
                  <c:v>-581</c:v>
                </c:pt>
                <c:pt idx="212">
                  <c:v>-578</c:v>
                </c:pt>
                <c:pt idx="213">
                  <c:v>-588</c:v>
                </c:pt>
                <c:pt idx="214">
                  <c:v>-584</c:v>
                </c:pt>
                <c:pt idx="215">
                  <c:v>-593</c:v>
                </c:pt>
                <c:pt idx="216">
                  <c:v>-590</c:v>
                </c:pt>
                <c:pt idx="217">
                  <c:v>-600</c:v>
                </c:pt>
                <c:pt idx="218">
                  <c:v>-596</c:v>
                </c:pt>
                <c:pt idx="219">
                  <c:v>-606</c:v>
                </c:pt>
                <c:pt idx="220">
                  <c:v>-600</c:v>
                </c:pt>
                <c:pt idx="221">
                  <c:v>-612</c:v>
                </c:pt>
                <c:pt idx="222">
                  <c:v>-604</c:v>
                </c:pt>
                <c:pt idx="223">
                  <c:v>-618</c:v>
                </c:pt>
                <c:pt idx="224">
                  <c:v>-609</c:v>
                </c:pt>
                <c:pt idx="225">
                  <c:v>-622</c:v>
                </c:pt>
                <c:pt idx="226">
                  <c:v>-612</c:v>
                </c:pt>
                <c:pt idx="227">
                  <c:v>-627</c:v>
                </c:pt>
                <c:pt idx="228">
                  <c:v>-615</c:v>
                </c:pt>
                <c:pt idx="229">
                  <c:v>-631</c:v>
                </c:pt>
                <c:pt idx="230">
                  <c:v>-617</c:v>
                </c:pt>
                <c:pt idx="231">
                  <c:v>-634</c:v>
                </c:pt>
                <c:pt idx="232">
                  <c:v>-619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79-4D8D-8268-1DA8C96B5DCC}"/>
            </c:ext>
          </c:extLst>
        </c:ser>
        <c:ser>
          <c:idx val="3"/>
          <c:order val="3"/>
          <c:tx>
            <c:strRef>
              <c:f>'Km83+860'!$AH$9</c:f>
              <c:strCache>
                <c:ptCount val="1"/>
                <c:pt idx="0">
                  <c:v>Phải</c:v>
                </c:pt>
              </c:strCache>
            </c:strRef>
          </c:tx>
          <c:marker>
            <c:symbol val="x"/>
            <c:size val="2"/>
            <c:spPr>
              <a:solidFill>
                <a:srgbClr val="800000"/>
              </a:solidFill>
              <a:ln w="12700">
                <a:solidFill>
                  <a:srgbClr val="800000"/>
                </a:solidFill>
                <a:prstDash val="solid"/>
              </a:ln>
            </c:spPr>
          </c:marker>
          <c:xVal>
            <c:numRef>
              <c:f>'Km83+860'!$B$11:$B$329</c:f>
              <c:numCache>
                <c:formatCode>[$-1010000]d/m/yyyy;@</c:formatCode>
                <c:ptCount val="319"/>
                <c:pt idx="0">
                  <c:v>45576</c:v>
                </c:pt>
                <c:pt idx="1">
                  <c:v>45577</c:v>
                </c:pt>
                <c:pt idx="2">
                  <c:v>45578</c:v>
                </c:pt>
                <c:pt idx="3">
                  <c:v>45579</c:v>
                </c:pt>
                <c:pt idx="4">
                  <c:v>45580</c:v>
                </c:pt>
                <c:pt idx="5">
                  <c:v>45581</c:v>
                </c:pt>
                <c:pt idx="6">
                  <c:v>45582</c:v>
                </c:pt>
                <c:pt idx="7">
                  <c:v>45583</c:v>
                </c:pt>
                <c:pt idx="8">
                  <c:v>45584</c:v>
                </c:pt>
                <c:pt idx="9">
                  <c:v>45585</c:v>
                </c:pt>
                <c:pt idx="10">
                  <c:v>45586</c:v>
                </c:pt>
                <c:pt idx="11">
                  <c:v>45587</c:v>
                </c:pt>
                <c:pt idx="12">
                  <c:v>45588</c:v>
                </c:pt>
                <c:pt idx="13">
                  <c:v>45589</c:v>
                </c:pt>
                <c:pt idx="14">
                  <c:v>45590</c:v>
                </c:pt>
                <c:pt idx="15">
                  <c:v>45591</c:v>
                </c:pt>
                <c:pt idx="16">
                  <c:v>45592</c:v>
                </c:pt>
                <c:pt idx="17">
                  <c:v>45593</c:v>
                </c:pt>
                <c:pt idx="18">
                  <c:v>45594</c:v>
                </c:pt>
                <c:pt idx="19">
                  <c:v>45595</c:v>
                </c:pt>
                <c:pt idx="20">
                  <c:v>45596</c:v>
                </c:pt>
                <c:pt idx="21">
                  <c:v>45597</c:v>
                </c:pt>
                <c:pt idx="22">
                  <c:v>45598</c:v>
                </c:pt>
                <c:pt idx="23">
                  <c:v>45599</c:v>
                </c:pt>
                <c:pt idx="24">
                  <c:v>45600</c:v>
                </c:pt>
                <c:pt idx="25">
                  <c:v>45601</c:v>
                </c:pt>
                <c:pt idx="26">
                  <c:v>45602</c:v>
                </c:pt>
                <c:pt idx="27">
                  <c:v>45603</c:v>
                </c:pt>
                <c:pt idx="28">
                  <c:v>45604</c:v>
                </c:pt>
                <c:pt idx="29">
                  <c:v>45605</c:v>
                </c:pt>
                <c:pt idx="30">
                  <c:v>45606</c:v>
                </c:pt>
                <c:pt idx="31">
                  <c:v>45607</c:v>
                </c:pt>
                <c:pt idx="32">
                  <c:v>45608</c:v>
                </c:pt>
                <c:pt idx="33">
                  <c:v>45609</c:v>
                </c:pt>
                <c:pt idx="34">
                  <c:v>45610</c:v>
                </c:pt>
                <c:pt idx="35">
                  <c:v>45611</c:v>
                </c:pt>
                <c:pt idx="36">
                  <c:v>45612</c:v>
                </c:pt>
                <c:pt idx="37">
                  <c:v>45613</c:v>
                </c:pt>
                <c:pt idx="38">
                  <c:v>45614</c:v>
                </c:pt>
                <c:pt idx="39">
                  <c:v>45615</c:v>
                </c:pt>
                <c:pt idx="40">
                  <c:v>45616</c:v>
                </c:pt>
                <c:pt idx="41">
                  <c:v>45617</c:v>
                </c:pt>
                <c:pt idx="42">
                  <c:v>45618</c:v>
                </c:pt>
                <c:pt idx="43">
                  <c:v>45619</c:v>
                </c:pt>
                <c:pt idx="44">
                  <c:v>45620</c:v>
                </c:pt>
                <c:pt idx="45">
                  <c:v>45621</c:v>
                </c:pt>
                <c:pt idx="46">
                  <c:v>45622</c:v>
                </c:pt>
                <c:pt idx="47">
                  <c:v>45623</c:v>
                </c:pt>
                <c:pt idx="48">
                  <c:v>45624</c:v>
                </c:pt>
                <c:pt idx="49">
                  <c:v>45625</c:v>
                </c:pt>
                <c:pt idx="50">
                  <c:v>45626</c:v>
                </c:pt>
                <c:pt idx="51">
                  <c:v>45627</c:v>
                </c:pt>
                <c:pt idx="52">
                  <c:v>45628</c:v>
                </c:pt>
                <c:pt idx="53">
                  <c:v>45629</c:v>
                </c:pt>
                <c:pt idx="54">
                  <c:v>45630</c:v>
                </c:pt>
                <c:pt idx="55">
                  <c:v>45631</c:v>
                </c:pt>
                <c:pt idx="56">
                  <c:v>45632</c:v>
                </c:pt>
                <c:pt idx="57">
                  <c:v>45633</c:v>
                </c:pt>
                <c:pt idx="58">
                  <c:v>45634</c:v>
                </c:pt>
                <c:pt idx="59">
                  <c:v>45635</c:v>
                </c:pt>
                <c:pt idx="60">
                  <c:v>45636</c:v>
                </c:pt>
                <c:pt idx="61">
                  <c:v>45637</c:v>
                </c:pt>
                <c:pt idx="62">
                  <c:v>45638</c:v>
                </c:pt>
                <c:pt idx="63">
                  <c:v>45639</c:v>
                </c:pt>
                <c:pt idx="64">
                  <c:v>45640</c:v>
                </c:pt>
                <c:pt idx="65">
                  <c:v>45641</c:v>
                </c:pt>
                <c:pt idx="66">
                  <c:v>45642</c:v>
                </c:pt>
                <c:pt idx="67">
                  <c:v>45643</c:v>
                </c:pt>
                <c:pt idx="68">
                  <c:v>45644</c:v>
                </c:pt>
                <c:pt idx="69">
                  <c:v>45645</c:v>
                </c:pt>
                <c:pt idx="70">
                  <c:v>45646</c:v>
                </c:pt>
                <c:pt idx="71">
                  <c:v>45647</c:v>
                </c:pt>
                <c:pt idx="72">
                  <c:v>45648</c:v>
                </c:pt>
                <c:pt idx="73">
                  <c:v>45649</c:v>
                </c:pt>
                <c:pt idx="74">
                  <c:v>45650</c:v>
                </c:pt>
                <c:pt idx="75">
                  <c:v>45651</c:v>
                </c:pt>
                <c:pt idx="76">
                  <c:v>45652</c:v>
                </c:pt>
                <c:pt idx="77">
                  <c:v>45653</c:v>
                </c:pt>
                <c:pt idx="78">
                  <c:v>45654</c:v>
                </c:pt>
                <c:pt idx="79">
                  <c:v>45655</c:v>
                </c:pt>
                <c:pt idx="80">
                  <c:v>45656</c:v>
                </c:pt>
                <c:pt idx="81">
                  <c:v>45657</c:v>
                </c:pt>
                <c:pt idx="82">
                  <c:v>45658</c:v>
                </c:pt>
                <c:pt idx="83">
                  <c:v>45659</c:v>
                </c:pt>
                <c:pt idx="84">
                  <c:v>45660</c:v>
                </c:pt>
                <c:pt idx="85">
                  <c:v>45661</c:v>
                </c:pt>
                <c:pt idx="86">
                  <c:v>45662</c:v>
                </c:pt>
                <c:pt idx="87">
                  <c:v>45663</c:v>
                </c:pt>
                <c:pt idx="88">
                  <c:v>45664</c:v>
                </c:pt>
                <c:pt idx="89">
                  <c:v>45665</c:v>
                </c:pt>
                <c:pt idx="90">
                  <c:v>45666</c:v>
                </c:pt>
                <c:pt idx="91">
                  <c:v>45667</c:v>
                </c:pt>
                <c:pt idx="92">
                  <c:v>45668</c:v>
                </c:pt>
                <c:pt idx="93">
                  <c:v>45669</c:v>
                </c:pt>
                <c:pt idx="94">
                  <c:v>45670</c:v>
                </c:pt>
                <c:pt idx="95">
                  <c:v>45671</c:v>
                </c:pt>
                <c:pt idx="96">
                  <c:v>45672</c:v>
                </c:pt>
                <c:pt idx="97">
                  <c:v>45673</c:v>
                </c:pt>
                <c:pt idx="98">
                  <c:v>45674</c:v>
                </c:pt>
                <c:pt idx="99">
                  <c:v>45675</c:v>
                </c:pt>
                <c:pt idx="100">
                  <c:v>45676</c:v>
                </c:pt>
                <c:pt idx="101">
                  <c:v>45677</c:v>
                </c:pt>
                <c:pt idx="102">
                  <c:v>45678</c:v>
                </c:pt>
                <c:pt idx="103">
                  <c:v>45679</c:v>
                </c:pt>
                <c:pt idx="104">
                  <c:v>45680</c:v>
                </c:pt>
                <c:pt idx="105">
                  <c:v>45681</c:v>
                </c:pt>
                <c:pt idx="106">
                  <c:v>45682</c:v>
                </c:pt>
                <c:pt idx="107">
                  <c:v>45683</c:v>
                </c:pt>
                <c:pt idx="108">
                  <c:v>45684</c:v>
                </c:pt>
                <c:pt idx="109">
                  <c:v>45685</c:v>
                </c:pt>
                <c:pt idx="110">
                  <c:v>45686</c:v>
                </c:pt>
                <c:pt idx="111">
                  <c:v>45687</c:v>
                </c:pt>
                <c:pt idx="112">
                  <c:v>45688</c:v>
                </c:pt>
                <c:pt idx="113">
                  <c:v>45689</c:v>
                </c:pt>
                <c:pt idx="114">
                  <c:v>45690</c:v>
                </c:pt>
                <c:pt idx="115">
                  <c:v>45691</c:v>
                </c:pt>
                <c:pt idx="116">
                  <c:v>45692</c:v>
                </c:pt>
                <c:pt idx="117">
                  <c:v>45693</c:v>
                </c:pt>
                <c:pt idx="118">
                  <c:v>45694</c:v>
                </c:pt>
                <c:pt idx="119">
                  <c:v>45695</c:v>
                </c:pt>
                <c:pt idx="120">
                  <c:v>45696</c:v>
                </c:pt>
                <c:pt idx="121">
                  <c:v>45697</c:v>
                </c:pt>
                <c:pt idx="122">
                  <c:v>45698</c:v>
                </c:pt>
                <c:pt idx="123">
                  <c:v>45699</c:v>
                </c:pt>
                <c:pt idx="124">
                  <c:v>45700</c:v>
                </c:pt>
                <c:pt idx="125">
                  <c:v>45701</c:v>
                </c:pt>
                <c:pt idx="126">
                  <c:v>45702</c:v>
                </c:pt>
                <c:pt idx="127">
                  <c:v>45703</c:v>
                </c:pt>
                <c:pt idx="128">
                  <c:v>45704</c:v>
                </c:pt>
                <c:pt idx="129">
                  <c:v>45705</c:v>
                </c:pt>
                <c:pt idx="130">
                  <c:v>45706</c:v>
                </c:pt>
                <c:pt idx="131">
                  <c:v>45707</c:v>
                </c:pt>
                <c:pt idx="132">
                  <c:v>45708</c:v>
                </c:pt>
                <c:pt idx="133">
                  <c:v>45709</c:v>
                </c:pt>
                <c:pt idx="134">
                  <c:v>45710</c:v>
                </c:pt>
                <c:pt idx="135">
                  <c:v>45711</c:v>
                </c:pt>
                <c:pt idx="136">
                  <c:v>45712</c:v>
                </c:pt>
                <c:pt idx="137">
                  <c:v>45713</c:v>
                </c:pt>
                <c:pt idx="138">
                  <c:v>45714</c:v>
                </c:pt>
                <c:pt idx="139">
                  <c:v>45715</c:v>
                </c:pt>
                <c:pt idx="140">
                  <c:v>45716</c:v>
                </c:pt>
                <c:pt idx="141">
                  <c:v>45717</c:v>
                </c:pt>
                <c:pt idx="142">
                  <c:v>45718</c:v>
                </c:pt>
                <c:pt idx="143">
                  <c:v>45719</c:v>
                </c:pt>
                <c:pt idx="144">
                  <c:v>45720</c:v>
                </c:pt>
                <c:pt idx="145">
                  <c:v>45721</c:v>
                </c:pt>
                <c:pt idx="146">
                  <c:v>45722</c:v>
                </c:pt>
                <c:pt idx="147">
                  <c:v>45723</c:v>
                </c:pt>
                <c:pt idx="148">
                  <c:v>45724</c:v>
                </c:pt>
                <c:pt idx="149">
                  <c:v>45725</c:v>
                </c:pt>
                <c:pt idx="150">
                  <c:v>45726</c:v>
                </c:pt>
                <c:pt idx="151">
                  <c:v>45727</c:v>
                </c:pt>
                <c:pt idx="152">
                  <c:v>45728</c:v>
                </c:pt>
                <c:pt idx="153">
                  <c:v>45729</c:v>
                </c:pt>
                <c:pt idx="154">
                  <c:v>45730</c:v>
                </c:pt>
                <c:pt idx="155">
                  <c:v>45731</c:v>
                </c:pt>
                <c:pt idx="156">
                  <c:v>45732</c:v>
                </c:pt>
                <c:pt idx="157">
                  <c:v>45733</c:v>
                </c:pt>
                <c:pt idx="158">
                  <c:v>45734</c:v>
                </c:pt>
                <c:pt idx="159">
                  <c:v>45735</c:v>
                </c:pt>
                <c:pt idx="160">
                  <c:v>45736</c:v>
                </c:pt>
                <c:pt idx="161">
                  <c:v>45737</c:v>
                </c:pt>
                <c:pt idx="162">
                  <c:v>45738</c:v>
                </c:pt>
                <c:pt idx="163">
                  <c:v>45739</c:v>
                </c:pt>
                <c:pt idx="164">
                  <c:v>45740</c:v>
                </c:pt>
                <c:pt idx="165">
                  <c:v>45741</c:v>
                </c:pt>
                <c:pt idx="166">
                  <c:v>45742</c:v>
                </c:pt>
                <c:pt idx="167">
                  <c:v>45743</c:v>
                </c:pt>
                <c:pt idx="168">
                  <c:v>45744</c:v>
                </c:pt>
                <c:pt idx="169">
                  <c:v>45745</c:v>
                </c:pt>
                <c:pt idx="170">
                  <c:v>45746</c:v>
                </c:pt>
                <c:pt idx="171">
                  <c:v>45747</c:v>
                </c:pt>
                <c:pt idx="172">
                  <c:v>45748</c:v>
                </c:pt>
                <c:pt idx="173">
                  <c:v>45749</c:v>
                </c:pt>
                <c:pt idx="174">
                  <c:v>45750</c:v>
                </c:pt>
                <c:pt idx="175">
                  <c:v>45751</c:v>
                </c:pt>
                <c:pt idx="176">
                  <c:v>45752</c:v>
                </c:pt>
                <c:pt idx="177">
                  <c:v>45753</c:v>
                </c:pt>
                <c:pt idx="178">
                  <c:v>45754</c:v>
                </c:pt>
                <c:pt idx="179">
                  <c:v>45755</c:v>
                </c:pt>
                <c:pt idx="180">
                  <c:v>45756</c:v>
                </c:pt>
                <c:pt idx="181">
                  <c:v>45757</c:v>
                </c:pt>
                <c:pt idx="182">
                  <c:v>45758</c:v>
                </c:pt>
                <c:pt idx="183">
                  <c:v>45759</c:v>
                </c:pt>
                <c:pt idx="184">
                  <c:v>45760</c:v>
                </c:pt>
                <c:pt idx="185">
                  <c:v>45761</c:v>
                </c:pt>
                <c:pt idx="186">
                  <c:v>45762</c:v>
                </c:pt>
                <c:pt idx="187">
                  <c:v>45763</c:v>
                </c:pt>
                <c:pt idx="188">
                  <c:v>45764</c:v>
                </c:pt>
                <c:pt idx="189">
                  <c:v>45765</c:v>
                </c:pt>
                <c:pt idx="190">
                  <c:v>45766</c:v>
                </c:pt>
                <c:pt idx="191">
                  <c:v>45767</c:v>
                </c:pt>
                <c:pt idx="192">
                  <c:v>45768</c:v>
                </c:pt>
                <c:pt idx="193">
                  <c:v>45769</c:v>
                </c:pt>
                <c:pt idx="194">
                  <c:v>45770</c:v>
                </c:pt>
                <c:pt idx="195">
                  <c:v>45771</c:v>
                </c:pt>
                <c:pt idx="196">
                  <c:v>45772</c:v>
                </c:pt>
                <c:pt idx="197">
                  <c:v>45773</c:v>
                </c:pt>
                <c:pt idx="198">
                  <c:v>45774</c:v>
                </c:pt>
                <c:pt idx="199">
                  <c:v>45775</c:v>
                </c:pt>
                <c:pt idx="200">
                  <c:v>45776</c:v>
                </c:pt>
                <c:pt idx="201">
                  <c:v>45777</c:v>
                </c:pt>
                <c:pt idx="202">
                  <c:v>45778</c:v>
                </c:pt>
                <c:pt idx="203">
                  <c:v>45779</c:v>
                </c:pt>
                <c:pt idx="204">
                  <c:v>45780</c:v>
                </c:pt>
                <c:pt idx="205">
                  <c:v>45781</c:v>
                </c:pt>
                <c:pt idx="206">
                  <c:v>45782</c:v>
                </c:pt>
                <c:pt idx="207">
                  <c:v>45783</c:v>
                </c:pt>
                <c:pt idx="208">
                  <c:v>45784</c:v>
                </c:pt>
                <c:pt idx="209">
                  <c:v>45785</c:v>
                </c:pt>
                <c:pt idx="210">
                  <c:v>45786</c:v>
                </c:pt>
                <c:pt idx="211">
                  <c:v>45787</c:v>
                </c:pt>
                <c:pt idx="212">
                  <c:v>45788</c:v>
                </c:pt>
                <c:pt idx="213">
                  <c:v>45789</c:v>
                </c:pt>
                <c:pt idx="214">
                  <c:v>45790</c:v>
                </c:pt>
                <c:pt idx="215">
                  <c:v>45791</c:v>
                </c:pt>
                <c:pt idx="216">
                  <c:v>45792</c:v>
                </c:pt>
                <c:pt idx="217">
                  <c:v>45793</c:v>
                </c:pt>
                <c:pt idx="218">
                  <c:v>45794</c:v>
                </c:pt>
                <c:pt idx="219">
                  <c:v>45795</c:v>
                </c:pt>
                <c:pt idx="220">
                  <c:v>45796</c:v>
                </c:pt>
                <c:pt idx="221">
                  <c:v>45797</c:v>
                </c:pt>
                <c:pt idx="222">
                  <c:v>45798</c:v>
                </c:pt>
                <c:pt idx="223">
                  <c:v>45799</c:v>
                </c:pt>
                <c:pt idx="224">
                  <c:v>45800</c:v>
                </c:pt>
                <c:pt idx="225">
                  <c:v>45801</c:v>
                </c:pt>
                <c:pt idx="226">
                  <c:v>45802</c:v>
                </c:pt>
                <c:pt idx="227">
                  <c:v>45803</c:v>
                </c:pt>
                <c:pt idx="228">
                  <c:v>45804</c:v>
                </c:pt>
                <c:pt idx="229">
                  <c:v>45805</c:v>
                </c:pt>
                <c:pt idx="230">
                  <c:v>45806</c:v>
                </c:pt>
                <c:pt idx="231">
                  <c:v>45807</c:v>
                </c:pt>
                <c:pt idx="232">
                  <c:v>45808</c:v>
                </c:pt>
              </c:numCache>
            </c:numRef>
          </c:xVal>
          <c:yVal>
            <c:numRef>
              <c:f>'Km83+860'!$AH$11:$AH$330</c:f>
              <c:numCache>
                <c:formatCode>0</c:formatCode>
                <c:ptCount val="320"/>
                <c:pt idx="0">
                  <c:v>0</c:v>
                </c:pt>
                <c:pt idx="1">
                  <c:v>-5</c:v>
                </c:pt>
                <c:pt idx="2">
                  <c:v>-10</c:v>
                </c:pt>
                <c:pt idx="3">
                  <c:v>-15</c:v>
                </c:pt>
                <c:pt idx="4">
                  <c:v>-19</c:v>
                </c:pt>
                <c:pt idx="5">
                  <c:v>-28</c:v>
                </c:pt>
                <c:pt idx="6">
                  <c:v>-37</c:v>
                </c:pt>
                <c:pt idx="7">
                  <c:v>-45</c:v>
                </c:pt>
                <c:pt idx="8">
                  <c:v>-52</c:v>
                </c:pt>
                <c:pt idx="9">
                  <c:v>-61</c:v>
                </c:pt>
                <c:pt idx="10">
                  <c:v>-70</c:v>
                </c:pt>
                <c:pt idx="11">
                  <c:v>-78</c:v>
                </c:pt>
                <c:pt idx="12">
                  <c:v>-85</c:v>
                </c:pt>
                <c:pt idx="13">
                  <c:v>-90</c:v>
                </c:pt>
                <c:pt idx="14">
                  <c:v>-99</c:v>
                </c:pt>
                <c:pt idx="15">
                  <c:v>-106</c:v>
                </c:pt>
                <c:pt idx="16">
                  <c:v>-112</c:v>
                </c:pt>
                <c:pt idx="17">
                  <c:v>-118</c:v>
                </c:pt>
                <c:pt idx="18">
                  <c:v>-124</c:v>
                </c:pt>
                <c:pt idx="19">
                  <c:v>-131</c:v>
                </c:pt>
                <c:pt idx="20">
                  <c:v>-137</c:v>
                </c:pt>
                <c:pt idx="21">
                  <c:v>-142</c:v>
                </c:pt>
                <c:pt idx="22">
                  <c:v>-147</c:v>
                </c:pt>
                <c:pt idx="23">
                  <c:v>-153</c:v>
                </c:pt>
                <c:pt idx="24">
                  <c:v>-158</c:v>
                </c:pt>
                <c:pt idx="25">
                  <c:v>-163</c:v>
                </c:pt>
                <c:pt idx="26">
                  <c:v>-168</c:v>
                </c:pt>
                <c:pt idx="27">
                  <c:v>-173</c:v>
                </c:pt>
                <c:pt idx="28">
                  <c:v>-177</c:v>
                </c:pt>
                <c:pt idx="29">
                  <c:v>-182</c:v>
                </c:pt>
                <c:pt idx="30">
                  <c:v>-188</c:v>
                </c:pt>
                <c:pt idx="31">
                  <c:v>-193</c:v>
                </c:pt>
                <c:pt idx="32">
                  <c:v>-198</c:v>
                </c:pt>
                <c:pt idx="33">
                  <c:v>-202</c:v>
                </c:pt>
                <c:pt idx="34">
                  <c:v>-207</c:v>
                </c:pt>
                <c:pt idx="35">
                  <c:v>-211</c:v>
                </c:pt>
                <c:pt idx="36">
                  <c:v>-215</c:v>
                </c:pt>
                <c:pt idx="37">
                  <c:v>-218</c:v>
                </c:pt>
                <c:pt idx="38">
                  <c:v>-221</c:v>
                </c:pt>
                <c:pt idx="39">
                  <c:v>-224</c:v>
                </c:pt>
                <c:pt idx="40">
                  <c:v>-226</c:v>
                </c:pt>
                <c:pt idx="41">
                  <c:v>-228</c:v>
                </c:pt>
                <c:pt idx="42">
                  <c:v>-230</c:v>
                </c:pt>
                <c:pt idx="43">
                  <c:v>-232</c:v>
                </c:pt>
                <c:pt idx="44">
                  <c:v>-233</c:v>
                </c:pt>
                <c:pt idx="45">
                  <c:v>-234</c:v>
                </c:pt>
                <c:pt idx="46">
                  <c:v>-235</c:v>
                </c:pt>
                <c:pt idx="47">
                  <c:v>-236</c:v>
                </c:pt>
                <c:pt idx="48">
                  <c:v>-237</c:v>
                </c:pt>
                <c:pt idx="49">
                  <c:v>-238</c:v>
                </c:pt>
                <c:pt idx="50">
                  <c:v>-239</c:v>
                </c:pt>
                <c:pt idx="51">
                  <c:v>-239</c:v>
                </c:pt>
                <c:pt idx="52">
                  <c:v>-239</c:v>
                </c:pt>
                <c:pt idx="53">
                  <c:v>-241</c:v>
                </c:pt>
                <c:pt idx="54">
                  <c:v>-241</c:v>
                </c:pt>
                <c:pt idx="55">
                  <c:v>-244</c:v>
                </c:pt>
                <c:pt idx="56">
                  <c:v>-244</c:v>
                </c:pt>
                <c:pt idx="57">
                  <c:v>-247</c:v>
                </c:pt>
                <c:pt idx="58">
                  <c:v>-247</c:v>
                </c:pt>
                <c:pt idx="59">
                  <c:v>-249</c:v>
                </c:pt>
                <c:pt idx="60">
                  <c:v>-249</c:v>
                </c:pt>
                <c:pt idx="61">
                  <c:v>-252</c:v>
                </c:pt>
                <c:pt idx="62">
                  <c:v>-253</c:v>
                </c:pt>
                <c:pt idx="63">
                  <c:v>-253</c:v>
                </c:pt>
                <c:pt idx="64">
                  <c:v>-255</c:v>
                </c:pt>
                <c:pt idx="65">
                  <c:v>-255</c:v>
                </c:pt>
                <c:pt idx="66">
                  <c:v>-258</c:v>
                </c:pt>
                <c:pt idx="67">
                  <c:v>-258</c:v>
                </c:pt>
                <c:pt idx="68">
                  <c:v>-258</c:v>
                </c:pt>
                <c:pt idx="69">
                  <c:v>-261</c:v>
                </c:pt>
                <c:pt idx="70">
                  <c:v>-264</c:v>
                </c:pt>
                <c:pt idx="71">
                  <c:v>-266</c:v>
                </c:pt>
                <c:pt idx="72">
                  <c:v>-266</c:v>
                </c:pt>
                <c:pt idx="73">
                  <c:v>-266</c:v>
                </c:pt>
                <c:pt idx="74">
                  <c:v>-267</c:v>
                </c:pt>
                <c:pt idx="75">
                  <c:v>-268</c:v>
                </c:pt>
                <c:pt idx="76">
                  <c:v>-268</c:v>
                </c:pt>
                <c:pt idx="77">
                  <c:v>-269</c:v>
                </c:pt>
                <c:pt idx="78">
                  <c:v>-272</c:v>
                </c:pt>
                <c:pt idx="79">
                  <c:v>-273</c:v>
                </c:pt>
                <c:pt idx="80">
                  <c:v>-275</c:v>
                </c:pt>
                <c:pt idx="81">
                  <c:v>-277</c:v>
                </c:pt>
                <c:pt idx="82">
                  <c:v>-278</c:v>
                </c:pt>
                <c:pt idx="83">
                  <c:v>-278</c:v>
                </c:pt>
                <c:pt idx="84">
                  <c:v>-281</c:v>
                </c:pt>
                <c:pt idx="85">
                  <c:v>-281</c:v>
                </c:pt>
                <c:pt idx="86">
                  <c:v>-281</c:v>
                </c:pt>
                <c:pt idx="87">
                  <c:v>-281</c:v>
                </c:pt>
                <c:pt idx="88">
                  <c:v>-282</c:v>
                </c:pt>
                <c:pt idx="89">
                  <c:v>-282</c:v>
                </c:pt>
                <c:pt idx="90">
                  <c:v>-282</c:v>
                </c:pt>
                <c:pt idx="91">
                  <c:v>-282</c:v>
                </c:pt>
                <c:pt idx="92">
                  <c:v>-284</c:v>
                </c:pt>
                <c:pt idx="93">
                  <c:v>-284</c:v>
                </c:pt>
                <c:pt idx="94">
                  <c:v>-284</c:v>
                </c:pt>
                <c:pt idx="95">
                  <c:v>-287</c:v>
                </c:pt>
                <c:pt idx="96">
                  <c:v>-287</c:v>
                </c:pt>
                <c:pt idx="97">
                  <c:v>-287</c:v>
                </c:pt>
                <c:pt idx="98">
                  <c:v>-290</c:v>
                </c:pt>
                <c:pt idx="99">
                  <c:v>-290</c:v>
                </c:pt>
                <c:pt idx="100">
                  <c:v>-291</c:v>
                </c:pt>
                <c:pt idx="101">
                  <c:v>-293</c:v>
                </c:pt>
                <c:pt idx="102">
                  <c:v>-296</c:v>
                </c:pt>
                <c:pt idx="103">
                  <c:v>-300</c:v>
                </c:pt>
                <c:pt idx="104">
                  <c:v>-300</c:v>
                </c:pt>
                <c:pt idx="105">
                  <c:v>-303</c:v>
                </c:pt>
                <c:pt idx="106">
                  <c:v>-305</c:v>
                </c:pt>
                <c:pt idx="107">
                  <c:v>-309</c:v>
                </c:pt>
                <c:pt idx="108">
                  <c:v>-311</c:v>
                </c:pt>
                <c:pt idx="109">
                  <c:v>-311</c:v>
                </c:pt>
                <c:pt idx="110">
                  <c:v>-311</c:v>
                </c:pt>
                <c:pt idx="111">
                  <c:v>-313</c:v>
                </c:pt>
                <c:pt idx="112">
                  <c:v>-313</c:v>
                </c:pt>
                <c:pt idx="113">
                  <c:v>-313</c:v>
                </c:pt>
                <c:pt idx="114">
                  <c:v>-314</c:v>
                </c:pt>
                <c:pt idx="115">
                  <c:v>-314</c:v>
                </c:pt>
                <c:pt idx="116">
                  <c:v>-314</c:v>
                </c:pt>
                <c:pt idx="117">
                  <c:v>-317</c:v>
                </c:pt>
                <c:pt idx="118">
                  <c:v>-317</c:v>
                </c:pt>
                <c:pt idx="119">
                  <c:v>-321</c:v>
                </c:pt>
                <c:pt idx="120">
                  <c:v>-322</c:v>
                </c:pt>
                <c:pt idx="121">
                  <c:v>-322</c:v>
                </c:pt>
                <c:pt idx="122">
                  <c:v>-325</c:v>
                </c:pt>
                <c:pt idx="123">
                  <c:v>-325</c:v>
                </c:pt>
                <c:pt idx="124">
                  <c:v>-325</c:v>
                </c:pt>
                <c:pt idx="125">
                  <c:v>-329</c:v>
                </c:pt>
                <c:pt idx="126">
                  <c:v>-330</c:v>
                </c:pt>
                <c:pt idx="127">
                  <c:v>-330</c:v>
                </c:pt>
                <c:pt idx="128">
                  <c:v>-334</c:v>
                </c:pt>
                <c:pt idx="129">
                  <c:v>-334</c:v>
                </c:pt>
                <c:pt idx="130">
                  <c:v>-336</c:v>
                </c:pt>
                <c:pt idx="131">
                  <c:v>-336</c:v>
                </c:pt>
                <c:pt idx="132">
                  <c:v>-340</c:v>
                </c:pt>
                <c:pt idx="133">
                  <c:v>-340</c:v>
                </c:pt>
                <c:pt idx="134">
                  <c:v>-342</c:v>
                </c:pt>
                <c:pt idx="135">
                  <c:v>-342</c:v>
                </c:pt>
                <c:pt idx="136">
                  <c:v>-342</c:v>
                </c:pt>
                <c:pt idx="137">
                  <c:v>-345</c:v>
                </c:pt>
                <c:pt idx="138">
                  <c:v>-345</c:v>
                </c:pt>
                <c:pt idx="139">
                  <c:v>-347</c:v>
                </c:pt>
                <c:pt idx="140">
                  <c:v>-347</c:v>
                </c:pt>
                <c:pt idx="141">
                  <c:v>-347</c:v>
                </c:pt>
                <c:pt idx="142">
                  <c:v>-347</c:v>
                </c:pt>
                <c:pt idx="143">
                  <c:v>-347</c:v>
                </c:pt>
                <c:pt idx="144">
                  <c:v>-350</c:v>
                </c:pt>
                <c:pt idx="145">
                  <c:v>-350</c:v>
                </c:pt>
                <c:pt idx="146">
                  <c:v>-350</c:v>
                </c:pt>
                <c:pt idx="147">
                  <c:v>-350</c:v>
                </c:pt>
                <c:pt idx="148">
                  <c:v>-350</c:v>
                </c:pt>
                <c:pt idx="149">
                  <c:v>-352</c:v>
                </c:pt>
                <c:pt idx="150">
                  <c:v>-352</c:v>
                </c:pt>
                <c:pt idx="151">
                  <c:v>-356</c:v>
                </c:pt>
                <c:pt idx="152">
                  <c:v>-360</c:v>
                </c:pt>
                <c:pt idx="153">
                  <c:v>-363</c:v>
                </c:pt>
                <c:pt idx="154">
                  <c:v>-365</c:v>
                </c:pt>
                <c:pt idx="155">
                  <c:v>-365</c:v>
                </c:pt>
                <c:pt idx="156">
                  <c:v>-365</c:v>
                </c:pt>
                <c:pt idx="157">
                  <c:v>-365</c:v>
                </c:pt>
                <c:pt idx="158">
                  <c:v>-365</c:v>
                </c:pt>
                <c:pt idx="159">
                  <c:v>-365</c:v>
                </c:pt>
                <c:pt idx="160">
                  <c:v>-365</c:v>
                </c:pt>
                <c:pt idx="161">
                  <c:v>-367</c:v>
                </c:pt>
                <c:pt idx="162">
                  <c:v>-367</c:v>
                </c:pt>
                <c:pt idx="163">
                  <c:v>-367</c:v>
                </c:pt>
                <c:pt idx="164">
                  <c:v>-368</c:v>
                </c:pt>
                <c:pt idx="165">
                  <c:v>-369</c:v>
                </c:pt>
                <c:pt idx="166">
                  <c:v>-373</c:v>
                </c:pt>
                <c:pt idx="167">
                  <c:v>-374</c:v>
                </c:pt>
                <c:pt idx="168">
                  <c:v>-374</c:v>
                </c:pt>
                <c:pt idx="169">
                  <c:v>-375</c:v>
                </c:pt>
                <c:pt idx="170">
                  <c:v>-377</c:v>
                </c:pt>
                <c:pt idx="171">
                  <c:v>-379</c:v>
                </c:pt>
                <c:pt idx="172">
                  <c:v>-380</c:v>
                </c:pt>
                <c:pt idx="173">
                  <c:v>-380</c:v>
                </c:pt>
                <c:pt idx="174">
                  <c:v>-380</c:v>
                </c:pt>
                <c:pt idx="175">
                  <c:v>-380</c:v>
                </c:pt>
                <c:pt idx="176">
                  <c:v>-380</c:v>
                </c:pt>
                <c:pt idx="177">
                  <c:v>-380</c:v>
                </c:pt>
                <c:pt idx="178">
                  <c:v>-381</c:v>
                </c:pt>
                <c:pt idx="179">
                  <c:v>-381</c:v>
                </c:pt>
                <c:pt idx="180">
                  <c:v>-381</c:v>
                </c:pt>
                <c:pt idx="181">
                  <c:v>-390</c:v>
                </c:pt>
                <c:pt idx="182">
                  <c:v>-390</c:v>
                </c:pt>
                <c:pt idx="183">
                  <c:v>-399</c:v>
                </c:pt>
                <c:pt idx="184">
                  <c:v>-398</c:v>
                </c:pt>
                <c:pt idx="185">
                  <c:v>-408</c:v>
                </c:pt>
                <c:pt idx="186">
                  <c:v>-407</c:v>
                </c:pt>
                <c:pt idx="187">
                  <c:v>-417</c:v>
                </c:pt>
                <c:pt idx="188">
                  <c:v>-415</c:v>
                </c:pt>
                <c:pt idx="189">
                  <c:v>-425</c:v>
                </c:pt>
                <c:pt idx="190">
                  <c:v>-422</c:v>
                </c:pt>
                <c:pt idx="191">
                  <c:v>-433</c:v>
                </c:pt>
                <c:pt idx="192">
                  <c:v>-429</c:v>
                </c:pt>
                <c:pt idx="193">
                  <c:v>-440</c:v>
                </c:pt>
                <c:pt idx="194">
                  <c:v>-435</c:v>
                </c:pt>
                <c:pt idx="195">
                  <c:v>-447</c:v>
                </c:pt>
                <c:pt idx="196">
                  <c:v>-441</c:v>
                </c:pt>
                <c:pt idx="197">
                  <c:v>-454</c:v>
                </c:pt>
                <c:pt idx="198">
                  <c:v>-446</c:v>
                </c:pt>
                <c:pt idx="199">
                  <c:v>-460</c:v>
                </c:pt>
                <c:pt idx="200">
                  <c:v>-452</c:v>
                </c:pt>
                <c:pt idx="201">
                  <c:v>-465</c:v>
                </c:pt>
                <c:pt idx="202">
                  <c:v>-457</c:v>
                </c:pt>
                <c:pt idx="203">
                  <c:v>-471</c:v>
                </c:pt>
                <c:pt idx="204">
                  <c:v>-464</c:v>
                </c:pt>
                <c:pt idx="205">
                  <c:v>-478</c:v>
                </c:pt>
                <c:pt idx="206">
                  <c:v>-472</c:v>
                </c:pt>
                <c:pt idx="207">
                  <c:v>-484</c:v>
                </c:pt>
                <c:pt idx="208">
                  <c:v>-478</c:v>
                </c:pt>
                <c:pt idx="209">
                  <c:v>-490</c:v>
                </c:pt>
                <c:pt idx="210">
                  <c:v>-483</c:v>
                </c:pt>
                <c:pt idx="211">
                  <c:v>-496</c:v>
                </c:pt>
                <c:pt idx="212">
                  <c:v>-490</c:v>
                </c:pt>
                <c:pt idx="213">
                  <c:v>-501</c:v>
                </c:pt>
                <c:pt idx="214">
                  <c:v>-497</c:v>
                </c:pt>
                <c:pt idx="215">
                  <c:v>-505</c:v>
                </c:pt>
                <c:pt idx="216">
                  <c:v>-502</c:v>
                </c:pt>
                <c:pt idx="217">
                  <c:v>-509</c:v>
                </c:pt>
                <c:pt idx="218">
                  <c:v>-508</c:v>
                </c:pt>
                <c:pt idx="219">
                  <c:v>-513</c:v>
                </c:pt>
                <c:pt idx="220">
                  <c:v>-513</c:v>
                </c:pt>
                <c:pt idx="221">
                  <c:v>-518</c:v>
                </c:pt>
                <c:pt idx="222">
                  <c:v>-517</c:v>
                </c:pt>
                <c:pt idx="223">
                  <c:v>-522</c:v>
                </c:pt>
                <c:pt idx="224">
                  <c:v>-522</c:v>
                </c:pt>
                <c:pt idx="225">
                  <c:v>-528</c:v>
                </c:pt>
                <c:pt idx="226">
                  <c:v>-527</c:v>
                </c:pt>
                <c:pt idx="227">
                  <c:v>-532</c:v>
                </c:pt>
                <c:pt idx="228">
                  <c:v>-531</c:v>
                </c:pt>
                <c:pt idx="229">
                  <c:v>-539</c:v>
                </c:pt>
                <c:pt idx="230">
                  <c:v>-534</c:v>
                </c:pt>
                <c:pt idx="231">
                  <c:v>-542</c:v>
                </c:pt>
                <c:pt idx="232">
                  <c:v>-536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79-4D8D-8268-1DA8C96B5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475200"/>
        <c:axId val="586475776"/>
      </c:scatterChart>
      <c:scatterChart>
        <c:scatterStyle val="lineMarker"/>
        <c:varyColors val="0"/>
        <c:ser>
          <c:idx val="0"/>
          <c:order val="0"/>
          <c:tx>
            <c:strRef>
              <c:f>'Km83+860'!$AJ$8:$AJ$9</c:f>
              <c:strCache>
                <c:ptCount val="2"/>
                <c:pt idx="0">
                  <c:v>Cao độ nền đường</c:v>
                </c:pt>
              </c:strCache>
            </c:strRef>
          </c:tx>
          <c:marker>
            <c:symbol val="diamond"/>
            <c:size val="2"/>
            <c:spPr>
              <a:solidFill>
                <a:srgbClr val="000080"/>
              </a:solidFill>
              <a:ln w="12700">
                <a:solidFill>
                  <a:srgbClr val="000080"/>
                </a:solidFill>
                <a:prstDash val="solid"/>
              </a:ln>
            </c:spPr>
          </c:marker>
          <c:xVal>
            <c:numRef>
              <c:f>'Km83+860'!$B$11:$B$327</c:f>
              <c:numCache>
                <c:formatCode>[$-1010000]d/m/yyyy;@</c:formatCode>
                <c:ptCount val="317"/>
                <c:pt idx="0">
                  <c:v>45576</c:v>
                </c:pt>
                <c:pt idx="1">
                  <c:v>45577</c:v>
                </c:pt>
                <c:pt idx="2">
                  <c:v>45578</c:v>
                </c:pt>
                <c:pt idx="3">
                  <c:v>45579</c:v>
                </c:pt>
                <c:pt idx="4">
                  <c:v>45580</c:v>
                </c:pt>
                <c:pt idx="5">
                  <c:v>45581</c:v>
                </c:pt>
                <c:pt idx="6">
                  <c:v>45582</c:v>
                </c:pt>
                <c:pt idx="7">
                  <c:v>45583</c:v>
                </c:pt>
                <c:pt idx="8">
                  <c:v>45584</c:v>
                </c:pt>
                <c:pt idx="9">
                  <c:v>45585</c:v>
                </c:pt>
                <c:pt idx="10">
                  <c:v>45586</c:v>
                </c:pt>
                <c:pt idx="11">
                  <c:v>45587</c:v>
                </c:pt>
                <c:pt idx="12">
                  <c:v>45588</c:v>
                </c:pt>
                <c:pt idx="13">
                  <c:v>45589</c:v>
                </c:pt>
                <c:pt idx="14">
                  <c:v>45590</c:v>
                </c:pt>
                <c:pt idx="15">
                  <c:v>45591</c:v>
                </c:pt>
                <c:pt idx="16">
                  <c:v>45592</c:v>
                </c:pt>
                <c:pt idx="17">
                  <c:v>45593</c:v>
                </c:pt>
                <c:pt idx="18">
                  <c:v>45594</c:v>
                </c:pt>
                <c:pt idx="19">
                  <c:v>45595</c:v>
                </c:pt>
                <c:pt idx="20">
                  <c:v>45596</c:v>
                </c:pt>
                <c:pt idx="21">
                  <c:v>45597</c:v>
                </c:pt>
                <c:pt idx="22">
                  <c:v>45598</c:v>
                </c:pt>
                <c:pt idx="23">
                  <c:v>45599</c:v>
                </c:pt>
                <c:pt idx="24">
                  <c:v>45600</c:v>
                </c:pt>
                <c:pt idx="25">
                  <c:v>45601</c:v>
                </c:pt>
                <c:pt idx="26">
                  <c:v>45602</c:v>
                </c:pt>
                <c:pt idx="27">
                  <c:v>45603</c:v>
                </c:pt>
                <c:pt idx="28">
                  <c:v>45604</c:v>
                </c:pt>
                <c:pt idx="29">
                  <c:v>45605</c:v>
                </c:pt>
                <c:pt idx="30">
                  <c:v>45606</c:v>
                </c:pt>
                <c:pt idx="31">
                  <c:v>45607</c:v>
                </c:pt>
                <c:pt idx="32">
                  <c:v>45608</c:v>
                </c:pt>
                <c:pt idx="33">
                  <c:v>45609</c:v>
                </c:pt>
                <c:pt idx="34">
                  <c:v>45610</c:v>
                </c:pt>
                <c:pt idx="35">
                  <c:v>45611</c:v>
                </c:pt>
                <c:pt idx="36">
                  <c:v>45612</c:v>
                </c:pt>
                <c:pt idx="37">
                  <c:v>45613</c:v>
                </c:pt>
                <c:pt idx="38">
                  <c:v>45614</c:v>
                </c:pt>
                <c:pt idx="39">
                  <c:v>45615</c:v>
                </c:pt>
                <c:pt idx="40">
                  <c:v>45616</c:v>
                </c:pt>
                <c:pt idx="41">
                  <c:v>45617</c:v>
                </c:pt>
                <c:pt idx="42">
                  <c:v>45618</c:v>
                </c:pt>
                <c:pt idx="43">
                  <c:v>45619</c:v>
                </c:pt>
                <c:pt idx="44">
                  <c:v>45620</c:v>
                </c:pt>
                <c:pt idx="45">
                  <c:v>45621</c:v>
                </c:pt>
                <c:pt idx="46">
                  <c:v>45622</c:v>
                </c:pt>
                <c:pt idx="47">
                  <c:v>45623</c:v>
                </c:pt>
                <c:pt idx="48">
                  <c:v>45624</c:v>
                </c:pt>
                <c:pt idx="49">
                  <c:v>45625</c:v>
                </c:pt>
                <c:pt idx="50">
                  <c:v>45626</c:v>
                </c:pt>
                <c:pt idx="51">
                  <c:v>45627</c:v>
                </c:pt>
                <c:pt idx="52">
                  <c:v>45628</c:v>
                </c:pt>
                <c:pt idx="53">
                  <c:v>45629</c:v>
                </c:pt>
                <c:pt idx="54">
                  <c:v>45630</c:v>
                </c:pt>
                <c:pt idx="55">
                  <c:v>45631</c:v>
                </c:pt>
                <c:pt idx="56">
                  <c:v>45632</c:v>
                </c:pt>
                <c:pt idx="57">
                  <c:v>45633</c:v>
                </c:pt>
                <c:pt idx="58">
                  <c:v>45634</c:v>
                </c:pt>
                <c:pt idx="59">
                  <c:v>45635</c:v>
                </c:pt>
                <c:pt idx="60">
                  <c:v>45636</c:v>
                </c:pt>
                <c:pt idx="61">
                  <c:v>45637</c:v>
                </c:pt>
                <c:pt idx="62">
                  <c:v>45638</c:v>
                </c:pt>
                <c:pt idx="63">
                  <c:v>45639</c:v>
                </c:pt>
                <c:pt idx="64">
                  <c:v>45640</c:v>
                </c:pt>
                <c:pt idx="65">
                  <c:v>45641</c:v>
                </c:pt>
                <c:pt idx="66">
                  <c:v>45642</c:v>
                </c:pt>
                <c:pt idx="67">
                  <c:v>45643</c:v>
                </c:pt>
                <c:pt idx="68">
                  <c:v>45644</c:v>
                </c:pt>
                <c:pt idx="69">
                  <c:v>45645</c:v>
                </c:pt>
                <c:pt idx="70">
                  <c:v>45646</c:v>
                </c:pt>
                <c:pt idx="71">
                  <c:v>45647</c:v>
                </c:pt>
                <c:pt idx="72">
                  <c:v>45648</c:v>
                </c:pt>
                <c:pt idx="73">
                  <c:v>45649</c:v>
                </c:pt>
                <c:pt idx="74">
                  <c:v>45650</c:v>
                </c:pt>
                <c:pt idx="75">
                  <c:v>45651</c:v>
                </c:pt>
                <c:pt idx="76">
                  <c:v>45652</c:v>
                </c:pt>
                <c:pt idx="77">
                  <c:v>45653</c:v>
                </c:pt>
                <c:pt idx="78">
                  <c:v>45654</c:v>
                </c:pt>
                <c:pt idx="79">
                  <c:v>45655</c:v>
                </c:pt>
                <c:pt idx="80">
                  <c:v>45656</c:v>
                </c:pt>
                <c:pt idx="81">
                  <c:v>45657</c:v>
                </c:pt>
                <c:pt idx="82">
                  <c:v>45658</c:v>
                </c:pt>
                <c:pt idx="83">
                  <c:v>45659</c:v>
                </c:pt>
                <c:pt idx="84">
                  <c:v>45660</c:v>
                </c:pt>
                <c:pt idx="85">
                  <c:v>45661</c:v>
                </c:pt>
                <c:pt idx="86">
                  <c:v>45662</c:v>
                </c:pt>
                <c:pt idx="87">
                  <c:v>45663</c:v>
                </c:pt>
                <c:pt idx="88">
                  <c:v>45664</c:v>
                </c:pt>
                <c:pt idx="89">
                  <c:v>45665</c:v>
                </c:pt>
                <c:pt idx="90">
                  <c:v>45666</c:v>
                </c:pt>
                <c:pt idx="91">
                  <c:v>45667</c:v>
                </c:pt>
                <c:pt idx="92">
                  <c:v>45668</c:v>
                </c:pt>
                <c:pt idx="93">
                  <c:v>45669</c:v>
                </c:pt>
                <c:pt idx="94">
                  <c:v>45670</c:v>
                </c:pt>
                <c:pt idx="95">
                  <c:v>45671</c:v>
                </c:pt>
                <c:pt idx="96">
                  <c:v>45672</c:v>
                </c:pt>
                <c:pt idx="97">
                  <c:v>45673</c:v>
                </c:pt>
                <c:pt idx="98">
                  <c:v>45674</c:v>
                </c:pt>
                <c:pt idx="99">
                  <c:v>45675</c:v>
                </c:pt>
                <c:pt idx="100">
                  <c:v>45676</c:v>
                </c:pt>
                <c:pt idx="101">
                  <c:v>45677</c:v>
                </c:pt>
                <c:pt idx="102">
                  <c:v>45678</c:v>
                </c:pt>
                <c:pt idx="103">
                  <c:v>45679</c:v>
                </c:pt>
                <c:pt idx="104">
                  <c:v>45680</c:v>
                </c:pt>
                <c:pt idx="105">
                  <c:v>45681</c:v>
                </c:pt>
                <c:pt idx="106">
                  <c:v>45682</c:v>
                </c:pt>
                <c:pt idx="107">
                  <c:v>45683</c:v>
                </c:pt>
                <c:pt idx="108">
                  <c:v>45684</c:v>
                </c:pt>
                <c:pt idx="109">
                  <c:v>45685</c:v>
                </c:pt>
                <c:pt idx="110">
                  <c:v>45686</c:v>
                </c:pt>
                <c:pt idx="111">
                  <c:v>45687</c:v>
                </c:pt>
                <c:pt idx="112">
                  <c:v>45688</c:v>
                </c:pt>
                <c:pt idx="113">
                  <c:v>45689</c:v>
                </c:pt>
                <c:pt idx="114">
                  <c:v>45690</c:v>
                </c:pt>
                <c:pt idx="115">
                  <c:v>45691</c:v>
                </c:pt>
                <c:pt idx="116">
                  <c:v>45692</c:v>
                </c:pt>
                <c:pt idx="117">
                  <c:v>45693</c:v>
                </c:pt>
                <c:pt idx="118">
                  <c:v>45694</c:v>
                </c:pt>
                <c:pt idx="119">
                  <c:v>45695</c:v>
                </c:pt>
                <c:pt idx="120">
                  <c:v>45696</c:v>
                </c:pt>
                <c:pt idx="121">
                  <c:v>45697</c:v>
                </c:pt>
                <c:pt idx="122">
                  <c:v>45698</c:v>
                </c:pt>
                <c:pt idx="123">
                  <c:v>45699</c:v>
                </c:pt>
                <c:pt idx="124">
                  <c:v>45700</c:v>
                </c:pt>
                <c:pt idx="125">
                  <c:v>45701</c:v>
                </c:pt>
                <c:pt idx="126">
                  <c:v>45702</c:v>
                </c:pt>
                <c:pt idx="127">
                  <c:v>45703</c:v>
                </c:pt>
                <c:pt idx="128">
                  <c:v>45704</c:v>
                </c:pt>
                <c:pt idx="129">
                  <c:v>45705</c:v>
                </c:pt>
                <c:pt idx="130">
                  <c:v>45706</c:v>
                </c:pt>
                <c:pt idx="131">
                  <c:v>45707</c:v>
                </c:pt>
                <c:pt idx="132">
                  <c:v>45708</c:v>
                </c:pt>
                <c:pt idx="133">
                  <c:v>45709</c:v>
                </c:pt>
                <c:pt idx="134">
                  <c:v>45710</c:v>
                </c:pt>
                <c:pt idx="135">
                  <c:v>45711</c:v>
                </c:pt>
                <c:pt idx="136">
                  <c:v>45712</c:v>
                </c:pt>
                <c:pt idx="137">
                  <c:v>45713</c:v>
                </c:pt>
                <c:pt idx="138">
                  <c:v>45714</c:v>
                </c:pt>
                <c:pt idx="139">
                  <c:v>45715</c:v>
                </c:pt>
                <c:pt idx="140">
                  <c:v>45716</c:v>
                </c:pt>
                <c:pt idx="141">
                  <c:v>45717</c:v>
                </c:pt>
                <c:pt idx="142">
                  <c:v>45718</c:v>
                </c:pt>
                <c:pt idx="143">
                  <c:v>45719</c:v>
                </c:pt>
                <c:pt idx="144">
                  <c:v>45720</c:v>
                </c:pt>
                <c:pt idx="145">
                  <c:v>45721</c:v>
                </c:pt>
                <c:pt idx="146">
                  <c:v>45722</c:v>
                </c:pt>
                <c:pt idx="147">
                  <c:v>45723</c:v>
                </c:pt>
                <c:pt idx="148">
                  <c:v>45724</c:v>
                </c:pt>
                <c:pt idx="149">
                  <c:v>45725</c:v>
                </c:pt>
                <c:pt idx="150">
                  <c:v>45726</c:v>
                </c:pt>
                <c:pt idx="151">
                  <c:v>45727</c:v>
                </c:pt>
                <c:pt idx="152">
                  <c:v>45728</c:v>
                </c:pt>
                <c:pt idx="153">
                  <c:v>45729</c:v>
                </c:pt>
                <c:pt idx="154">
                  <c:v>45730</c:v>
                </c:pt>
                <c:pt idx="155">
                  <c:v>45731</c:v>
                </c:pt>
                <c:pt idx="156">
                  <c:v>45732</c:v>
                </c:pt>
                <c:pt idx="157">
                  <c:v>45733</c:v>
                </c:pt>
                <c:pt idx="158">
                  <c:v>45734</c:v>
                </c:pt>
                <c:pt idx="159">
                  <c:v>45735</c:v>
                </c:pt>
                <c:pt idx="160">
                  <c:v>45736</c:v>
                </c:pt>
                <c:pt idx="161">
                  <c:v>45737</c:v>
                </c:pt>
                <c:pt idx="162">
                  <c:v>45738</c:v>
                </c:pt>
                <c:pt idx="163">
                  <c:v>45739</c:v>
                </c:pt>
                <c:pt idx="164">
                  <c:v>45740</c:v>
                </c:pt>
                <c:pt idx="165">
                  <c:v>45741</c:v>
                </c:pt>
                <c:pt idx="166">
                  <c:v>45742</c:v>
                </c:pt>
                <c:pt idx="167">
                  <c:v>45743</c:v>
                </c:pt>
                <c:pt idx="168">
                  <c:v>45744</c:v>
                </c:pt>
                <c:pt idx="169">
                  <c:v>45745</c:v>
                </c:pt>
                <c:pt idx="170">
                  <c:v>45746</c:v>
                </c:pt>
                <c:pt idx="171">
                  <c:v>45747</c:v>
                </c:pt>
                <c:pt idx="172">
                  <c:v>45748</c:v>
                </c:pt>
                <c:pt idx="173">
                  <c:v>45749</c:v>
                </c:pt>
                <c:pt idx="174">
                  <c:v>45750</c:v>
                </c:pt>
                <c:pt idx="175">
                  <c:v>45751</c:v>
                </c:pt>
                <c:pt idx="176">
                  <c:v>45752</c:v>
                </c:pt>
                <c:pt idx="177">
                  <c:v>45753</c:v>
                </c:pt>
                <c:pt idx="178">
                  <c:v>45754</c:v>
                </c:pt>
                <c:pt idx="179">
                  <c:v>45755</c:v>
                </c:pt>
                <c:pt idx="180">
                  <c:v>45756</c:v>
                </c:pt>
                <c:pt idx="181">
                  <c:v>45757</c:v>
                </c:pt>
                <c:pt idx="182">
                  <c:v>45758</c:v>
                </c:pt>
                <c:pt idx="183">
                  <c:v>45759</c:v>
                </c:pt>
                <c:pt idx="184">
                  <c:v>45760</c:v>
                </c:pt>
                <c:pt idx="185">
                  <c:v>45761</c:v>
                </c:pt>
                <c:pt idx="186">
                  <c:v>45762</c:v>
                </c:pt>
                <c:pt idx="187">
                  <c:v>45763</c:v>
                </c:pt>
                <c:pt idx="188">
                  <c:v>45764</c:v>
                </c:pt>
                <c:pt idx="189">
                  <c:v>45765</c:v>
                </c:pt>
                <c:pt idx="190">
                  <c:v>45766</c:v>
                </c:pt>
                <c:pt idx="191">
                  <c:v>45767</c:v>
                </c:pt>
                <c:pt idx="192">
                  <c:v>45768</c:v>
                </c:pt>
                <c:pt idx="193">
                  <c:v>45769</c:v>
                </c:pt>
                <c:pt idx="194">
                  <c:v>45770</c:v>
                </c:pt>
                <c:pt idx="195">
                  <c:v>45771</c:v>
                </c:pt>
                <c:pt idx="196">
                  <c:v>45772</c:v>
                </c:pt>
                <c:pt idx="197">
                  <c:v>45773</c:v>
                </c:pt>
                <c:pt idx="198">
                  <c:v>45774</c:v>
                </c:pt>
                <c:pt idx="199">
                  <c:v>45775</c:v>
                </c:pt>
                <c:pt idx="200">
                  <c:v>45776</c:v>
                </c:pt>
                <c:pt idx="201">
                  <c:v>45777</c:v>
                </c:pt>
                <c:pt idx="202">
                  <c:v>45778</c:v>
                </c:pt>
                <c:pt idx="203">
                  <c:v>45779</c:v>
                </c:pt>
                <c:pt idx="204">
                  <c:v>45780</c:v>
                </c:pt>
                <c:pt idx="205">
                  <c:v>45781</c:v>
                </c:pt>
                <c:pt idx="206">
                  <c:v>45782</c:v>
                </c:pt>
                <c:pt idx="207">
                  <c:v>45783</c:v>
                </c:pt>
                <c:pt idx="208">
                  <c:v>45784</c:v>
                </c:pt>
                <c:pt idx="209">
                  <c:v>45785</c:v>
                </c:pt>
                <c:pt idx="210">
                  <c:v>45786</c:v>
                </c:pt>
                <c:pt idx="211">
                  <c:v>45787</c:v>
                </c:pt>
                <c:pt idx="212">
                  <c:v>45788</c:v>
                </c:pt>
                <c:pt idx="213">
                  <c:v>45789</c:v>
                </c:pt>
                <c:pt idx="214">
                  <c:v>45790</c:v>
                </c:pt>
                <c:pt idx="215">
                  <c:v>45791</c:v>
                </c:pt>
                <c:pt idx="216">
                  <c:v>45792</c:v>
                </c:pt>
                <c:pt idx="217">
                  <c:v>45793</c:v>
                </c:pt>
                <c:pt idx="218">
                  <c:v>45794</c:v>
                </c:pt>
                <c:pt idx="219">
                  <c:v>45795</c:v>
                </c:pt>
                <c:pt idx="220">
                  <c:v>45796</c:v>
                </c:pt>
                <c:pt idx="221">
                  <c:v>45797</c:v>
                </c:pt>
                <c:pt idx="222">
                  <c:v>45798</c:v>
                </c:pt>
                <c:pt idx="223">
                  <c:v>45799</c:v>
                </c:pt>
                <c:pt idx="224">
                  <c:v>45800</c:v>
                </c:pt>
                <c:pt idx="225">
                  <c:v>45801</c:v>
                </c:pt>
                <c:pt idx="226">
                  <c:v>45802</c:v>
                </c:pt>
                <c:pt idx="227">
                  <c:v>45803</c:v>
                </c:pt>
                <c:pt idx="228">
                  <c:v>45804</c:v>
                </c:pt>
                <c:pt idx="229">
                  <c:v>45805</c:v>
                </c:pt>
                <c:pt idx="230">
                  <c:v>45806</c:v>
                </c:pt>
                <c:pt idx="231">
                  <c:v>45807</c:v>
                </c:pt>
                <c:pt idx="232">
                  <c:v>45808</c:v>
                </c:pt>
              </c:numCache>
            </c:numRef>
          </c:xVal>
          <c:yVal>
            <c:numRef>
              <c:f>'Km83+860'!$AJ$11:$AJ$327</c:f>
              <c:numCache>
                <c:formatCode>0.000</c:formatCode>
                <c:ptCount val="317"/>
                <c:pt idx="0">
                  <c:v>0.59899999999999998</c:v>
                </c:pt>
                <c:pt idx="1">
                  <c:v>0.89500000000000002</c:v>
                </c:pt>
                <c:pt idx="2">
                  <c:v>0.89200000000000002</c:v>
                </c:pt>
                <c:pt idx="3">
                  <c:v>0.88400000000000001</c:v>
                </c:pt>
                <c:pt idx="4">
                  <c:v>0.877</c:v>
                </c:pt>
                <c:pt idx="5">
                  <c:v>0.86799999999999999</c:v>
                </c:pt>
                <c:pt idx="6">
                  <c:v>1.1599999999999999</c:v>
                </c:pt>
                <c:pt idx="7">
                  <c:v>1.1519999999999999</c:v>
                </c:pt>
                <c:pt idx="8">
                  <c:v>1.1439999999999999</c:v>
                </c:pt>
                <c:pt idx="9">
                  <c:v>1.137</c:v>
                </c:pt>
                <c:pt idx="10">
                  <c:v>1.1300000000000001</c:v>
                </c:pt>
                <c:pt idx="11">
                  <c:v>1.4240000000000002</c:v>
                </c:pt>
                <c:pt idx="12">
                  <c:v>1.4180000000000001</c:v>
                </c:pt>
                <c:pt idx="13">
                  <c:v>1.4130000000000003</c:v>
                </c:pt>
                <c:pt idx="14">
                  <c:v>1.4080000000000004</c:v>
                </c:pt>
                <c:pt idx="15">
                  <c:v>1.7000000000000004</c:v>
                </c:pt>
                <c:pt idx="16">
                  <c:v>1.6920000000000004</c:v>
                </c:pt>
                <c:pt idx="17">
                  <c:v>1.6840000000000004</c:v>
                </c:pt>
                <c:pt idx="18">
                  <c:v>1.6760000000000004</c:v>
                </c:pt>
                <c:pt idx="19">
                  <c:v>1.6680000000000004</c:v>
                </c:pt>
                <c:pt idx="20">
                  <c:v>1.6600000000000004</c:v>
                </c:pt>
                <c:pt idx="21">
                  <c:v>1.6520000000000004</c:v>
                </c:pt>
                <c:pt idx="22">
                  <c:v>1.6440000000000003</c:v>
                </c:pt>
                <c:pt idx="23">
                  <c:v>1.6360000000000003</c:v>
                </c:pt>
                <c:pt idx="24">
                  <c:v>1.6280000000000003</c:v>
                </c:pt>
                <c:pt idx="25">
                  <c:v>1.6200000000000003</c:v>
                </c:pt>
                <c:pt idx="26">
                  <c:v>1.6130000000000004</c:v>
                </c:pt>
                <c:pt idx="27">
                  <c:v>1.6060000000000005</c:v>
                </c:pt>
                <c:pt idx="28">
                  <c:v>1.5990000000000006</c:v>
                </c:pt>
                <c:pt idx="29">
                  <c:v>1.5920000000000007</c:v>
                </c:pt>
                <c:pt idx="30">
                  <c:v>1.5850000000000009</c:v>
                </c:pt>
                <c:pt idx="31">
                  <c:v>1.578000000000001</c:v>
                </c:pt>
                <c:pt idx="32">
                  <c:v>1.572000000000001</c:v>
                </c:pt>
                <c:pt idx="33">
                  <c:v>1.5660000000000009</c:v>
                </c:pt>
                <c:pt idx="34">
                  <c:v>1.5600000000000009</c:v>
                </c:pt>
                <c:pt idx="35">
                  <c:v>1.5540000000000009</c:v>
                </c:pt>
                <c:pt idx="36">
                  <c:v>1.5480000000000009</c:v>
                </c:pt>
                <c:pt idx="37">
                  <c:v>1.543000000000001</c:v>
                </c:pt>
                <c:pt idx="38">
                  <c:v>1.5380000000000011</c:v>
                </c:pt>
                <c:pt idx="39">
                  <c:v>1.5330000000000013</c:v>
                </c:pt>
                <c:pt idx="40">
                  <c:v>1.5280000000000014</c:v>
                </c:pt>
                <c:pt idx="41">
                  <c:v>1.5230000000000015</c:v>
                </c:pt>
                <c:pt idx="42">
                  <c:v>1.5180000000000016</c:v>
                </c:pt>
                <c:pt idx="43">
                  <c:v>1.5130000000000017</c:v>
                </c:pt>
                <c:pt idx="44">
                  <c:v>1.5090000000000017</c:v>
                </c:pt>
                <c:pt idx="45">
                  <c:v>1.5050000000000017</c:v>
                </c:pt>
                <c:pt idx="46">
                  <c:v>1.5010000000000017</c:v>
                </c:pt>
                <c:pt idx="47">
                  <c:v>1.4970000000000017</c:v>
                </c:pt>
                <c:pt idx="48">
                  <c:v>1.4940000000000018</c:v>
                </c:pt>
                <c:pt idx="49">
                  <c:v>1.4910000000000019</c:v>
                </c:pt>
                <c:pt idx="50">
                  <c:v>1.488000000000002</c:v>
                </c:pt>
                <c:pt idx="51">
                  <c:v>1.486000000000002</c:v>
                </c:pt>
                <c:pt idx="52">
                  <c:v>1.484000000000002</c:v>
                </c:pt>
                <c:pt idx="53">
                  <c:v>1.482000000000002</c:v>
                </c:pt>
                <c:pt idx="54">
                  <c:v>1.480000000000002</c:v>
                </c:pt>
                <c:pt idx="55">
                  <c:v>1.4790000000000021</c:v>
                </c:pt>
                <c:pt idx="56">
                  <c:v>1.4780000000000022</c:v>
                </c:pt>
                <c:pt idx="57">
                  <c:v>1.4770000000000023</c:v>
                </c:pt>
                <c:pt idx="58">
                  <c:v>1.4740000000000024</c:v>
                </c:pt>
                <c:pt idx="59">
                  <c:v>1.4720000000000024</c:v>
                </c:pt>
                <c:pt idx="60">
                  <c:v>1.4700000000000024</c:v>
                </c:pt>
                <c:pt idx="61">
                  <c:v>1.4680000000000024</c:v>
                </c:pt>
                <c:pt idx="62">
                  <c:v>1.4660000000000024</c:v>
                </c:pt>
                <c:pt idx="63">
                  <c:v>1.4650000000000025</c:v>
                </c:pt>
                <c:pt idx="64">
                  <c:v>1.4640000000000026</c:v>
                </c:pt>
                <c:pt idx="65">
                  <c:v>1.4630000000000027</c:v>
                </c:pt>
                <c:pt idx="66">
                  <c:v>1.4620000000000029</c:v>
                </c:pt>
                <c:pt idx="67">
                  <c:v>1.461000000000003</c:v>
                </c:pt>
                <c:pt idx="68">
                  <c:v>1.4600000000000031</c:v>
                </c:pt>
                <c:pt idx="69">
                  <c:v>1.4590000000000032</c:v>
                </c:pt>
                <c:pt idx="70">
                  <c:v>1.4590000000000032</c:v>
                </c:pt>
                <c:pt idx="71">
                  <c:v>1.4590000000000032</c:v>
                </c:pt>
                <c:pt idx="72">
                  <c:v>1.4570000000000032</c:v>
                </c:pt>
                <c:pt idx="73">
                  <c:v>1.4570000000000032</c:v>
                </c:pt>
                <c:pt idx="74">
                  <c:v>1.4540000000000033</c:v>
                </c:pt>
                <c:pt idx="75">
                  <c:v>1.4540000000000033</c:v>
                </c:pt>
                <c:pt idx="76">
                  <c:v>1.4530000000000034</c:v>
                </c:pt>
                <c:pt idx="77">
                  <c:v>1.4520000000000035</c:v>
                </c:pt>
                <c:pt idx="78">
                  <c:v>1.4520000000000035</c:v>
                </c:pt>
                <c:pt idx="79">
                  <c:v>1.4520000000000035</c:v>
                </c:pt>
                <c:pt idx="80">
                  <c:v>1.4490000000000036</c:v>
                </c:pt>
                <c:pt idx="81">
                  <c:v>1.4480000000000037</c:v>
                </c:pt>
                <c:pt idx="82">
                  <c:v>1.4480000000000037</c:v>
                </c:pt>
                <c:pt idx="83">
                  <c:v>1.4470000000000038</c:v>
                </c:pt>
                <c:pt idx="84">
                  <c:v>1.4470000000000038</c:v>
                </c:pt>
                <c:pt idx="85">
                  <c:v>1.4460000000000039</c:v>
                </c:pt>
                <c:pt idx="86">
                  <c:v>1.4450000000000041</c:v>
                </c:pt>
                <c:pt idx="87">
                  <c:v>1.4450000000000041</c:v>
                </c:pt>
                <c:pt idx="88">
                  <c:v>1.4440000000000042</c:v>
                </c:pt>
                <c:pt idx="89">
                  <c:v>1.4430000000000043</c:v>
                </c:pt>
                <c:pt idx="90">
                  <c:v>1.4430000000000043</c:v>
                </c:pt>
                <c:pt idx="91">
                  <c:v>1.4420000000000044</c:v>
                </c:pt>
                <c:pt idx="92">
                  <c:v>1.4420000000000044</c:v>
                </c:pt>
                <c:pt idx="93">
                  <c:v>1.4420000000000044</c:v>
                </c:pt>
                <c:pt idx="94">
                  <c:v>1.4410000000000045</c:v>
                </c:pt>
                <c:pt idx="95">
                  <c:v>1.4410000000000045</c:v>
                </c:pt>
                <c:pt idx="96">
                  <c:v>1.4410000000000045</c:v>
                </c:pt>
                <c:pt idx="97">
                  <c:v>1.4400000000000046</c:v>
                </c:pt>
                <c:pt idx="98">
                  <c:v>1.4400000000000046</c:v>
                </c:pt>
                <c:pt idx="99">
                  <c:v>1.4390000000000047</c:v>
                </c:pt>
                <c:pt idx="100">
                  <c:v>1.4390000000000047</c:v>
                </c:pt>
                <c:pt idx="101">
                  <c:v>1.4380000000000048</c:v>
                </c:pt>
                <c:pt idx="102">
                  <c:v>1.4380000000000048</c:v>
                </c:pt>
                <c:pt idx="103">
                  <c:v>1.4370000000000049</c:v>
                </c:pt>
                <c:pt idx="104">
                  <c:v>1.434000000000005</c:v>
                </c:pt>
                <c:pt idx="105">
                  <c:v>1.4330000000000052</c:v>
                </c:pt>
                <c:pt idx="106">
                  <c:v>1.4330000000000052</c:v>
                </c:pt>
                <c:pt idx="107">
                  <c:v>1.4330000000000052</c:v>
                </c:pt>
                <c:pt idx="108">
                  <c:v>1.4330000000000052</c:v>
                </c:pt>
                <c:pt idx="109">
                  <c:v>1.4320000000000053</c:v>
                </c:pt>
                <c:pt idx="110">
                  <c:v>1.4320000000000053</c:v>
                </c:pt>
                <c:pt idx="111">
                  <c:v>1.4310000000000054</c:v>
                </c:pt>
                <c:pt idx="112">
                  <c:v>1.4310000000000054</c:v>
                </c:pt>
                <c:pt idx="113">
                  <c:v>1.4300000000000055</c:v>
                </c:pt>
                <c:pt idx="114">
                  <c:v>1.4290000000000056</c:v>
                </c:pt>
                <c:pt idx="115">
                  <c:v>1.4290000000000056</c:v>
                </c:pt>
                <c:pt idx="116">
                  <c:v>1.4260000000000057</c:v>
                </c:pt>
                <c:pt idx="117">
                  <c:v>1.4250000000000058</c:v>
                </c:pt>
                <c:pt idx="118">
                  <c:v>1.4220000000000059</c:v>
                </c:pt>
                <c:pt idx="119">
                  <c:v>1.421000000000006</c:v>
                </c:pt>
                <c:pt idx="120">
                  <c:v>1.421000000000006</c:v>
                </c:pt>
                <c:pt idx="121">
                  <c:v>1.417000000000006</c:v>
                </c:pt>
                <c:pt idx="122">
                  <c:v>1.4160000000000061</c:v>
                </c:pt>
                <c:pt idx="123">
                  <c:v>1.4160000000000061</c:v>
                </c:pt>
                <c:pt idx="124">
                  <c:v>1.4130000000000063</c:v>
                </c:pt>
                <c:pt idx="125">
                  <c:v>1.4120000000000064</c:v>
                </c:pt>
                <c:pt idx="126">
                  <c:v>1.4120000000000064</c:v>
                </c:pt>
                <c:pt idx="127">
                  <c:v>1.4090000000000065</c:v>
                </c:pt>
                <c:pt idx="128">
                  <c:v>1.4090000000000065</c:v>
                </c:pt>
                <c:pt idx="129">
                  <c:v>1.4080000000000066</c:v>
                </c:pt>
                <c:pt idx="130">
                  <c:v>1.4080000000000066</c:v>
                </c:pt>
                <c:pt idx="131">
                  <c:v>1.4040000000000066</c:v>
                </c:pt>
                <c:pt idx="132">
                  <c:v>1.4040000000000066</c:v>
                </c:pt>
                <c:pt idx="133">
                  <c:v>1.4000000000000066</c:v>
                </c:pt>
                <c:pt idx="134">
                  <c:v>1.4000000000000066</c:v>
                </c:pt>
                <c:pt idx="135">
                  <c:v>1.3970000000000067</c:v>
                </c:pt>
                <c:pt idx="136">
                  <c:v>1.3970000000000067</c:v>
                </c:pt>
                <c:pt idx="137">
                  <c:v>1.3940000000000068</c:v>
                </c:pt>
                <c:pt idx="138">
                  <c:v>1.3930000000000069</c:v>
                </c:pt>
                <c:pt idx="139">
                  <c:v>1.3930000000000069</c:v>
                </c:pt>
                <c:pt idx="140">
                  <c:v>1.3930000000000069</c:v>
                </c:pt>
                <c:pt idx="141">
                  <c:v>1.3930000000000069</c:v>
                </c:pt>
                <c:pt idx="142">
                  <c:v>1.3930000000000069</c:v>
                </c:pt>
                <c:pt idx="143">
                  <c:v>1.3910000000000069</c:v>
                </c:pt>
                <c:pt idx="144">
                  <c:v>1.3910000000000069</c:v>
                </c:pt>
                <c:pt idx="145">
                  <c:v>1.388000000000007</c:v>
                </c:pt>
                <c:pt idx="146">
                  <c:v>1.388000000000007</c:v>
                </c:pt>
                <c:pt idx="147">
                  <c:v>1.3870000000000071</c:v>
                </c:pt>
                <c:pt idx="148">
                  <c:v>1.3840000000000072</c:v>
                </c:pt>
                <c:pt idx="149">
                  <c:v>1.3830000000000073</c:v>
                </c:pt>
                <c:pt idx="150">
                  <c:v>1.3790000000000073</c:v>
                </c:pt>
                <c:pt idx="151">
                  <c:v>1.3790000000000073</c:v>
                </c:pt>
                <c:pt idx="152">
                  <c:v>1.3780000000000074</c:v>
                </c:pt>
                <c:pt idx="153">
                  <c:v>1.3750000000000075</c:v>
                </c:pt>
                <c:pt idx="154">
                  <c:v>1.3720000000000077</c:v>
                </c:pt>
                <c:pt idx="155">
                  <c:v>1.3710000000000078</c:v>
                </c:pt>
                <c:pt idx="156">
                  <c:v>1.3690000000000078</c:v>
                </c:pt>
                <c:pt idx="157">
                  <c:v>1.3690000000000078</c:v>
                </c:pt>
                <c:pt idx="158">
                  <c:v>1.3680000000000079</c:v>
                </c:pt>
                <c:pt idx="159">
                  <c:v>1.3680000000000079</c:v>
                </c:pt>
                <c:pt idx="160">
                  <c:v>1.367000000000008</c:v>
                </c:pt>
                <c:pt idx="161">
                  <c:v>1.363000000000008</c:v>
                </c:pt>
                <c:pt idx="162">
                  <c:v>1.3620000000000081</c:v>
                </c:pt>
                <c:pt idx="163">
                  <c:v>1.3620000000000081</c:v>
                </c:pt>
                <c:pt idx="164">
                  <c:v>1.3580000000000081</c:v>
                </c:pt>
                <c:pt idx="165">
                  <c:v>1.3580000000000081</c:v>
                </c:pt>
                <c:pt idx="166">
                  <c:v>1.3550000000000082</c:v>
                </c:pt>
                <c:pt idx="167">
                  <c:v>1.3540000000000083</c:v>
                </c:pt>
                <c:pt idx="168">
                  <c:v>1.3540000000000083</c:v>
                </c:pt>
                <c:pt idx="169">
                  <c:v>1.3540000000000083</c:v>
                </c:pt>
                <c:pt idx="170">
                  <c:v>1.3520000000000083</c:v>
                </c:pt>
                <c:pt idx="171">
                  <c:v>1.3500000000000083</c:v>
                </c:pt>
                <c:pt idx="172">
                  <c:v>1.3500000000000083</c:v>
                </c:pt>
                <c:pt idx="173">
                  <c:v>1.3460000000000083</c:v>
                </c:pt>
                <c:pt idx="174">
                  <c:v>1.3460000000000083</c:v>
                </c:pt>
                <c:pt idx="175">
                  <c:v>1.3450000000000084</c:v>
                </c:pt>
                <c:pt idx="176">
                  <c:v>1.3440000000000085</c:v>
                </c:pt>
                <c:pt idx="177">
                  <c:v>1.3440000000000085</c:v>
                </c:pt>
                <c:pt idx="178">
                  <c:v>1.3430000000000086</c:v>
                </c:pt>
                <c:pt idx="179">
                  <c:v>1.3420000000000087</c:v>
                </c:pt>
                <c:pt idx="180">
                  <c:v>1.3410000000000089</c:v>
                </c:pt>
                <c:pt idx="181">
                  <c:v>1.3330000000000088</c:v>
                </c:pt>
                <c:pt idx="182">
                  <c:v>1.332000000000009</c:v>
                </c:pt>
                <c:pt idx="183">
                  <c:v>1.3240000000000089</c:v>
                </c:pt>
                <c:pt idx="184">
                  <c:v>1.3230000000000091</c:v>
                </c:pt>
                <c:pt idx="185">
                  <c:v>1.3160000000000089</c:v>
                </c:pt>
                <c:pt idx="186">
                  <c:v>1.3150000000000091</c:v>
                </c:pt>
                <c:pt idx="187">
                  <c:v>1.3080000000000089</c:v>
                </c:pt>
                <c:pt idx="188">
                  <c:v>1.3080000000000092</c:v>
                </c:pt>
                <c:pt idx="189">
                  <c:v>1.301000000000009</c:v>
                </c:pt>
                <c:pt idx="190">
                  <c:v>1.3000000000000091</c:v>
                </c:pt>
                <c:pt idx="191">
                  <c:v>1.2920000000000091</c:v>
                </c:pt>
                <c:pt idx="192">
                  <c:v>1.2920000000000091</c:v>
                </c:pt>
                <c:pt idx="193">
                  <c:v>1.2840000000000091</c:v>
                </c:pt>
                <c:pt idx="194">
                  <c:v>1.2840000000000091</c:v>
                </c:pt>
                <c:pt idx="195">
                  <c:v>1.2750000000000092</c:v>
                </c:pt>
                <c:pt idx="196">
                  <c:v>1.2760000000000091</c:v>
                </c:pt>
                <c:pt idx="197">
                  <c:v>1.2660000000000093</c:v>
                </c:pt>
                <c:pt idx="198">
                  <c:v>1.2690000000000092</c:v>
                </c:pt>
                <c:pt idx="199">
                  <c:v>1.2590000000000094</c:v>
                </c:pt>
                <c:pt idx="200">
                  <c:v>1.2610000000000092</c:v>
                </c:pt>
                <c:pt idx="201">
                  <c:v>1.2510000000000094</c:v>
                </c:pt>
                <c:pt idx="202">
                  <c:v>1.2540000000000093</c:v>
                </c:pt>
                <c:pt idx="203">
                  <c:v>1.2440000000000095</c:v>
                </c:pt>
                <c:pt idx="204">
                  <c:v>1.2460000000000093</c:v>
                </c:pt>
                <c:pt idx="205">
                  <c:v>1.2370000000000096</c:v>
                </c:pt>
                <c:pt idx="206">
                  <c:v>1.2400000000000093</c:v>
                </c:pt>
                <c:pt idx="207">
                  <c:v>1.2300000000000098</c:v>
                </c:pt>
                <c:pt idx="208">
                  <c:v>1.2350000000000094</c:v>
                </c:pt>
                <c:pt idx="209">
                  <c:v>1.2250000000000099</c:v>
                </c:pt>
                <c:pt idx="210">
                  <c:v>1.2290000000000094</c:v>
                </c:pt>
                <c:pt idx="211">
                  <c:v>1.21800000000001</c:v>
                </c:pt>
                <c:pt idx="212">
                  <c:v>1.2210000000000094</c:v>
                </c:pt>
                <c:pt idx="213">
                  <c:v>1.2110000000000101</c:v>
                </c:pt>
                <c:pt idx="214">
                  <c:v>1.2150000000000094</c:v>
                </c:pt>
                <c:pt idx="215">
                  <c:v>1.2060000000000102</c:v>
                </c:pt>
                <c:pt idx="216">
                  <c:v>1.2090000000000094</c:v>
                </c:pt>
                <c:pt idx="217">
                  <c:v>1.1990000000000103</c:v>
                </c:pt>
                <c:pt idx="218">
                  <c:v>1.2030000000000094</c:v>
                </c:pt>
                <c:pt idx="219">
                  <c:v>1.1930000000000103</c:v>
                </c:pt>
                <c:pt idx="220">
                  <c:v>1.1990000000000094</c:v>
                </c:pt>
                <c:pt idx="221">
                  <c:v>1.1870000000000103</c:v>
                </c:pt>
                <c:pt idx="222">
                  <c:v>1.1950000000000094</c:v>
                </c:pt>
                <c:pt idx="223">
                  <c:v>1.1810000000000103</c:v>
                </c:pt>
                <c:pt idx="224">
                  <c:v>1.1900000000000095</c:v>
                </c:pt>
                <c:pt idx="225">
                  <c:v>1.1770000000000103</c:v>
                </c:pt>
                <c:pt idx="226">
                  <c:v>1.1870000000000096</c:v>
                </c:pt>
                <c:pt idx="227">
                  <c:v>1.1720000000000104</c:v>
                </c:pt>
                <c:pt idx="228">
                  <c:v>1.1840000000000097</c:v>
                </c:pt>
                <c:pt idx="229">
                  <c:v>1.1680000000000104</c:v>
                </c:pt>
                <c:pt idx="230">
                  <c:v>1.1820000000000097</c:v>
                </c:pt>
                <c:pt idx="231">
                  <c:v>1.1650000000000105</c:v>
                </c:pt>
                <c:pt idx="232">
                  <c:v>1.1800000000000097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79-4D8D-8268-1DA8C96B5DCC}"/>
            </c:ext>
          </c:extLst>
        </c:ser>
        <c:ser>
          <c:idx val="4"/>
          <c:order val="4"/>
          <c:tx>
            <c:strRef>
              <c:f>'Km83+860'!$AL$8:$AL$9</c:f>
              <c:strCache>
                <c:ptCount val="2"/>
                <c:pt idx="0">
                  <c:v>Chiều dày đắp</c:v>
                </c:pt>
              </c:strCache>
            </c:strRef>
          </c:tx>
          <c:marker>
            <c:symbol val="star"/>
            <c:size val="2"/>
            <c:spPr>
              <a:noFill/>
              <a:ln w="12700">
                <a:solidFill>
                  <a:srgbClr val="800080"/>
                </a:solidFill>
                <a:prstDash val="solid"/>
              </a:ln>
            </c:spPr>
          </c:marker>
          <c:xVal>
            <c:numRef>
              <c:f>'Km83+860'!$B$11:$B$338</c:f>
              <c:numCache>
                <c:formatCode>[$-1010000]d/m/yyyy;@</c:formatCode>
                <c:ptCount val="328"/>
                <c:pt idx="0">
                  <c:v>45576</c:v>
                </c:pt>
                <c:pt idx="1">
                  <c:v>45577</c:v>
                </c:pt>
                <c:pt idx="2">
                  <c:v>45578</c:v>
                </c:pt>
                <c:pt idx="3">
                  <c:v>45579</c:v>
                </c:pt>
                <c:pt idx="4">
                  <c:v>45580</c:v>
                </c:pt>
                <c:pt idx="5">
                  <c:v>45581</c:v>
                </c:pt>
                <c:pt idx="6">
                  <c:v>45582</c:v>
                </c:pt>
                <c:pt idx="7">
                  <c:v>45583</c:v>
                </c:pt>
                <c:pt idx="8">
                  <c:v>45584</c:v>
                </c:pt>
                <c:pt idx="9">
                  <c:v>45585</c:v>
                </c:pt>
                <c:pt idx="10">
                  <c:v>45586</c:v>
                </c:pt>
                <c:pt idx="11">
                  <c:v>45587</c:v>
                </c:pt>
                <c:pt idx="12">
                  <c:v>45588</c:v>
                </c:pt>
                <c:pt idx="13">
                  <c:v>45589</c:v>
                </c:pt>
                <c:pt idx="14">
                  <c:v>45590</c:v>
                </c:pt>
                <c:pt idx="15">
                  <c:v>45591</c:v>
                </c:pt>
                <c:pt idx="16">
                  <c:v>45592</c:v>
                </c:pt>
                <c:pt idx="17">
                  <c:v>45593</c:v>
                </c:pt>
                <c:pt idx="18">
                  <c:v>45594</c:v>
                </c:pt>
                <c:pt idx="19">
                  <c:v>45595</c:v>
                </c:pt>
                <c:pt idx="20">
                  <c:v>45596</c:v>
                </c:pt>
                <c:pt idx="21">
                  <c:v>45597</c:v>
                </c:pt>
                <c:pt idx="22">
                  <c:v>45598</c:v>
                </c:pt>
                <c:pt idx="23">
                  <c:v>45599</c:v>
                </c:pt>
                <c:pt idx="24">
                  <c:v>45600</c:v>
                </c:pt>
                <c:pt idx="25">
                  <c:v>45601</c:v>
                </c:pt>
                <c:pt idx="26">
                  <c:v>45602</c:v>
                </c:pt>
                <c:pt idx="27">
                  <c:v>45603</c:v>
                </c:pt>
                <c:pt idx="28">
                  <c:v>45604</c:v>
                </c:pt>
                <c:pt idx="29">
                  <c:v>45605</c:v>
                </c:pt>
                <c:pt idx="30">
                  <c:v>45606</c:v>
                </c:pt>
                <c:pt idx="31">
                  <c:v>45607</c:v>
                </c:pt>
                <c:pt idx="32">
                  <c:v>45608</c:v>
                </c:pt>
                <c:pt idx="33">
                  <c:v>45609</c:v>
                </c:pt>
                <c:pt idx="34">
                  <c:v>45610</c:v>
                </c:pt>
                <c:pt idx="35">
                  <c:v>45611</c:v>
                </c:pt>
                <c:pt idx="36">
                  <c:v>45612</c:v>
                </c:pt>
                <c:pt idx="37">
                  <c:v>45613</c:v>
                </c:pt>
                <c:pt idx="38">
                  <c:v>45614</c:v>
                </c:pt>
                <c:pt idx="39">
                  <c:v>45615</c:v>
                </c:pt>
                <c:pt idx="40">
                  <c:v>45616</c:v>
                </c:pt>
                <c:pt idx="41">
                  <c:v>45617</c:v>
                </c:pt>
                <c:pt idx="42">
                  <c:v>45618</c:v>
                </c:pt>
                <c:pt idx="43">
                  <c:v>45619</c:v>
                </c:pt>
                <c:pt idx="44">
                  <c:v>45620</c:v>
                </c:pt>
                <c:pt idx="45">
                  <c:v>45621</c:v>
                </c:pt>
                <c:pt idx="46">
                  <c:v>45622</c:v>
                </c:pt>
                <c:pt idx="47">
                  <c:v>45623</c:v>
                </c:pt>
                <c:pt idx="48">
                  <c:v>45624</c:v>
                </c:pt>
                <c:pt idx="49">
                  <c:v>45625</c:v>
                </c:pt>
                <c:pt idx="50">
                  <c:v>45626</c:v>
                </c:pt>
                <c:pt idx="51">
                  <c:v>45627</c:v>
                </c:pt>
                <c:pt idx="52">
                  <c:v>45628</c:v>
                </c:pt>
                <c:pt idx="53">
                  <c:v>45629</c:v>
                </c:pt>
                <c:pt idx="54">
                  <c:v>45630</c:v>
                </c:pt>
                <c:pt idx="55">
                  <c:v>45631</c:v>
                </c:pt>
                <c:pt idx="56">
                  <c:v>45632</c:v>
                </c:pt>
                <c:pt idx="57">
                  <c:v>45633</c:v>
                </c:pt>
                <c:pt idx="58">
                  <c:v>45634</c:v>
                </c:pt>
                <c:pt idx="59">
                  <c:v>45635</c:v>
                </c:pt>
                <c:pt idx="60">
                  <c:v>45636</c:v>
                </c:pt>
                <c:pt idx="61">
                  <c:v>45637</c:v>
                </c:pt>
                <c:pt idx="62">
                  <c:v>45638</c:v>
                </c:pt>
                <c:pt idx="63">
                  <c:v>45639</c:v>
                </c:pt>
                <c:pt idx="64">
                  <c:v>45640</c:v>
                </c:pt>
                <c:pt idx="65">
                  <c:v>45641</c:v>
                </c:pt>
                <c:pt idx="66">
                  <c:v>45642</c:v>
                </c:pt>
                <c:pt idx="67">
                  <c:v>45643</c:v>
                </c:pt>
                <c:pt idx="68">
                  <c:v>45644</c:v>
                </c:pt>
                <c:pt idx="69">
                  <c:v>45645</c:v>
                </c:pt>
                <c:pt idx="70">
                  <c:v>45646</c:v>
                </c:pt>
                <c:pt idx="71">
                  <c:v>45647</c:v>
                </c:pt>
                <c:pt idx="72">
                  <c:v>45648</c:v>
                </c:pt>
                <c:pt idx="73">
                  <c:v>45649</c:v>
                </c:pt>
                <c:pt idx="74">
                  <c:v>45650</c:v>
                </c:pt>
                <c:pt idx="75">
                  <c:v>45651</c:v>
                </c:pt>
                <c:pt idx="76">
                  <c:v>45652</c:v>
                </c:pt>
                <c:pt idx="77">
                  <c:v>45653</c:v>
                </c:pt>
                <c:pt idx="78">
                  <c:v>45654</c:v>
                </c:pt>
                <c:pt idx="79">
                  <c:v>45655</c:v>
                </c:pt>
                <c:pt idx="80">
                  <c:v>45656</c:v>
                </c:pt>
                <c:pt idx="81">
                  <c:v>45657</c:v>
                </c:pt>
                <c:pt idx="82">
                  <c:v>45658</c:v>
                </c:pt>
                <c:pt idx="83">
                  <c:v>45659</c:v>
                </c:pt>
                <c:pt idx="84">
                  <c:v>45660</c:v>
                </c:pt>
                <c:pt idx="85">
                  <c:v>45661</c:v>
                </c:pt>
                <c:pt idx="86">
                  <c:v>45662</c:v>
                </c:pt>
                <c:pt idx="87">
                  <c:v>45663</c:v>
                </c:pt>
                <c:pt idx="88">
                  <c:v>45664</c:v>
                </c:pt>
                <c:pt idx="89">
                  <c:v>45665</c:v>
                </c:pt>
                <c:pt idx="90">
                  <c:v>45666</c:v>
                </c:pt>
                <c:pt idx="91">
                  <c:v>45667</c:v>
                </c:pt>
                <c:pt idx="92">
                  <c:v>45668</c:v>
                </c:pt>
                <c:pt idx="93">
                  <c:v>45669</c:v>
                </c:pt>
                <c:pt idx="94">
                  <c:v>45670</c:v>
                </c:pt>
                <c:pt idx="95">
                  <c:v>45671</c:v>
                </c:pt>
                <c:pt idx="96">
                  <c:v>45672</c:v>
                </c:pt>
                <c:pt idx="97">
                  <c:v>45673</c:v>
                </c:pt>
                <c:pt idx="98">
                  <c:v>45674</c:v>
                </c:pt>
                <c:pt idx="99">
                  <c:v>45675</c:v>
                </c:pt>
                <c:pt idx="100">
                  <c:v>45676</c:v>
                </c:pt>
                <c:pt idx="101">
                  <c:v>45677</c:v>
                </c:pt>
                <c:pt idx="102">
                  <c:v>45678</c:v>
                </c:pt>
                <c:pt idx="103">
                  <c:v>45679</c:v>
                </c:pt>
                <c:pt idx="104">
                  <c:v>45680</c:v>
                </c:pt>
                <c:pt idx="105">
                  <c:v>45681</c:v>
                </c:pt>
                <c:pt idx="106">
                  <c:v>45682</c:v>
                </c:pt>
                <c:pt idx="107">
                  <c:v>45683</c:v>
                </c:pt>
                <c:pt idx="108">
                  <c:v>45684</c:v>
                </c:pt>
                <c:pt idx="109">
                  <c:v>45685</c:v>
                </c:pt>
                <c:pt idx="110">
                  <c:v>45686</c:v>
                </c:pt>
                <c:pt idx="111">
                  <c:v>45687</c:v>
                </c:pt>
                <c:pt idx="112">
                  <c:v>45688</c:v>
                </c:pt>
                <c:pt idx="113">
                  <c:v>45689</c:v>
                </c:pt>
                <c:pt idx="114">
                  <c:v>45690</c:v>
                </c:pt>
                <c:pt idx="115">
                  <c:v>45691</c:v>
                </c:pt>
                <c:pt idx="116">
                  <c:v>45692</c:v>
                </c:pt>
                <c:pt idx="117">
                  <c:v>45693</c:v>
                </c:pt>
                <c:pt idx="118">
                  <c:v>45694</c:v>
                </c:pt>
                <c:pt idx="119">
                  <c:v>45695</c:v>
                </c:pt>
                <c:pt idx="120">
                  <c:v>45696</c:v>
                </c:pt>
                <c:pt idx="121">
                  <c:v>45697</c:v>
                </c:pt>
                <c:pt idx="122">
                  <c:v>45698</c:v>
                </c:pt>
                <c:pt idx="123">
                  <c:v>45699</c:v>
                </c:pt>
                <c:pt idx="124">
                  <c:v>45700</c:v>
                </c:pt>
                <c:pt idx="125">
                  <c:v>45701</c:v>
                </c:pt>
                <c:pt idx="126">
                  <c:v>45702</c:v>
                </c:pt>
                <c:pt idx="127">
                  <c:v>45703</c:v>
                </c:pt>
                <c:pt idx="128">
                  <c:v>45704</c:v>
                </c:pt>
                <c:pt idx="129">
                  <c:v>45705</c:v>
                </c:pt>
                <c:pt idx="130">
                  <c:v>45706</c:v>
                </c:pt>
                <c:pt idx="131">
                  <c:v>45707</c:v>
                </c:pt>
                <c:pt idx="132">
                  <c:v>45708</c:v>
                </c:pt>
                <c:pt idx="133">
                  <c:v>45709</c:v>
                </c:pt>
                <c:pt idx="134">
                  <c:v>45710</c:v>
                </c:pt>
                <c:pt idx="135">
                  <c:v>45711</c:v>
                </c:pt>
                <c:pt idx="136">
                  <c:v>45712</c:v>
                </c:pt>
                <c:pt idx="137">
                  <c:v>45713</c:v>
                </c:pt>
                <c:pt idx="138">
                  <c:v>45714</c:v>
                </c:pt>
                <c:pt idx="139">
                  <c:v>45715</c:v>
                </c:pt>
                <c:pt idx="140">
                  <c:v>45716</c:v>
                </c:pt>
                <c:pt idx="141">
                  <c:v>45717</c:v>
                </c:pt>
                <c:pt idx="142">
                  <c:v>45718</c:v>
                </c:pt>
                <c:pt idx="143">
                  <c:v>45719</c:v>
                </c:pt>
                <c:pt idx="144">
                  <c:v>45720</c:v>
                </c:pt>
                <c:pt idx="145">
                  <c:v>45721</c:v>
                </c:pt>
                <c:pt idx="146">
                  <c:v>45722</c:v>
                </c:pt>
                <c:pt idx="147">
                  <c:v>45723</c:v>
                </c:pt>
                <c:pt idx="148">
                  <c:v>45724</c:v>
                </c:pt>
                <c:pt idx="149">
                  <c:v>45725</c:v>
                </c:pt>
                <c:pt idx="150">
                  <c:v>45726</c:v>
                </c:pt>
                <c:pt idx="151">
                  <c:v>45727</c:v>
                </c:pt>
                <c:pt idx="152">
                  <c:v>45728</c:v>
                </c:pt>
                <c:pt idx="153">
                  <c:v>45729</c:v>
                </c:pt>
                <c:pt idx="154">
                  <c:v>45730</c:v>
                </c:pt>
                <c:pt idx="155">
                  <c:v>45731</c:v>
                </c:pt>
                <c:pt idx="156">
                  <c:v>45732</c:v>
                </c:pt>
                <c:pt idx="157">
                  <c:v>45733</c:v>
                </c:pt>
                <c:pt idx="158">
                  <c:v>45734</c:v>
                </c:pt>
                <c:pt idx="159">
                  <c:v>45735</c:v>
                </c:pt>
                <c:pt idx="160">
                  <c:v>45736</c:v>
                </c:pt>
                <c:pt idx="161">
                  <c:v>45737</c:v>
                </c:pt>
                <c:pt idx="162">
                  <c:v>45738</c:v>
                </c:pt>
                <c:pt idx="163">
                  <c:v>45739</c:v>
                </c:pt>
                <c:pt idx="164">
                  <c:v>45740</c:v>
                </c:pt>
                <c:pt idx="165">
                  <c:v>45741</c:v>
                </c:pt>
                <c:pt idx="166">
                  <c:v>45742</c:v>
                </c:pt>
                <c:pt idx="167">
                  <c:v>45743</c:v>
                </c:pt>
                <c:pt idx="168">
                  <c:v>45744</c:v>
                </c:pt>
                <c:pt idx="169">
                  <c:v>45745</c:v>
                </c:pt>
                <c:pt idx="170">
                  <c:v>45746</c:v>
                </c:pt>
                <c:pt idx="171">
                  <c:v>45747</c:v>
                </c:pt>
                <c:pt idx="172">
                  <c:v>45748</c:v>
                </c:pt>
                <c:pt idx="173">
                  <c:v>45749</c:v>
                </c:pt>
                <c:pt idx="174">
                  <c:v>45750</c:v>
                </c:pt>
                <c:pt idx="175">
                  <c:v>45751</c:v>
                </c:pt>
                <c:pt idx="176">
                  <c:v>45752</c:v>
                </c:pt>
                <c:pt idx="177">
                  <c:v>45753</c:v>
                </c:pt>
                <c:pt idx="178">
                  <c:v>45754</c:v>
                </c:pt>
                <c:pt idx="179">
                  <c:v>45755</c:v>
                </c:pt>
                <c:pt idx="180">
                  <c:v>45756</c:v>
                </c:pt>
                <c:pt idx="181">
                  <c:v>45757</c:v>
                </c:pt>
                <c:pt idx="182">
                  <c:v>45758</c:v>
                </c:pt>
                <c:pt idx="183">
                  <c:v>45759</c:v>
                </c:pt>
                <c:pt idx="184">
                  <c:v>45760</c:v>
                </c:pt>
                <c:pt idx="185">
                  <c:v>45761</c:v>
                </c:pt>
                <c:pt idx="186">
                  <c:v>45762</c:v>
                </c:pt>
                <c:pt idx="187">
                  <c:v>45763</c:v>
                </c:pt>
                <c:pt idx="188">
                  <c:v>45764</c:v>
                </c:pt>
                <c:pt idx="189">
                  <c:v>45765</c:v>
                </c:pt>
                <c:pt idx="190">
                  <c:v>45766</c:v>
                </c:pt>
                <c:pt idx="191">
                  <c:v>45767</c:v>
                </c:pt>
                <c:pt idx="192">
                  <c:v>45768</c:v>
                </c:pt>
                <c:pt idx="193">
                  <c:v>45769</c:v>
                </c:pt>
                <c:pt idx="194">
                  <c:v>45770</c:v>
                </c:pt>
                <c:pt idx="195">
                  <c:v>45771</c:v>
                </c:pt>
                <c:pt idx="196">
                  <c:v>45772</c:v>
                </c:pt>
                <c:pt idx="197">
                  <c:v>45773</c:v>
                </c:pt>
                <c:pt idx="198">
                  <c:v>45774</c:v>
                </c:pt>
                <c:pt idx="199">
                  <c:v>45775</c:v>
                </c:pt>
                <c:pt idx="200">
                  <c:v>45776</c:v>
                </c:pt>
                <c:pt idx="201">
                  <c:v>45777</c:v>
                </c:pt>
                <c:pt idx="202">
                  <c:v>45778</c:v>
                </c:pt>
                <c:pt idx="203">
                  <c:v>45779</c:v>
                </c:pt>
                <c:pt idx="204">
                  <c:v>45780</c:v>
                </c:pt>
                <c:pt idx="205">
                  <c:v>45781</c:v>
                </c:pt>
                <c:pt idx="206">
                  <c:v>45782</c:v>
                </c:pt>
                <c:pt idx="207">
                  <c:v>45783</c:v>
                </c:pt>
                <c:pt idx="208">
                  <c:v>45784</c:v>
                </c:pt>
                <c:pt idx="209">
                  <c:v>45785</c:v>
                </c:pt>
                <c:pt idx="210">
                  <c:v>45786</c:v>
                </c:pt>
                <c:pt idx="211">
                  <c:v>45787</c:v>
                </c:pt>
                <c:pt idx="212">
                  <c:v>45788</c:v>
                </c:pt>
                <c:pt idx="213">
                  <c:v>45789</c:v>
                </c:pt>
                <c:pt idx="214">
                  <c:v>45790</c:v>
                </c:pt>
                <c:pt idx="215">
                  <c:v>45791</c:v>
                </c:pt>
                <c:pt idx="216">
                  <c:v>45792</c:v>
                </c:pt>
                <c:pt idx="217">
                  <c:v>45793</c:v>
                </c:pt>
                <c:pt idx="218">
                  <c:v>45794</c:v>
                </c:pt>
                <c:pt idx="219">
                  <c:v>45795</c:v>
                </c:pt>
                <c:pt idx="220">
                  <c:v>45796</c:v>
                </c:pt>
                <c:pt idx="221">
                  <c:v>45797</c:v>
                </c:pt>
                <c:pt idx="222">
                  <c:v>45798</c:v>
                </c:pt>
                <c:pt idx="223">
                  <c:v>45799</c:v>
                </c:pt>
                <c:pt idx="224">
                  <c:v>45800</c:v>
                </c:pt>
                <c:pt idx="225">
                  <c:v>45801</c:v>
                </c:pt>
                <c:pt idx="226">
                  <c:v>45802</c:v>
                </c:pt>
                <c:pt idx="227">
                  <c:v>45803</c:v>
                </c:pt>
                <c:pt idx="228">
                  <c:v>45804</c:v>
                </c:pt>
                <c:pt idx="229">
                  <c:v>45805</c:v>
                </c:pt>
                <c:pt idx="230">
                  <c:v>45806</c:v>
                </c:pt>
                <c:pt idx="231">
                  <c:v>45807</c:v>
                </c:pt>
                <c:pt idx="232">
                  <c:v>45808</c:v>
                </c:pt>
              </c:numCache>
            </c:numRef>
          </c:xVal>
          <c:yVal>
            <c:numRef>
              <c:f>'Km83+860'!$AL$11:$AL$349</c:f>
              <c:numCache>
                <c:formatCode>0.00</c:formatCode>
                <c:ptCount val="339"/>
                <c:pt idx="0">
                  <c:v>0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0.89999999999999991</c:v>
                </c:pt>
                <c:pt idx="12">
                  <c:v>0.89999999999999991</c:v>
                </c:pt>
                <c:pt idx="13">
                  <c:v>0.89999999999999991</c:v>
                </c:pt>
                <c:pt idx="14">
                  <c:v>0.89999999999999991</c:v>
                </c:pt>
                <c:pt idx="15">
                  <c:v>1.2</c:v>
                </c:pt>
                <c:pt idx="16">
                  <c:v>1.2</c:v>
                </c:pt>
                <c:pt idx="17">
                  <c:v>1.2</c:v>
                </c:pt>
                <c:pt idx="18">
                  <c:v>1.2</c:v>
                </c:pt>
                <c:pt idx="19">
                  <c:v>1.2</c:v>
                </c:pt>
                <c:pt idx="20">
                  <c:v>1.2</c:v>
                </c:pt>
                <c:pt idx="21">
                  <c:v>1.2</c:v>
                </c:pt>
                <c:pt idx="22">
                  <c:v>1.2</c:v>
                </c:pt>
                <c:pt idx="23">
                  <c:v>1.2</c:v>
                </c:pt>
                <c:pt idx="24">
                  <c:v>1.2</c:v>
                </c:pt>
                <c:pt idx="25">
                  <c:v>1.2</c:v>
                </c:pt>
                <c:pt idx="26">
                  <c:v>1.2</c:v>
                </c:pt>
                <c:pt idx="27">
                  <c:v>1.2</c:v>
                </c:pt>
                <c:pt idx="28">
                  <c:v>1.2</c:v>
                </c:pt>
                <c:pt idx="29">
                  <c:v>1.2</c:v>
                </c:pt>
                <c:pt idx="30">
                  <c:v>1.2</c:v>
                </c:pt>
                <c:pt idx="31">
                  <c:v>1.2</c:v>
                </c:pt>
                <c:pt idx="32">
                  <c:v>1.2</c:v>
                </c:pt>
                <c:pt idx="33">
                  <c:v>1.2</c:v>
                </c:pt>
                <c:pt idx="34">
                  <c:v>1.2</c:v>
                </c:pt>
                <c:pt idx="35">
                  <c:v>1.2</c:v>
                </c:pt>
                <c:pt idx="36">
                  <c:v>1.2</c:v>
                </c:pt>
                <c:pt idx="37">
                  <c:v>1.2</c:v>
                </c:pt>
                <c:pt idx="38">
                  <c:v>1.2</c:v>
                </c:pt>
                <c:pt idx="39">
                  <c:v>1.2</c:v>
                </c:pt>
                <c:pt idx="40">
                  <c:v>1.2</c:v>
                </c:pt>
                <c:pt idx="41">
                  <c:v>1.2</c:v>
                </c:pt>
                <c:pt idx="42">
                  <c:v>1.2</c:v>
                </c:pt>
                <c:pt idx="43">
                  <c:v>1.2</c:v>
                </c:pt>
                <c:pt idx="44">
                  <c:v>1.2</c:v>
                </c:pt>
                <c:pt idx="45">
                  <c:v>1.2</c:v>
                </c:pt>
                <c:pt idx="46">
                  <c:v>1.2</c:v>
                </c:pt>
                <c:pt idx="47">
                  <c:v>1.2</c:v>
                </c:pt>
                <c:pt idx="48">
                  <c:v>1.2</c:v>
                </c:pt>
                <c:pt idx="49">
                  <c:v>1.2</c:v>
                </c:pt>
                <c:pt idx="50">
                  <c:v>1.2</c:v>
                </c:pt>
                <c:pt idx="51">
                  <c:v>1.2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1.2</c:v>
                </c:pt>
                <c:pt idx="56">
                  <c:v>1.2</c:v>
                </c:pt>
                <c:pt idx="57">
                  <c:v>1.2</c:v>
                </c:pt>
                <c:pt idx="58">
                  <c:v>1.2</c:v>
                </c:pt>
                <c:pt idx="59">
                  <c:v>1.2</c:v>
                </c:pt>
                <c:pt idx="60">
                  <c:v>1.2</c:v>
                </c:pt>
                <c:pt idx="61">
                  <c:v>1.2</c:v>
                </c:pt>
                <c:pt idx="62">
                  <c:v>1.2</c:v>
                </c:pt>
                <c:pt idx="63">
                  <c:v>1.2</c:v>
                </c:pt>
                <c:pt idx="64">
                  <c:v>1.2</c:v>
                </c:pt>
                <c:pt idx="65">
                  <c:v>1.2</c:v>
                </c:pt>
                <c:pt idx="66">
                  <c:v>1.2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</c:v>
                </c:pt>
                <c:pt idx="73">
                  <c:v>1.2</c:v>
                </c:pt>
                <c:pt idx="74">
                  <c:v>1.2</c:v>
                </c:pt>
                <c:pt idx="75">
                  <c:v>1.2</c:v>
                </c:pt>
                <c:pt idx="76">
                  <c:v>1.2</c:v>
                </c:pt>
                <c:pt idx="77">
                  <c:v>1.2</c:v>
                </c:pt>
                <c:pt idx="78">
                  <c:v>1.2</c:v>
                </c:pt>
                <c:pt idx="79">
                  <c:v>1.2</c:v>
                </c:pt>
                <c:pt idx="80">
                  <c:v>1.2</c:v>
                </c:pt>
                <c:pt idx="81">
                  <c:v>1.2</c:v>
                </c:pt>
                <c:pt idx="82">
                  <c:v>1.2</c:v>
                </c:pt>
                <c:pt idx="83">
                  <c:v>1.2</c:v>
                </c:pt>
                <c:pt idx="84">
                  <c:v>1.2</c:v>
                </c:pt>
                <c:pt idx="85">
                  <c:v>1.2</c:v>
                </c:pt>
                <c:pt idx="86">
                  <c:v>1.2</c:v>
                </c:pt>
                <c:pt idx="87">
                  <c:v>1.2</c:v>
                </c:pt>
                <c:pt idx="88">
                  <c:v>1.2</c:v>
                </c:pt>
                <c:pt idx="89">
                  <c:v>1.2</c:v>
                </c:pt>
                <c:pt idx="90">
                  <c:v>1.2</c:v>
                </c:pt>
                <c:pt idx="91">
                  <c:v>1.2</c:v>
                </c:pt>
                <c:pt idx="92">
                  <c:v>1.2</c:v>
                </c:pt>
                <c:pt idx="93">
                  <c:v>1.2</c:v>
                </c:pt>
                <c:pt idx="94">
                  <c:v>1.2</c:v>
                </c:pt>
                <c:pt idx="95">
                  <c:v>1.2</c:v>
                </c:pt>
                <c:pt idx="96">
                  <c:v>1.2</c:v>
                </c:pt>
                <c:pt idx="97">
                  <c:v>1.2</c:v>
                </c:pt>
                <c:pt idx="98">
                  <c:v>1.2</c:v>
                </c:pt>
                <c:pt idx="99">
                  <c:v>1.2</c:v>
                </c:pt>
                <c:pt idx="100">
                  <c:v>1.2</c:v>
                </c:pt>
                <c:pt idx="101">
                  <c:v>1.2</c:v>
                </c:pt>
                <c:pt idx="102">
                  <c:v>1.2</c:v>
                </c:pt>
                <c:pt idx="103">
                  <c:v>1.2</c:v>
                </c:pt>
                <c:pt idx="104">
                  <c:v>1.2</c:v>
                </c:pt>
                <c:pt idx="105">
                  <c:v>1.2</c:v>
                </c:pt>
                <c:pt idx="106">
                  <c:v>1.2</c:v>
                </c:pt>
                <c:pt idx="107">
                  <c:v>1.2</c:v>
                </c:pt>
                <c:pt idx="108">
                  <c:v>1.2</c:v>
                </c:pt>
                <c:pt idx="109">
                  <c:v>1.2</c:v>
                </c:pt>
                <c:pt idx="110">
                  <c:v>1.2</c:v>
                </c:pt>
                <c:pt idx="111">
                  <c:v>1.2</c:v>
                </c:pt>
                <c:pt idx="112">
                  <c:v>1.2</c:v>
                </c:pt>
                <c:pt idx="113">
                  <c:v>1.2</c:v>
                </c:pt>
                <c:pt idx="114">
                  <c:v>1.2</c:v>
                </c:pt>
                <c:pt idx="115">
                  <c:v>1.2</c:v>
                </c:pt>
                <c:pt idx="116">
                  <c:v>1.2</c:v>
                </c:pt>
                <c:pt idx="117">
                  <c:v>1.2</c:v>
                </c:pt>
                <c:pt idx="118">
                  <c:v>1.2</c:v>
                </c:pt>
                <c:pt idx="119">
                  <c:v>1.2</c:v>
                </c:pt>
                <c:pt idx="120">
                  <c:v>1.2</c:v>
                </c:pt>
                <c:pt idx="121">
                  <c:v>1.2</c:v>
                </c:pt>
                <c:pt idx="122">
                  <c:v>1.2</c:v>
                </c:pt>
                <c:pt idx="123">
                  <c:v>1.2</c:v>
                </c:pt>
                <c:pt idx="124">
                  <c:v>1.2</c:v>
                </c:pt>
                <c:pt idx="125">
                  <c:v>1.2</c:v>
                </c:pt>
                <c:pt idx="126">
                  <c:v>1.2</c:v>
                </c:pt>
                <c:pt idx="127">
                  <c:v>1.2</c:v>
                </c:pt>
                <c:pt idx="128">
                  <c:v>1.2</c:v>
                </c:pt>
                <c:pt idx="129">
                  <c:v>1.2</c:v>
                </c:pt>
                <c:pt idx="130">
                  <c:v>1.2</c:v>
                </c:pt>
                <c:pt idx="131">
                  <c:v>1.2</c:v>
                </c:pt>
                <c:pt idx="132">
                  <c:v>1.2</c:v>
                </c:pt>
                <c:pt idx="133">
                  <c:v>1.2</c:v>
                </c:pt>
                <c:pt idx="134">
                  <c:v>1.2</c:v>
                </c:pt>
                <c:pt idx="135">
                  <c:v>1.2</c:v>
                </c:pt>
                <c:pt idx="136">
                  <c:v>1.2</c:v>
                </c:pt>
                <c:pt idx="137">
                  <c:v>1.2</c:v>
                </c:pt>
                <c:pt idx="138">
                  <c:v>1.2</c:v>
                </c:pt>
                <c:pt idx="139">
                  <c:v>1.2</c:v>
                </c:pt>
                <c:pt idx="140">
                  <c:v>1.2</c:v>
                </c:pt>
                <c:pt idx="141">
                  <c:v>1.2</c:v>
                </c:pt>
                <c:pt idx="142">
                  <c:v>1.2</c:v>
                </c:pt>
                <c:pt idx="143">
                  <c:v>1.2</c:v>
                </c:pt>
                <c:pt idx="144">
                  <c:v>1.2</c:v>
                </c:pt>
                <c:pt idx="145">
                  <c:v>1.2</c:v>
                </c:pt>
                <c:pt idx="146">
                  <c:v>1.2</c:v>
                </c:pt>
                <c:pt idx="147">
                  <c:v>1.2</c:v>
                </c:pt>
                <c:pt idx="148">
                  <c:v>1.2</c:v>
                </c:pt>
                <c:pt idx="149">
                  <c:v>1.2</c:v>
                </c:pt>
                <c:pt idx="150">
                  <c:v>1.2</c:v>
                </c:pt>
                <c:pt idx="151">
                  <c:v>1.2</c:v>
                </c:pt>
                <c:pt idx="152">
                  <c:v>1.2</c:v>
                </c:pt>
                <c:pt idx="153">
                  <c:v>1.2</c:v>
                </c:pt>
                <c:pt idx="154">
                  <c:v>1.2</c:v>
                </c:pt>
                <c:pt idx="155">
                  <c:v>1.2</c:v>
                </c:pt>
                <c:pt idx="156">
                  <c:v>1.2</c:v>
                </c:pt>
                <c:pt idx="157">
                  <c:v>1.2</c:v>
                </c:pt>
                <c:pt idx="158">
                  <c:v>1.2</c:v>
                </c:pt>
                <c:pt idx="159">
                  <c:v>1.2</c:v>
                </c:pt>
                <c:pt idx="160">
                  <c:v>1.2</c:v>
                </c:pt>
                <c:pt idx="161">
                  <c:v>1.2</c:v>
                </c:pt>
                <c:pt idx="162">
                  <c:v>1.2</c:v>
                </c:pt>
                <c:pt idx="163">
                  <c:v>1.2</c:v>
                </c:pt>
                <c:pt idx="164">
                  <c:v>1.2</c:v>
                </c:pt>
                <c:pt idx="165">
                  <c:v>1.2</c:v>
                </c:pt>
                <c:pt idx="166">
                  <c:v>1.2</c:v>
                </c:pt>
                <c:pt idx="167">
                  <c:v>1.2</c:v>
                </c:pt>
                <c:pt idx="168">
                  <c:v>1.2</c:v>
                </c:pt>
                <c:pt idx="169">
                  <c:v>1.2</c:v>
                </c:pt>
                <c:pt idx="170">
                  <c:v>1.2</c:v>
                </c:pt>
                <c:pt idx="171">
                  <c:v>1.2</c:v>
                </c:pt>
                <c:pt idx="172">
                  <c:v>1.2</c:v>
                </c:pt>
                <c:pt idx="173">
                  <c:v>1.2</c:v>
                </c:pt>
                <c:pt idx="174">
                  <c:v>1.2</c:v>
                </c:pt>
                <c:pt idx="175">
                  <c:v>1.2</c:v>
                </c:pt>
                <c:pt idx="176">
                  <c:v>1.2</c:v>
                </c:pt>
                <c:pt idx="177">
                  <c:v>1.2</c:v>
                </c:pt>
                <c:pt idx="178">
                  <c:v>1.2</c:v>
                </c:pt>
                <c:pt idx="179">
                  <c:v>1.2</c:v>
                </c:pt>
                <c:pt idx="180">
                  <c:v>1.2</c:v>
                </c:pt>
                <c:pt idx="181">
                  <c:v>1.2</c:v>
                </c:pt>
                <c:pt idx="182">
                  <c:v>1.2</c:v>
                </c:pt>
                <c:pt idx="183">
                  <c:v>1.2</c:v>
                </c:pt>
                <c:pt idx="184">
                  <c:v>1.2</c:v>
                </c:pt>
                <c:pt idx="185">
                  <c:v>1.2</c:v>
                </c:pt>
                <c:pt idx="186">
                  <c:v>1.2</c:v>
                </c:pt>
                <c:pt idx="187">
                  <c:v>1.2</c:v>
                </c:pt>
                <c:pt idx="188">
                  <c:v>1.2</c:v>
                </c:pt>
                <c:pt idx="189">
                  <c:v>1.2</c:v>
                </c:pt>
                <c:pt idx="190">
                  <c:v>1.2</c:v>
                </c:pt>
                <c:pt idx="191">
                  <c:v>1.2</c:v>
                </c:pt>
                <c:pt idx="192">
                  <c:v>1.2</c:v>
                </c:pt>
                <c:pt idx="193">
                  <c:v>1.2</c:v>
                </c:pt>
                <c:pt idx="194">
                  <c:v>1.2</c:v>
                </c:pt>
                <c:pt idx="195">
                  <c:v>1.2</c:v>
                </c:pt>
                <c:pt idx="196">
                  <c:v>1.2</c:v>
                </c:pt>
                <c:pt idx="197">
                  <c:v>1.2</c:v>
                </c:pt>
                <c:pt idx="198">
                  <c:v>1.2</c:v>
                </c:pt>
                <c:pt idx="199">
                  <c:v>1.2</c:v>
                </c:pt>
                <c:pt idx="200">
                  <c:v>1.2</c:v>
                </c:pt>
                <c:pt idx="201">
                  <c:v>1.2</c:v>
                </c:pt>
                <c:pt idx="202">
                  <c:v>1.2</c:v>
                </c:pt>
                <c:pt idx="203">
                  <c:v>1.2</c:v>
                </c:pt>
                <c:pt idx="204">
                  <c:v>1.2</c:v>
                </c:pt>
                <c:pt idx="205">
                  <c:v>1.2</c:v>
                </c:pt>
                <c:pt idx="206">
                  <c:v>1.2</c:v>
                </c:pt>
                <c:pt idx="207">
                  <c:v>1.2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1.2</c:v>
                </c:pt>
                <c:pt idx="226">
                  <c:v>1.2</c:v>
                </c:pt>
                <c:pt idx="227">
                  <c:v>1.2</c:v>
                </c:pt>
                <c:pt idx="228">
                  <c:v>1.2</c:v>
                </c:pt>
                <c:pt idx="229">
                  <c:v>1.2</c:v>
                </c:pt>
                <c:pt idx="230">
                  <c:v>1.2</c:v>
                </c:pt>
                <c:pt idx="231">
                  <c:v>1.2</c:v>
                </c:pt>
                <c:pt idx="232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79-4D8D-8268-1DA8C96B5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476352"/>
        <c:axId val="586476928"/>
      </c:scatterChart>
      <c:valAx>
        <c:axId val="586475200"/>
        <c:scaling>
          <c:orientation val="minMax"/>
          <c:max val="45807"/>
          <c:min val="45576"/>
        </c:scaling>
        <c:delete val="0"/>
        <c:axPos val="b"/>
        <c:numFmt formatCode="dd/mm/yyyy;@" sourceLinked="0"/>
        <c:majorTickMark val="out"/>
        <c:minorTickMark val="none"/>
        <c:tickLblPos val="low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586475776"/>
        <c:crossesAt val="-1800"/>
        <c:crossBetween val="midCat"/>
        <c:majorUnit val="30"/>
      </c:valAx>
      <c:valAx>
        <c:axId val="586475776"/>
        <c:scaling>
          <c:orientation val="minMax"/>
          <c:max val="1800"/>
          <c:min val="-1800"/>
        </c:scaling>
        <c:delete val="0"/>
        <c:axPos val="l"/>
        <c:majorGridlines>
          <c:spPr>
            <a:ln w="3175">
              <a:solidFill>
                <a:schemeClr val="tx1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3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Độ lún（mm）</a:t>
                </a:r>
              </a:p>
            </c:rich>
          </c:tx>
          <c:layout>
            <c:manualLayout>
              <c:xMode val="edge"/>
              <c:yMode val="edge"/>
              <c:x val="1.7880170123771136E-2"/>
              <c:y val="0.34426600140328995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586475200"/>
        <c:crosses val="autoZero"/>
        <c:crossBetween val="midCat"/>
        <c:majorUnit val="200"/>
      </c:valAx>
      <c:valAx>
        <c:axId val="586476352"/>
        <c:scaling>
          <c:orientation val="minMax"/>
        </c:scaling>
        <c:delete val="1"/>
        <c:axPos val="t"/>
        <c:numFmt formatCode="[$-1010000]d/m/yyyy;@" sourceLinked="1"/>
        <c:majorTickMark val="out"/>
        <c:minorTickMark val="none"/>
        <c:tickLblPos val="nextTo"/>
        <c:crossAx val="586476928"/>
        <c:crossesAt val="0"/>
        <c:crossBetween val="midCat"/>
      </c:valAx>
      <c:valAx>
        <c:axId val="586476928"/>
        <c:scaling>
          <c:orientation val="minMax"/>
          <c:max val="6"/>
          <c:min val="-6"/>
        </c:scaling>
        <c:delete val="0"/>
        <c:axPos val="r"/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vi-VN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Chiều dày/cao độ đắp (m</a:t>
                </a:r>
                <a:r>
                  <a:rPr lang="vi-VN" sz="1000" b="0" i="0" u="none" strike="noStrike" baseline="0">
                    <a:solidFill>
                      <a:srgbClr val="000000"/>
                    </a:solidFill>
                    <a:ea typeface="宋体"/>
                  </a:rPr>
                  <a:t>）</a:t>
                </a:r>
              </a:p>
            </c:rich>
          </c:tx>
          <c:layout>
            <c:manualLayout>
              <c:xMode val="edge"/>
              <c:yMode val="edge"/>
              <c:x val="0.96166207126160286"/>
              <c:y val="0.24613445596528155"/>
            </c:manualLayout>
          </c:layout>
          <c:overlay val="0"/>
          <c:spPr>
            <a:noFill/>
            <a:ln w="25400">
              <a:noFill/>
            </a:ln>
          </c:spPr>
        </c:title>
        <c:numFmt formatCode="##.0#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586476352"/>
        <c:crosses val="max"/>
        <c:crossBetween val="midCat"/>
        <c:majorUnit val="1"/>
        <c:minorUnit val="1"/>
      </c:valAx>
      <c:spPr>
        <a:ln w="6350" cmpd="sng"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8.2956525764775524E-2"/>
          <c:y val="0.87384201208293577"/>
          <c:w val="0.82376524838877152"/>
          <c:h val="0.10335434939004758"/>
        </c:manualLayout>
      </c:layout>
      <c:overlay val="0"/>
      <c:spPr>
        <a:solidFill>
          <a:srgbClr val="FFFFFF"/>
        </a:solidFill>
        <a:ln w="6350" cap="flat">
          <a:solidFill>
            <a:srgbClr val="000000"/>
          </a:solidFill>
          <a:prstDash val="solid"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8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 orientation="landscape" horizontalDpi="1200" verticalDpi="12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 sz="1500"/>
              <a:t>Biểu</a:t>
            </a:r>
            <a:r>
              <a:rPr lang="en-US" sz="1500" baseline="0"/>
              <a:t> đồ </a:t>
            </a:r>
            <a:r>
              <a:rPr lang="en-US" sz="1500"/>
              <a:t>Bàn quan trắc lún-Lý trình: Km83+720</a:t>
            </a:r>
          </a:p>
        </c:rich>
      </c:tx>
      <c:layout>
        <c:manualLayout>
          <c:xMode val="edge"/>
          <c:yMode val="edge"/>
          <c:x val="0.39979352028130694"/>
          <c:y val="4.3462874572937134E-2"/>
        </c:manualLayout>
      </c:layout>
      <c:overlay val="0"/>
      <c:spPr>
        <a:solidFill>
          <a:srgbClr val="FFFFFF"/>
        </a:solidFill>
        <a:ln w="6350">
          <a:solidFill>
            <a:srgbClr val="000000"/>
          </a:solidFill>
          <a:prstDash val="solid"/>
        </a:ln>
        <a:effectLst>
          <a:outerShdw sx="1000" sy="1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7.458926492841908E-2"/>
          <c:y val="0.13919984743154454"/>
          <c:w val="0.83566878980891657"/>
          <c:h val="0.69972640034865863"/>
        </c:manualLayout>
      </c:layout>
      <c:scatterChart>
        <c:scatterStyle val="lineMarker"/>
        <c:varyColors val="0"/>
        <c:ser>
          <c:idx val="1"/>
          <c:order val="1"/>
          <c:tx>
            <c:strRef>
              <c:f>'Km83+900'!$AF$9</c:f>
              <c:strCache>
                <c:ptCount val="1"/>
                <c:pt idx="0">
                  <c:v>Trái</c:v>
                </c:pt>
              </c:strCache>
            </c:strRef>
          </c:tx>
          <c:marker>
            <c:symbol val="circle"/>
            <c:size val="2"/>
            <c:spPr>
              <a:solidFill>
                <a:srgbClr val="FF00FF"/>
              </a:solidFill>
              <a:ln w="12700">
                <a:solidFill>
                  <a:srgbClr val="FF00FF"/>
                </a:solidFill>
                <a:prstDash val="solid"/>
              </a:ln>
            </c:spPr>
          </c:marker>
          <c:xVal>
            <c:numRef>
              <c:f>'Km83+900'!$B$11:$B$345</c:f>
              <c:numCache>
                <c:formatCode>[$-1010000]d/m/yyyy;@</c:formatCode>
                <c:ptCount val="335"/>
                <c:pt idx="0">
                  <c:v>45576</c:v>
                </c:pt>
                <c:pt idx="1">
                  <c:v>45577</c:v>
                </c:pt>
                <c:pt idx="2">
                  <c:v>45578</c:v>
                </c:pt>
                <c:pt idx="3">
                  <c:v>45579</c:v>
                </c:pt>
                <c:pt idx="4">
                  <c:v>45580</c:v>
                </c:pt>
                <c:pt idx="5">
                  <c:v>45581</c:v>
                </c:pt>
                <c:pt idx="6">
                  <c:v>45582</c:v>
                </c:pt>
                <c:pt idx="7">
                  <c:v>45583</c:v>
                </c:pt>
                <c:pt idx="8">
                  <c:v>45584</c:v>
                </c:pt>
                <c:pt idx="9">
                  <c:v>45585</c:v>
                </c:pt>
                <c:pt idx="10">
                  <c:v>45586</c:v>
                </c:pt>
                <c:pt idx="11">
                  <c:v>45587</c:v>
                </c:pt>
                <c:pt idx="12">
                  <c:v>45588</c:v>
                </c:pt>
                <c:pt idx="13">
                  <c:v>45589</c:v>
                </c:pt>
                <c:pt idx="14">
                  <c:v>45590</c:v>
                </c:pt>
                <c:pt idx="15">
                  <c:v>45591</c:v>
                </c:pt>
                <c:pt idx="16">
                  <c:v>45592</c:v>
                </c:pt>
                <c:pt idx="17">
                  <c:v>45593</c:v>
                </c:pt>
                <c:pt idx="18">
                  <c:v>45594</c:v>
                </c:pt>
                <c:pt idx="19">
                  <c:v>45595</c:v>
                </c:pt>
                <c:pt idx="20">
                  <c:v>45596</c:v>
                </c:pt>
                <c:pt idx="21">
                  <c:v>45597</c:v>
                </c:pt>
                <c:pt idx="22">
                  <c:v>45598</c:v>
                </c:pt>
                <c:pt idx="23">
                  <c:v>45599</c:v>
                </c:pt>
                <c:pt idx="24">
                  <c:v>45600</c:v>
                </c:pt>
                <c:pt idx="25">
                  <c:v>45601</c:v>
                </c:pt>
                <c:pt idx="26">
                  <c:v>45602</c:v>
                </c:pt>
                <c:pt idx="27">
                  <c:v>45603</c:v>
                </c:pt>
                <c:pt idx="28">
                  <c:v>45604</c:v>
                </c:pt>
                <c:pt idx="29">
                  <c:v>45605</c:v>
                </c:pt>
                <c:pt idx="30">
                  <c:v>45606</c:v>
                </c:pt>
                <c:pt idx="31">
                  <c:v>45607</c:v>
                </c:pt>
                <c:pt idx="32">
                  <c:v>45608</c:v>
                </c:pt>
                <c:pt idx="33">
                  <c:v>45609</c:v>
                </c:pt>
                <c:pt idx="34">
                  <c:v>45610</c:v>
                </c:pt>
                <c:pt idx="35">
                  <c:v>45611</c:v>
                </c:pt>
                <c:pt idx="36">
                  <c:v>45612</c:v>
                </c:pt>
                <c:pt idx="37">
                  <c:v>45613</c:v>
                </c:pt>
                <c:pt idx="38">
                  <c:v>45614</c:v>
                </c:pt>
                <c:pt idx="39">
                  <c:v>45615</c:v>
                </c:pt>
                <c:pt idx="40">
                  <c:v>45616</c:v>
                </c:pt>
                <c:pt idx="41">
                  <c:v>45617</c:v>
                </c:pt>
                <c:pt idx="42">
                  <c:v>45618</c:v>
                </c:pt>
                <c:pt idx="43">
                  <c:v>45619</c:v>
                </c:pt>
                <c:pt idx="44">
                  <c:v>45620</c:v>
                </c:pt>
                <c:pt idx="45">
                  <c:v>45621</c:v>
                </c:pt>
                <c:pt idx="46">
                  <c:v>45622</c:v>
                </c:pt>
                <c:pt idx="47">
                  <c:v>45623</c:v>
                </c:pt>
                <c:pt idx="48">
                  <c:v>45624</c:v>
                </c:pt>
                <c:pt idx="49">
                  <c:v>45625</c:v>
                </c:pt>
                <c:pt idx="50">
                  <c:v>45626</c:v>
                </c:pt>
                <c:pt idx="51">
                  <c:v>45627</c:v>
                </c:pt>
                <c:pt idx="52">
                  <c:v>45628</c:v>
                </c:pt>
                <c:pt idx="53">
                  <c:v>45629</c:v>
                </c:pt>
                <c:pt idx="54">
                  <c:v>45630</c:v>
                </c:pt>
                <c:pt idx="55">
                  <c:v>45631</c:v>
                </c:pt>
                <c:pt idx="56">
                  <c:v>45632</c:v>
                </c:pt>
                <c:pt idx="57">
                  <c:v>45633</c:v>
                </c:pt>
                <c:pt idx="58">
                  <c:v>45634</c:v>
                </c:pt>
                <c:pt idx="59">
                  <c:v>45635</c:v>
                </c:pt>
                <c:pt idx="60">
                  <c:v>45636</c:v>
                </c:pt>
                <c:pt idx="61">
                  <c:v>45637</c:v>
                </c:pt>
                <c:pt idx="62">
                  <c:v>45638</c:v>
                </c:pt>
                <c:pt idx="63">
                  <c:v>45639</c:v>
                </c:pt>
                <c:pt idx="64">
                  <c:v>45640</c:v>
                </c:pt>
                <c:pt idx="65">
                  <c:v>45641</c:v>
                </c:pt>
                <c:pt idx="66">
                  <c:v>45642</c:v>
                </c:pt>
                <c:pt idx="67">
                  <c:v>45643</c:v>
                </c:pt>
                <c:pt idx="68">
                  <c:v>45644</c:v>
                </c:pt>
                <c:pt idx="69">
                  <c:v>45645</c:v>
                </c:pt>
                <c:pt idx="70">
                  <c:v>45646</c:v>
                </c:pt>
                <c:pt idx="71">
                  <c:v>45647</c:v>
                </c:pt>
                <c:pt idx="72">
                  <c:v>45648</c:v>
                </c:pt>
                <c:pt idx="73">
                  <c:v>45649</c:v>
                </c:pt>
                <c:pt idx="74">
                  <c:v>45650</c:v>
                </c:pt>
                <c:pt idx="75">
                  <c:v>45651</c:v>
                </c:pt>
                <c:pt idx="76">
                  <c:v>45652</c:v>
                </c:pt>
                <c:pt idx="77">
                  <c:v>45653</c:v>
                </c:pt>
                <c:pt idx="78">
                  <c:v>45654</c:v>
                </c:pt>
                <c:pt idx="79">
                  <c:v>45655</c:v>
                </c:pt>
                <c:pt idx="80">
                  <c:v>45656</c:v>
                </c:pt>
                <c:pt idx="81">
                  <c:v>45657</c:v>
                </c:pt>
                <c:pt idx="82">
                  <c:v>45658</c:v>
                </c:pt>
                <c:pt idx="83">
                  <c:v>45659</c:v>
                </c:pt>
                <c:pt idx="84">
                  <c:v>45660</c:v>
                </c:pt>
                <c:pt idx="85">
                  <c:v>45661</c:v>
                </c:pt>
                <c:pt idx="86">
                  <c:v>45662</c:v>
                </c:pt>
                <c:pt idx="87">
                  <c:v>45663</c:v>
                </c:pt>
                <c:pt idx="88">
                  <c:v>45664</c:v>
                </c:pt>
                <c:pt idx="89">
                  <c:v>45665</c:v>
                </c:pt>
                <c:pt idx="90">
                  <c:v>45666</c:v>
                </c:pt>
                <c:pt idx="91">
                  <c:v>45667</c:v>
                </c:pt>
                <c:pt idx="92">
                  <c:v>45668</c:v>
                </c:pt>
                <c:pt idx="93">
                  <c:v>45669</c:v>
                </c:pt>
                <c:pt idx="94">
                  <c:v>45670</c:v>
                </c:pt>
                <c:pt idx="95">
                  <c:v>45671</c:v>
                </c:pt>
                <c:pt idx="96">
                  <c:v>45672</c:v>
                </c:pt>
                <c:pt idx="97">
                  <c:v>45673</c:v>
                </c:pt>
                <c:pt idx="98">
                  <c:v>45674</c:v>
                </c:pt>
                <c:pt idx="99">
                  <c:v>45675</c:v>
                </c:pt>
                <c:pt idx="100">
                  <c:v>45676</c:v>
                </c:pt>
                <c:pt idx="101">
                  <c:v>45677</c:v>
                </c:pt>
                <c:pt idx="102">
                  <c:v>45678</c:v>
                </c:pt>
                <c:pt idx="103">
                  <c:v>45679</c:v>
                </c:pt>
                <c:pt idx="104">
                  <c:v>45680</c:v>
                </c:pt>
                <c:pt idx="105">
                  <c:v>45681</c:v>
                </c:pt>
                <c:pt idx="106">
                  <c:v>45682</c:v>
                </c:pt>
                <c:pt idx="107">
                  <c:v>45683</c:v>
                </c:pt>
                <c:pt idx="108">
                  <c:v>45684</c:v>
                </c:pt>
                <c:pt idx="109">
                  <c:v>45685</c:v>
                </c:pt>
                <c:pt idx="110">
                  <c:v>45686</c:v>
                </c:pt>
                <c:pt idx="111">
                  <c:v>45687</c:v>
                </c:pt>
                <c:pt idx="112">
                  <c:v>45688</c:v>
                </c:pt>
                <c:pt idx="113">
                  <c:v>45689</c:v>
                </c:pt>
                <c:pt idx="114">
                  <c:v>45690</c:v>
                </c:pt>
                <c:pt idx="115">
                  <c:v>45691</c:v>
                </c:pt>
                <c:pt idx="116">
                  <c:v>45692</c:v>
                </c:pt>
                <c:pt idx="117">
                  <c:v>45693</c:v>
                </c:pt>
                <c:pt idx="118">
                  <c:v>45694</c:v>
                </c:pt>
                <c:pt idx="119">
                  <c:v>45695</c:v>
                </c:pt>
                <c:pt idx="120">
                  <c:v>45696</c:v>
                </c:pt>
                <c:pt idx="121">
                  <c:v>45697</c:v>
                </c:pt>
                <c:pt idx="122">
                  <c:v>45698</c:v>
                </c:pt>
                <c:pt idx="123">
                  <c:v>45699</c:v>
                </c:pt>
                <c:pt idx="124">
                  <c:v>45700</c:v>
                </c:pt>
                <c:pt idx="125">
                  <c:v>45701</c:v>
                </c:pt>
                <c:pt idx="126">
                  <c:v>45702</c:v>
                </c:pt>
                <c:pt idx="127">
                  <c:v>45703</c:v>
                </c:pt>
                <c:pt idx="128">
                  <c:v>45704</c:v>
                </c:pt>
                <c:pt idx="129">
                  <c:v>45705</c:v>
                </c:pt>
                <c:pt idx="130">
                  <c:v>45706</c:v>
                </c:pt>
                <c:pt idx="131">
                  <c:v>45707</c:v>
                </c:pt>
                <c:pt idx="132">
                  <c:v>45708</c:v>
                </c:pt>
                <c:pt idx="133">
                  <c:v>45709</c:v>
                </c:pt>
                <c:pt idx="134">
                  <c:v>45710</c:v>
                </c:pt>
                <c:pt idx="135">
                  <c:v>45711</c:v>
                </c:pt>
                <c:pt idx="136">
                  <c:v>45712</c:v>
                </c:pt>
                <c:pt idx="137">
                  <c:v>45713</c:v>
                </c:pt>
                <c:pt idx="138">
                  <c:v>45714</c:v>
                </c:pt>
                <c:pt idx="139">
                  <c:v>45715</c:v>
                </c:pt>
                <c:pt idx="140">
                  <c:v>45716</c:v>
                </c:pt>
                <c:pt idx="141">
                  <c:v>45717</c:v>
                </c:pt>
                <c:pt idx="142">
                  <c:v>45718</c:v>
                </c:pt>
                <c:pt idx="143">
                  <c:v>45719</c:v>
                </c:pt>
                <c:pt idx="144">
                  <c:v>45720</c:v>
                </c:pt>
                <c:pt idx="145">
                  <c:v>45721</c:v>
                </c:pt>
                <c:pt idx="146">
                  <c:v>45722</c:v>
                </c:pt>
                <c:pt idx="147">
                  <c:v>45723</c:v>
                </c:pt>
                <c:pt idx="148">
                  <c:v>45724</c:v>
                </c:pt>
                <c:pt idx="149">
                  <c:v>45725</c:v>
                </c:pt>
                <c:pt idx="150">
                  <c:v>45726</c:v>
                </c:pt>
                <c:pt idx="151">
                  <c:v>45727</c:v>
                </c:pt>
                <c:pt idx="152">
                  <c:v>45728</c:v>
                </c:pt>
                <c:pt idx="153">
                  <c:v>45729</c:v>
                </c:pt>
                <c:pt idx="154">
                  <c:v>45730</c:v>
                </c:pt>
                <c:pt idx="155">
                  <c:v>45731</c:v>
                </c:pt>
                <c:pt idx="156">
                  <c:v>45732</c:v>
                </c:pt>
                <c:pt idx="157">
                  <c:v>45733</c:v>
                </c:pt>
                <c:pt idx="158">
                  <c:v>45734</c:v>
                </c:pt>
                <c:pt idx="159">
                  <c:v>45735</c:v>
                </c:pt>
                <c:pt idx="160">
                  <c:v>45736</c:v>
                </c:pt>
                <c:pt idx="161">
                  <c:v>45737</c:v>
                </c:pt>
                <c:pt idx="162">
                  <c:v>45738</c:v>
                </c:pt>
                <c:pt idx="163">
                  <c:v>45739</c:v>
                </c:pt>
                <c:pt idx="164">
                  <c:v>45740</c:v>
                </c:pt>
                <c:pt idx="165">
                  <c:v>45741</c:v>
                </c:pt>
                <c:pt idx="166">
                  <c:v>45742</c:v>
                </c:pt>
                <c:pt idx="167">
                  <c:v>45743</c:v>
                </c:pt>
                <c:pt idx="168">
                  <c:v>45744</c:v>
                </c:pt>
                <c:pt idx="169">
                  <c:v>45745</c:v>
                </c:pt>
                <c:pt idx="170">
                  <c:v>45746</c:v>
                </c:pt>
                <c:pt idx="171">
                  <c:v>45747</c:v>
                </c:pt>
                <c:pt idx="172">
                  <c:v>45748</c:v>
                </c:pt>
                <c:pt idx="173">
                  <c:v>45749</c:v>
                </c:pt>
                <c:pt idx="174">
                  <c:v>45750</c:v>
                </c:pt>
                <c:pt idx="175">
                  <c:v>45751</c:v>
                </c:pt>
                <c:pt idx="176">
                  <c:v>45752</c:v>
                </c:pt>
                <c:pt idx="177">
                  <c:v>45753</c:v>
                </c:pt>
                <c:pt idx="178">
                  <c:v>45754</c:v>
                </c:pt>
                <c:pt idx="179">
                  <c:v>45755</c:v>
                </c:pt>
                <c:pt idx="180">
                  <c:v>45756</c:v>
                </c:pt>
                <c:pt idx="181">
                  <c:v>45757</c:v>
                </c:pt>
                <c:pt idx="182">
                  <c:v>45758</c:v>
                </c:pt>
                <c:pt idx="183">
                  <c:v>45759</c:v>
                </c:pt>
                <c:pt idx="184">
                  <c:v>45760</c:v>
                </c:pt>
                <c:pt idx="185">
                  <c:v>45761</c:v>
                </c:pt>
                <c:pt idx="186">
                  <c:v>45762</c:v>
                </c:pt>
                <c:pt idx="187">
                  <c:v>45763</c:v>
                </c:pt>
                <c:pt idx="188">
                  <c:v>45764</c:v>
                </c:pt>
                <c:pt idx="189">
                  <c:v>45765</c:v>
                </c:pt>
                <c:pt idx="190">
                  <c:v>45766</c:v>
                </c:pt>
                <c:pt idx="191">
                  <c:v>45767</c:v>
                </c:pt>
                <c:pt idx="192">
                  <c:v>45768</c:v>
                </c:pt>
                <c:pt idx="193">
                  <c:v>45769</c:v>
                </c:pt>
                <c:pt idx="194">
                  <c:v>45770</c:v>
                </c:pt>
                <c:pt idx="195">
                  <c:v>45771</c:v>
                </c:pt>
                <c:pt idx="196">
                  <c:v>45772</c:v>
                </c:pt>
                <c:pt idx="197">
                  <c:v>45773</c:v>
                </c:pt>
                <c:pt idx="198">
                  <c:v>45774</c:v>
                </c:pt>
                <c:pt idx="199">
                  <c:v>45775</c:v>
                </c:pt>
                <c:pt idx="200">
                  <c:v>45776</c:v>
                </c:pt>
                <c:pt idx="201">
                  <c:v>45777</c:v>
                </c:pt>
                <c:pt idx="202">
                  <c:v>45778</c:v>
                </c:pt>
                <c:pt idx="203">
                  <c:v>45779</c:v>
                </c:pt>
                <c:pt idx="204">
                  <c:v>45780</c:v>
                </c:pt>
                <c:pt idx="205">
                  <c:v>45781</c:v>
                </c:pt>
                <c:pt idx="206">
                  <c:v>45782</c:v>
                </c:pt>
                <c:pt idx="207">
                  <c:v>45783</c:v>
                </c:pt>
                <c:pt idx="208">
                  <c:v>45784</c:v>
                </c:pt>
                <c:pt idx="209">
                  <c:v>45785</c:v>
                </c:pt>
                <c:pt idx="210">
                  <c:v>45786</c:v>
                </c:pt>
                <c:pt idx="211">
                  <c:v>45787</c:v>
                </c:pt>
                <c:pt idx="212">
                  <c:v>45788</c:v>
                </c:pt>
                <c:pt idx="213">
                  <c:v>45789</c:v>
                </c:pt>
                <c:pt idx="214">
                  <c:v>45790</c:v>
                </c:pt>
                <c:pt idx="215">
                  <c:v>45791</c:v>
                </c:pt>
                <c:pt idx="216">
                  <c:v>45792</c:v>
                </c:pt>
                <c:pt idx="217">
                  <c:v>45793</c:v>
                </c:pt>
                <c:pt idx="218">
                  <c:v>45794</c:v>
                </c:pt>
                <c:pt idx="219">
                  <c:v>45795</c:v>
                </c:pt>
                <c:pt idx="220">
                  <c:v>45796</c:v>
                </c:pt>
                <c:pt idx="221">
                  <c:v>45797</c:v>
                </c:pt>
                <c:pt idx="222">
                  <c:v>45798</c:v>
                </c:pt>
                <c:pt idx="223">
                  <c:v>45799</c:v>
                </c:pt>
                <c:pt idx="224">
                  <c:v>45800</c:v>
                </c:pt>
                <c:pt idx="225">
                  <c:v>45801</c:v>
                </c:pt>
                <c:pt idx="226">
                  <c:v>45802</c:v>
                </c:pt>
                <c:pt idx="227">
                  <c:v>45803</c:v>
                </c:pt>
                <c:pt idx="228">
                  <c:v>45804</c:v>
                </c:pt>
                <c:pt idx="229">
                  <c:v>45805</c:v>
                </c:pt>
                <c:pt idx="230">
                  <c:v>45806</c:v>
                </c:pt>
                <c:pt idx="231">
                  <c:v>45807</c:v>
                </c:pt>
                <c:pt idx="232">
                  <c:v>45808</c:v>
                </c:pt>
              </c:numCache>
            </c:numRef>
          </c:xVal>
          <c:yVal>
            <c:numRef>
              <c:f>'Km83+900'!$AF$11:$AF$469</c:f>
              <c:numCache>
                <c:formatCode>0</c:formatCode>
                <c:ptCount val="459"/>
                <c:pt idx="0">
                  <c:v>0</c:v>
                </c:pt>
                <c:pt idx="1">
                  <c:v>-4</c:v>
                </c:pt>
                <c:pt idx="2">
                  <c:v>-8</c:v>
                </c:pt>
                <c:pt idx="3">
                  <c:v>-15</c:v>
                </c:pt>
                <c:pt idx="4">
                  <c:v>-21</c:v>
                </c:pt>
                <c:pt idx="5">
                  <c:v>-30</c:v>
                </c:pt>
                <c:pt idx="6">
                  <c:v>-39</c:v>
                </c:pt>
                <c:pt idx="7">
                  <c:v>-47</c:v>
                </c:pt>
                <c:pt idx="8">
                  <c:v>-54</c:v>
                </c:pt>
                <c:pt idx="9">
                  <c:v>-63</c:v>
                </c:pt>
                <c:pt idx="10">
                  <c:v>-72</c:v>
                </c:pt>
                <c:pt idx="11">
                  <c:v>-80</c:v>
                </c:pt>
                <c:pt idx="12">
                  <c:v>-87</c:v>
                </c:pt>
                <c:pt idx="13">
                  <c:v>-92</c:v>
                </c:pt>
                <c:pt idx="14">
                  <c:v>-101</c:v>
                </c:pt>
                <c:pt idx="15">
                  <c:v>-108</c:v>
                </c:pt>
                <c:pt idx="16">
                  <c:v>-115</c:v>
                </c:pt>
                <c:pt idx="17">
                  <c:v>-122</c:v>
                </c:pt>
                <c:pt idx="18">
                  <c:v>-130</c:v>
                </c:pt>
                <c:pt idx="19">
                  <c:v>-138</c:v>
                </c:pt>
                <c:pt idx="20">
                  <c:v>-146</c:v>
                </c:pt>
                <c:pt idx="21">
                  <c:v>-153</c:v>
                </c:pt>
                <c:pt idx="22">
                  <c:v>-161</c:v>
                </c:pt>
                <c:pt idx="23">
                  <c:v>-168</c:v>
                </c:pt>
                <c:pt idx="24">
                  <c:v>-175</c:v>
                </c:pt>
                <c:pt idx="25">
                  <c:v>-182</c:v>
                </c:pt>
                <c:pt idx="26">
                  <c:v>-188</c:v>
                </c:pt>
                <c:pt idx="27">
                  <c:v>-194</c:v>
                </c:pt>
                <c:pt idx="28">
                  <c:v>-200</c:v>
                </c:pt>
                <c:pt idx="29">
                  <c:v>-207</c:v>
                </c:pt>
                <c:pt idx="30">
                  <c:v>-213</c:v>
                </c:pt>
                <c:pt idx="31">
                  <c:v>-219</c:v>
                </c:pt>
                <c:pt idx="32">
                  <c:v>-224</c:v>
                </c:pt>
                <c:pt idx="33">
                  <c:v>-230</c:v>
                </c:pt>
                <c:pt idx="34">
                  <c:v>-235</c:v>
                </c:pt>
                <c:pt idx="35">
                  <c:v>-240</c:v>
                </c:pt>
                <c:pt idx="36">
                  <c:v>-245</c:v>
                </c:pt>
                <c:pt idx="37">
                  <c:v>-248</c:v>
                </c:pt>
                <c:pt idx="38">
                  <c:v>-254</c:v>
                </c:pt>
                <c:pt idx="39">
                  <c:v>-257</c:v>
                </c:pt>
                <c:pt idx="40">
                  <c:v>-260</c:v>
                </c:pt>
                <c:pt idx="41">
                  <c:v>-263</c:v>
                </c:pt>
                <c:pt idx="42">
                  <c:v>-266</c:v>
                </c:pt>
                <c:pt idx="43">
                  <c:v>-268</c:v>
                </c:pt>
                <c:pt idx="44">
                  <c:v>-270</c:v>
                </c:pt>
                <c:pt idx="45">
                  <c:v>-272</c:v>
                </c:pt>
                <c:pt idx="46">
                  <c:v>-274</c:v>
                </c:pt>
                <c:pt idx="47">
                  <c:v>-277</c:v>
                </c:pt>
                <c:pt idx="48">
                  <c:v>-280</c:v>
                </c:pt>
                <c:pt idx="49">
                  <c:v>-283</c:v>
                </c:pt>
                <c:pt idx="50">
                  <c:v>-284</c:v>
                </c:pt>
                <c:pt idx="51">
                  <c:v>-285</c:v>
                </c:pt>
                <c:pt idx="52">
                  <c:v>-286</c:v>
                </c:pt>
                <c:pt idx="53">
                  <c:v>-287</c:v>
                </c:pt>
                <c:pt idx="54">
                  <c:v>-288</c:v>
                </c:pt>
                <c:pt idx="55">
                  <c:v>-288</c:v>
                </c:pt>
                <c:pt idx="56">
                  <c:v>-291</c:v>
                </c:pt>
                <c:pt idx="57">
                  <c:v>-291</c:v>
                </c:pt>
                <c:pt idx="58">
                  <c:v>-291</c:v>
                </c:pt>
                <c:pt idx="59">
                  <c:v>-293</c:v>
                </c:pt>
                <c:pt idx="60">
                  <c:v>-293</c:v>
                </c:pt>
                <c:pt idx="61">
                  <c:v>-294</c:v>
                </c:pt>
                <c:pt idx="62">
                  <c:v>-295</c:v>
                </c:pt>
                <c:pt idx="63">
                  <c:v>-295</c:v>
                </c:pt>
                <c:pt idx="64">
                  <c:v>-297</c:v>
                </c:pt>
                <c:pt idx="65">
                  <c:v>-297</c:v>
                </c:pt>
                <c:pt idx="66">
                  <c:v>-297</c:v>
                </c:pt>
                <c:pt idx="67">
                  <c:v>-297</c:v>
                </c:pt>
                <c:pt idx="68">
                  <c:v>-301</c:v>
                </c:pt>
                <c:pt idx="69">
                  <c:v>-301</c:v>
                </c:pt>
                <c:pt idx="70">
                  <c:v>-301</c:v>
                </c:pt>
                <c:pt idx="71">
                  <c:v>-303</c:v>
                </c:pt>
                <c:pt idx="72">
                  <c:v>-306</c:v>
                </c:pt>
                <c:pt idx="73">
                  <c:v>-306</c:v>
                </c:pt>
                <c:pt idx="74">
                  <c:v>-307</c:v>
                </c:pt>
                <c:pt idx="75">
                  <c:v>-308</c:v>
                </c:pt>
                <c:pt idx="76">
                  <c:v>-311</c:v>
                </c:pt>
                <c:pt idx="77">
                  <c:v>-312</c:v>
                </c:pt>
                <c:pt idx="78">
                  <c:v>-312</c:v>
                </c:pt>
                <c:pt idx="79">
                  <c:v>-313</c:v>
                </c:pt>
                <c:pt idx="80">
                  <c:v>-315</c:v>
                </c:pt>
                <c:pt idx="81">
                  <c:v>-317</c:v>
                </c:pt>
                <c:pt idx="82">
                  <c:v>-318</c:v>
                </c:pt>
                <c:pt idx="83">
                  <c:v>-321</c:v>
                </c:pt>
                <c:pt idx="84">
                  <c:v>-321</c:v>
                </c:pt>
                <c:pt idx="85">
                  <c:v>-321</c:v>
                </c:pt>
                <c:pt idx="86">
                  <c:v>-321</c:v>
                </c:pt>
                <c:pt idx="87">
                  <c:v>-321</c:v>
                </c:pt>
                <c:pt idx="88">
                  <c:v>-322</c:v>
                </c:pt>
                <c:pt idx="89">
                  <c:v>-322</c:v>
                </c:pt>
                <c:pt idx="90">
                  <c:v>-322</c:v>
                </c:pt>
                <c:pt idx="91">
                  <c:v>-322</c:v>
                </c:pt>
                <c:pt idx="92">
                  <c:v>-324</c:v>
                </c:pt>
                <c:pt idx="93">
                  <c:v>-324</c:v>
                </c:pt>
                <c:pt idx="94">
                  <c:v>-324</c:v>
                </c:pt>
                <c:pt idx="95">
                  <c:v>-324</c:v>
                </c:pt>
                <c:pt idx="96">
                  <c:v>-327</c:v>
                </c:pt>
                <c:pt idx="97">
                  <c:v>-327</c:v>
                </c:pt>
                <c:pt idx="98">
                  <c:v>-327</c:v>
                </c:pt>
                <c:pt idx="99">
                  <c:v>-330</c:v>
                </c:pt>
                <c:pt idx="100">
                  <c:v>-331</c:v>
                </c:pt>
                <c:pt idx="101">
                  <c:v>-333</c:v>
                </c:pt>
                <c:pt idx="102">
                  <c:v>-333</c:v>
                </c:pt>
                <c:pt idx="103">
                  <c:v>-334</c:v>
                </c:pt>
                <c:pt idx="104">
                  <c:v>-334</c:v>
                </c:pt>
                <c:pt idx="105">
                  <c:v>-335</c:v>
                </c:pt>
                <c:pt idx="106">
                  <c:v>-337</c:v>
                </c:pt>
                <c:pt idx="107">
                  <c:v>-337</c:v>
                </c:pt>
                <c:pt idx="108">
                  <c:v>-339</c:v>
                </c:pt>
                <c:pt idx="109">
                  <c:v>-339</c:v>
                </c:pt>
                <c:pt idx="110">
                  <c:v>-339</c:v>
                </c:pt>
                <c:pt idx="111">
                  <c:v>-341</c:v>
                </c:pt>
                <c:pt idx="112">
                  <c:v>-341</c:v>
                </c:pt>
                <c:pt idx="113">
                  <c:v>-341</c:v>
                </c:pt>
                <c:pt idx="114">
                  <c:v>-345</c:v>
                </c:pt>
                <c:pt idx="115">
                  <c:v>-345</c:v>
                </c:pt>
                <c:pt idx="116">
                  <c:v>-345</c:v>
                </c:pt>
                <c:pt idx="117">
                  <c:v>-348</c:v>
                </c:pt>
                <c:pt idx="118">
                  <c:v>-348</c:v>
                </c:pt>
                <c:pt idx="119">
                  <c:v>-348</c:v>
                </c:pt>
                <c:pt idx="120">
                  <c:v>-349</c:v>
                </c:pt>
                <c:pt idx="121">
                  <c:v>-349</c:v>
                </c:pt>
                <c:pt idx="122">
                  <c:v>-353</c:v>
                </c:pt>
                <c:pt idx="123">
                  <c:v>-353</c:v>
                </c:pt>
                <c:pt idx="124">
                  <c:v>-353</c:v>
                </c:pt>
                <c:pt idx="125">
                  <c:v>-354</c:v>
                </c:pt>
                <c:pt idx="126">
                  <c:v>-355</c:v>
                </c:pt>
                <c:pt idx="127">
                  <c:v>-355</c:v>
                </c:pt>
                <c:pt idx="128">
                  <c:v>-355</c:v>
                </c:pt>
                <c:pt idx="129">
                  <c:v>-359</c:v>
                </c:pt>
                <c:pt idx="130">
                  <c:v>-362</c:v>
                </c:pt>
                <c:pt idx="131">
                  <c:v>-362</c:v>
                </c:pt>
                <c:pt idx="132">
                  <c:v>-365</c:v>
                </c:pt>
                <c:pt idx="133">
                  <c:v>-365</c:v>
                </c:pt>
                <c:pt idx="134">
                  <c:v>-368</c:v>
                </c:pt>
                <c:pt idx="135">
                  <c:v>-368</c:v>
                </c:pt>
                <c:pt idx="136">
                  <c:v>-368</c:v>
                </c:pt>
                <c:pt idx="137">
                  <c:v>-371</c:v>
                </c:pt>
                <c:pt idx="138">
                  <c:v>-371</c:v>
                </c:pt>
                <c:pt idx="139">
                  <c:v>-373</c:v>
                </c:pt>
                <c:pt idx="140">
                  <c:v>-373</c:v>
                </c:pt>
                <c:pt idx="141">
                  <c:v>-377</c:v>
                </c:pt>
                <c:pt idx="142">
                  <c:v>-377</c:v>
                </c:pt>
                <c:pt idx="143">
                  <c:v>-377</c:v>
                </c:pt>
                <c:pt idx="144">
                  <c:v>-381</c:v>
                </c:pt>
                <c:pt idx="145">
                  <c:v>-381</c:v>
                </c:pt>
                <c:pt idx="146">
                  <c:v>-382</c:v>
                </c:pt>
                <c:pt idx="147">
                  <c:v>-383</c:v>
                </c:pt>
                <c:pt idx="148">
                  <c:v>-386</c:v>
                </c:pt>
                <c:pt idx="149">
                  <c:v>-388</c:v>
                </c:pt>
                <c:pt idx="150">
                  <c:v>-388</c:v>
                </c:pt>
                <c:pt idx="151">
                  <c:v>-388</c:v>
                </c:pt>
                <c:pt idx="152">
                  <c:v>-388</c:v>
                </c:pt>
                <c:pt idx="153">
                  <c:v>-391</c:v>
                </c:pt>
                <c:pt idx="154">
                  <c:v>-391</c:v>
                </c:pt>
                <c:pt idx="155">
                  <c:v>-391</c:v>
                </c:pt>
                <c:pt idx="156">
                  <c:v>-395</c:v>
                </c:pt>
                <c:pt idx="157">
                  <c:v>-395</c:v>
                </c:pt>
                <c:pt idx="158">
                  <c:v>-395</c:v>
                </c:pt>
                <c:pt idx="159">
                  <c:v>-396</c:v>
                </c:pt>
                <c:pt idx="160">
                  <c:v>-397</c:v>
                </c:pt>
                <c:pt idx="161">
                  <c:v>-397</c:v>
                </c:pt>
                <c:pt idx="162">
                  <c:v>-398</c:v>
                </c:pt>
                <c:pt idx="163">
                  <c:v>-398</c:v>
                </c:pt>
                <c:pt idx="164">
                  <c:v>-399</c:v>
                </c:pt>
                <c:pt idx="165">
                  <c:v>-401</c:v>
                </c:pt>
                <c:pt idx="166">
                  <c:v>-405</c:v>
                </c:pt>
                <c:pt idx="167">
                  <c:v>-406</c:v>
                </c:pt>
                <c:pt idx="168">
                  <c:v>-406</c:v>
                </c:pt>
                <c:pt idx="169">
                  <c:v>-406</c:v>
                </c:pt>
                <c:pt idx="170">
                  <c:v>-409</c:v>
                </c:pt>
                <c:pt idx="171">
                  <c:v>-409</c:v>
                </c:pt>
                <c:pt idx="172">
                  <c:v>-409</c:v>
                </c:pt>
                <c:pt idx="173">
                  <c:v>-410</c:v>
                </c:pt>
                <c:pt idx="174">
                  <c:v>-410</c:v>
                </c:pt>
                <c:pt idx="175">
                  <c:v>-410</c:v>
                </c:pt>
                <c:pt idx="176">
                  <c:v>-413</c:v>
                </c:pt>
                <c:pt idx="177">
                  <c:v>-415</c:v>
                </c:pt>
                <c:pt idx="178">
                  <c:v>-415</c:v>
                </c:pt>
                <c:pt idx="179">
                  <c:v>-415</c:v>
                </c:pt>
                <c:pt idx="180">
                  <c:v>-415</c:v>
                </c:pt>
                <c:pt idx="181">
                  <c:v>-424</c:v>
                </c:pt>
                <c:pt idx="182">
                  <c:v>-433</c:v>
                </c:pt>
                <c:pt idx="183">
                  <c:v>-442</c:v>
                </c:pt>
                <c:pt idx="184">
                  <c:v>-450</c:v>
                </c:pt>
                <c:pt idx="185">
                  <c:v>-459</c:v>
                </c:pt>
                <c:pt idx="186">
                  <c:v>-468</c:v>
                </c:pt>
                <c:pt idx="187">
                  <c:v>-477</c:v>
                </c:pt>
                <c:pt idx="188">
                  <c:v>-485</c:v>
                </c:pt>
                <c:pt idx="189">
                  <c:v>-494</c:v>
                </c:pt>
                <c:pt idx="190">
                  <c:v>-502</c:v>
                </c:pt>
                <c:pt idx="191">
                  <c:v>-510</c:v>
                </c:pt>
                <c:pt idx="192">
                  <c:v>-516</c:v>
                </c:pt>
                <c:pt idx="193">
                  <c:v>-524</c:v>
                </c:pt>
                <c:pt idx="194">
                  <c:v>-531</c:v>
                </c:pt>
                <c:pt idx="195">
                  <c:v>-538</c:v>
                </c:pt>
                <c:pt idx="196">
                  <c:v>-546</c:v>
                </c:pt>
                <c:pt idx="197">
                  <c:v>-554</c:v>
                </c:pt>
                <c:pt idx="198">
                  <c:v>-561</c:v>
                </c:pt>
                <c:pt idx="199">
                  <c:v>-568</c:v>
                </c:pt>
                <c:pt idx="200">
                  <c:v>-575</c:v>
                </c:pt>
                <c:pt idx="201">
                  <c:v>-581</c:v>
                </c:pt>
                <c:pt idx="202">
                  <c:v>-587</c:v>
                </c:pt>
                <c:pt idx="203">
                  <c:v>-593</c:v>
                </c:pt>
                <c:pt idx="204">
                  <c:v>-597</c:v>
                </c:pt>
                <c:pt idx="205">
                  <c:v>-602</c:v>
                </c:pt>
                <c:pt idx="206">
                  <c:v>-606</c:v>
                </c:pt>
                <c:pt idx="207">
                  <c:v>-612</c:v>
                </c:pt>
                <c:pt idx="208">
                  <c:v>-618</c:v>
                </c:pt>
                <c:pt idx="209">
                  <c:v>-624</c:v>
                </c:pt>
                <c:pt idx="210">
                  <c:v>-630</c:v>
                </c:pt>
                <c:pt idx="211">
                  <c:v>-635</c:v>
                </c:pt>
                <c:pt idx="212">
                  <c:v>-640</c:v>
                </c:pt>
                <c:pt idx="213">
                  <c:v>-646</c:v>
                </c:pt>
                <c:pt idx="214">
                  <c:v>-651</c:v>
                </c:pt>
                <c:pt idx="215">
                  <c:v>-656</c:v>
                </c:pt>
                <c:pt idx="216">
                  <c:v>-661</c:v>
                </c:pt>
                <c:pt idx="217">
                  <c:v>-666</c:v>
                </c:pt>
                <c:pt idx="218">
                  <c:v>-670</c:v>
                </c:pt>
                <c:pt idx="219">
                  <c:v>-673</c:v>
                </c:pt>
                <c:pt idx="220">
                  <c:v>-677</c:v>
                </c:pt>
                <c:pt idx="221">
                  <c:v>-680</c:v>
                </c:pt>
                <c:pt idx="222">
                  <c:v>-684</c:v>
                </c:pt>
                <c:pt idx="223">
                  <c:v>-687</c:v>
                </c:pt>
                <c:pt idx="224">
                  <c:v>-689</c:v>
                </c:pt>
                <c:pt idx="225">
                  <c:v>-692</c:v>
                </c:pt>
                <c:pt idx="226">
                  <c:v>-694</c:v>
                </c:pt>
                <c:pt idx="227">
                  <c:v>-697</c:v>
                </c:pt>
                <c:pt idx="228">
                  <c:v>-700</c:v>
                </c:pt>
                <c:pt idx="229">
                  <c:v>-702</c:v>
                </c:pt>
                <c:pt idx="230">
                  <c:v>-704</c:v>
                </c:pt>
                <c:pt idx="231">
                  <c:v>-706</c:v>
                </c:pt>
                <c:pt idx="232">
                  <c:v>-709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55-4B88-8007-E5E4D4EC1572}"/>
            </c:ext>
          </c:extLst>
        </c:ser>
        <c:ser>
          <c:idx val="2"/>
          <c:order val="2"/>
          <c:tx>
            <c:strRef>
              <c:f>'Km83+900'!$AG$9</c:f>
              <c:strCache>
                <c:ptCount val="1"/>
                <c:pt idx="0">
                  <c:v>Tim</c:v>
                </c:pt>
              </c:strCache>
            </c:strRef>
          </c:tx>
          <c:marker>
            <c:symbol val="triangle"/>
            <c:size val="2"/>
            <c:spPr>
              <a:solidFill>
                <a:srgbClr val="0000FF"/>
              </a:solidFill>
              <a:ln w="12700">
                <a:solidFill>
                  <a:srgbClr val="0000FF"/>
                </a:solidFill>
                <a:prstDash val="solid"/>
              </a:ln>
            </c:spPr>
          </c:marker>
          <c:xVal>
            <c:numRef>
              <c:f>'Km83+900'!$B$11:$B$331</c:f>
              <c:numCache>
                <c:formatCode>[$-1010000]d/m/yyyy;@</c:formatCode>
                <c:ptCount val="321"/>
                <c:pt idx="0">
                  <c:v>45576</c:v>
                </c:pt>
                <c:pt idx="1">
                  <c:v>45577</c:v>
                </c:pt>
                <c:pt idx="2">
                  <c:v>45578</c:v>
                </c:pt>
                <c:pt idx="3">
                  <c:v>45579</c:v>
                </c:pt>
                <c:pt idx="4">
                  <c:v>45580</c:v>
                </c:pt>
                <c:pt idx="5">
                  <c:v>45581</c:v>
                </c:pt>
                <c:pt idx="6">
                  <c:v>45582</c:v>
                </c:pt>
                <c:pt idx="7">
                  <c:v>45583</c:v>
                </c:pt>
                <c:pt idx="8">
                  <c:v>45584</c:v>
                </c:pt>
                <c:pt idx="9">
                  <c:v>45585</c:v>
                </c:pt>
                <c:pt idx="10">
                  <c:v>45586</c:v>
                </c:pt>
                <c:pt idx="11">
                  <c:v>45587</c:v>
                </c:pt>
                <c:pt idx="12">
                  <c:v>45588</c:v>
                </c:pt>
                <c:pt idx="13">
                  <c:v>45589</c:v>
                </c:pt>
                <c:pt idx="14">
                  <c:v>45590</c:v>
                </c:pt>
                <c:pt idx="15">
                  <c:v>45591</c:v>
                </c:pt>
                <c:pt idx="16">
                  <c:v>45592</c:v>
                </c:pt>
                <c:pt idx="17">
                  <c:v>45593</c:v>
                </c:pt>
                <c:pt idx="18">
                  <c:v>45594</c:v>
                </c:pt>
                <c:pt idx="19">
                  <c:v>45595</c:v>
                </c:pt>
                <c:pt idx="20">
                  <c:v>45596</c:v>
                </c:pt>
                <c:pt idx="21">
                  <c:v>45597</c:v>
                </c:pt>
                <c:pt idx="22">
                  <c:v>45598</c:v>
                </c:pt>
                <c:pt idx="23">
                  <c:v>45599</c:v>
                </c:pt>
                <c:pt idx="24">
                  <c:v>45600</c:v>
                </c:pt>
                <c:pt idx="25">
                  <c:v>45601</c:v>
                </c:pt>
                <c:pt idx="26">
                  <c:v>45602</c:v>
                </c:pt>
                <c:pt idx="27">
                  <c:v>45603</c:v>
                </c:pt>
                <c:pt idx="28">
                  <c:v>45604</c:v>
                </c:pt>
                <c:pt idx="29">
                  <c:v>45605</c:v>
                </c:pt>
                <c:pt idx="30">
                  <c:v>45606</c:v>
                </c:pt>
                <c:pt idx="31">
                  <c:v>45607</c:v>
                </c:pt>
                <c:pt idx="32">
                  <c:v>45608</c:v>
                </c:pt>
                <c:pt idx="33">
                  <c:v>45609</c:v>
                </c:pt>
                <c:pt idx="34">
                  <c:v>45610</c:v>
                </c:pt>
                <c:pt idx="35">
                  <c:v>45611</c:v>
                </c:pt>
                <c:pt idx="36">
                  <c:v>45612</c:v>
                </c:pt>
                <c:pt idx="37">
                  <c:v>45613</c:v>
                </c:pt>
                <c:pt idx="38">
                  <c:v>45614</c:v>
                </c:pt>
                <c:pt idx="39">
                  <c:v>45615</c:v>
                </c:pt>
                <c:pt idx="40">
                  <c:v>45616</c:v>
                </c:pt>
                <c:pt idx="41">
                  <c:v>45617</c:v>
                </c:pt>
                <c:pt idx="42">
                  <c:v>45618</c:v>
                </c:pt>
                <c:pt idx="43">
                  <c:v>45619</c:v>
                </c:pt>
                <c:pt idx="44">
                  <c:v>45620</c:v>
                </c:pt>
                <c:pt idx="45">
                  <c:v>45621</c:v>
                </c:pt>
                <c:pt idx="46">
                  <c:v>45622</c:v>
                </c:pt>
                <c:pt idx="47">
                  <c:v>45623</c:v>
                </c:pt>
                <c:pt idx="48">
                  <c:v>45624</c:v>
                </c:pt>
                <c:pt idx="49">
                  <c:v>45625</c:v>
                </c:pt>
                <c:pt idx="50">
                  <c:v>45626</c:v>
                </c:pt>
                <c:pt idx="51">
                  <c:v>45627</c:v>
                </c:pt>
                <c:pt idx="52">
                  <c:v>45628</c:v>
                </c:pt>
                <c:pt idx="53">
                  <c:v>45629</c:v>
                </c:pt>
                <c:pt idx="54">
                  <c:v>45630</c:v>
                </c:pt>
                <c:pt idx="55">
                  <c:v>45631</c:v>
                </c:pt>
                <c:pt idx="56">
                  <c:v>45632</c:v>
                </c:pt>
                <c:pt idx="57">
                  <c:v>45633</c:v>
                </c:pt>
                <c:pt idx="58">
                  <c:v>45634</c:v>
                </c:pt>
                <c:pt idx="59">
                  <c:v>45635</c:v>
                </c:pt>
                <c:pt idx="60">
                  <c:v>45636</c:v>
                </c:pt>
                <c:pt idx="61">
                  <c:v>45637</c:v>
                </c:pt>
                <c:pt idx="62">
                  <c:v>45638</c:v>
                </c:pt>
                <c:pt idx="63">
                  <c:v>45639</c:v>
                </c:pt>
                <c:pt idx="64">
                  <c:v>45640</c:v>
                </c:pt>
                <c:pt idx="65">
                  <c:v>45641</c:v>
                </c:pt>
                <c:pt idx="66">
                  <c:v>45642</c:v>
                </c:pt>
                <c:pt idx="67">
                  <c:v>45643</c:v>
                </c:pt>
                <c:pt idx="68">
                  <c:v>45644</c:v>
                </c:pt>
                <c:pt idx="69">
                  <c:v>45645</c:v>
                </c:pt>
                <c:pt idx="70">
                  <c:v>45646</c:v>
                </c:pt>
                <c:pt idx="71">
                  <c:v>45647</c:v>
                </c:pt>
                <c:pt idx="72">
                  <c:v>45648</c:v>
                </c:pt>
                <c:pt idx="73">
                  <c:v>45649</c:v>
                </c:pt>
                <c:pt idx="74">
                  <c:v>45650</c:v>
                </c:pt>
                <c:pt idx="75">
                  <c:v>45651</c:v>
                </c:pt>
                <c:pt idx="76">
                  <c:v>45652</c:v>
                </c:pt>
                <c:pt idx="77">
                  <c:v>45653</c:v>
                </c:pt>
                <c:pt idx="78">
                  <c:v>45654</c:v>
                </c:pt>
                <c:pt idx="79">
                  <c:v>45655</c:v>
                </c:pt>
                <c:pt idx="80">
                  <c:v>45656</c:v>
                </c:pt>
                <c:pt idx="81">
                  <c:v>45657</c:v>
                </c:pt>
                <c:pt idx="82">
                  <c:v>45658</c:v>
                </c:pt>
                <c:pt idx="83">
                  <c:v>45659</c:v>
                </c:pt>
                <c:pt idx="84">
                  <c:v>45660</c:v>
                </c:pt>
                <c:pt idx="85">
                  <c:v>45661</c:v>
                </c:pt>
                <c:pt idx="86">
                  <c:v>45662</c:v>
                </c:pt>
                <c:pt idx="87">
                  <c:v>45663</c:v>
                </c:pt>
                <c:pt idx="88">
                  <c:v>45664</c:v>
                </c:pt>
                <c:pt idx="89">
                  <c:v>45665</c:v>
                </c:pt>
                <c:pt idx="90">
                  <c:v>45666</c:v>
                </c:pt>
                <c:pt idx="91">
                  <c:v>45667</c:v>
                </c:pt>
                <c:pt idx="92">
                  <c:v>45668</c:v>
                </c:pt>
                <c:pt idx="93">
                  <c:v>45669</c:v>
                </c:pt>
                <c:pt idx="94">
                  <c:v>45670</c:v>
                </c:pt>
                <c:pt idx="95">
                  <c:v>45671</c:v>
                </c:pt>
                <c:pt idx="96">
                  <c:v>45672</c:v>
                </c:pt>
                <c:pt idx="97">
                  <c:v>45673</c:v>
                </c:pt>
                <c:pt idx="98">
                  <c:v>45674</c:v>
                </c:pt>
                <c:pt idx="99">
                  <c:v>45675</c:v>
                </c:pt>
                <c:pt idx="100">
                  <c:v>45676</c:v>
                </c:pt>
                <c:pt idx="101">
                  <c:v>45677</c:v>
                </c:pt>
                <c:pt idx="102">
                  <c:v>45678</c:v>
                </c:pt>
                <c:pt idx="103">
                  <c:v>45679</c:v>
                </c:pt>
                <c:pt idx="104">
                  <c:v>45680</c:v>
                </c:pt>
                <c:pt idx="105">
                  <c:v>45681</c:v>
                </c:pt>
                <c:pt idx="106">
                  <c:v>45682</c:v>
                </c:pt>
                <c:pt idx="107">
                  <c:v>45683</c:v>
                </c:pt>
                <c:pt idx="108">
                  <c:v>45684</c:v>
                </c:pt>
                <c:pt idx="109">
                  <c:v>45685</c:v>
                </c:pt>
                <c:pt idx="110">
                  <c:v>45686</c:v>
                </c:pt>
                <c:pt idx="111">
                  <c:v>45687</c:v>
                </c:pt>
                <c:pt idx="112">
                  <c:v>45688</c:v>
                </c:pt>
                <c:pt idx="113">
                  <c:v>45689</c:v>
                </c:pt>
                <c:pt idx="114">
                  <c:v>45690</c:v>
                </c:pt>
                <c:pt idx="115">
                  <c:v>45691</c:v>
                </c:pt>
                <c:pt idx="116">
                  <c:v>45692</c:v>
                </c:pt>
                <c:pt idx="117">
                  <c:v>45693</c:v>
                </c:pt>
                <c:pt idx="118">
                  <c:v>45694</c:v>
                </c:pt>
                <c:pt idx="119">
                  <c:v>45695</c:v>
                </c:pt>
                <c:pt idx="120">
                  <c:v>45696</c:v>
                </c:pt>
                <c:pt idx="121">
                  <c:v>45697</c:v>
                </c:pt>
                <c:pt idx="122">
                  <c:v>45698</c:v>
                </c:pt>
                <c:pt idx="123">
                  <c:v>45699</c:v>
                </c:pt>
                <c:pt idx="124">
                  <c:v>45700</c:v>
                </c:pt>
                <c:pt idx="125">
                  <c:v>45701</c:v>
                </c:pt>
                <c:pt idx="126">
                  <c:v>45702</c:v>
                </c:pt>
                <c:pt idx="127">
                  <c:v>45703</c:v>
                </c:pt>
                <c:pt idx="128">
                  <c:v>45704</c:v>
                </c:pt>
                <c:pt idx="129">
                  <c:v>45705</c:v>
                </c:pt>
                <c:pt idx="130">
                  <c:v>45706</c:v>
                </c:pt>
                <c:pt idx="131">
                  <c:v>45707</c:v>
                </c:pt>
                <c:pt idx="132">
                  <c:v>45708</c:v>
                </c:pt>
                <c:pt idx="133">
                  <c:v>45709</c:v>
                </c:pt>
                <c:pt idx="134">
                  <c:v>45710</c:v>
                </c:pt>
                <c:pt idx="135">
                  <c:v>45711</c:v>
                </c:pt>
                <c:pt idx="136">
                  <c:v>45712</c:v>
                </c:pt>
                <c:pt idx="137">
                  <c:v>45713</c:v>
                </c:pt>
                <c:pt idx="138">
                  <c:v>45714</c:v>
                </c:pt>
                <c:pt idx="139">
                  <c:v>45715</c:v>
                </c:pt>
                <c:pt idx="140">
                  <c:v>45716</c:v>
                </c:pt>
                <c:pt idx="141">
                  <c:v>45717</c:v>
                </c:pt>
                <c:pt idx="142">
                  <c:v>45718</c:v>
                </c:pt>
                <c:pt idx="143">
                  <c:v>45719</c:v>
                </c:pt>
                <c:pt idx="144">
                  <c:v>45720</c:v>
                </c:pt>
                <c:pt idx="145">
                  <c:v>45721</c:v>
                </c:pt>
                <c:pt idx="146">
                  <c:v>45722</c:v>
                </c:pt>
                <c:pt idx="147">
                  <c:v>45723</c:v>
                </c:pt>
                <c:pt idx="148">
                  <c:v>45724</c:v>
                </c:pt>
                <c:pt idx="149">
                  <c:v>45725</c:v>
                </c:pt>
                <c:pt idx="150">
                  <c:v>45726</c:v>
                </c:pt>
                <c:pt idx="151">
                  <c:v>45727</c:v>
                </c:pt>
                <c:pt idx="152">
                  <c:v>45728</c:v>
                </c:pt>
                <c:pt idx="153">
                  <c:v>45729</c:v>
                </c:pt>
                <c:pt idx="154">
                  <c:v>45730</c:v>
                </c:pt>
                <c:pt idx="155">
                  <c:v>45731</c:v>
                </c:pt>
                <c:pt idx="156">
                  <c:v>45732</c:v>
                </c:pt>
                <c:pt idx="157">
                  <c:v>45733</c:v>
                </c:pt>
                <c:pt idx="158">
                  <c:v>45734</c:v>
                </c:pt>
                <c:pt idx="159">
                  <c:v>45735</c:v>
                </c:pt>
                <c:pt idx="160">
                  <c:v>45736</c:v>
                </c:pt>
                <c:pt idx="161">
                  <c:v>45737</c:v>
                </c:pt>
                <c:pt idx="162">
                  <c:v>45738</c:v>
                </c:pt>
                <c:pt idx="163">
                  <c:v>45739</c:v>
                </c:pt>
                <c:pt idx="164">
                  <c:v>45740</c:v>
                </c:pt>
                <c:pt idx="165">
                  <c:v>45741</c:v>
                </c:pt>
                <c:pt idx="166">
                  <c:v>45742</c:v>
                </c:pt>
                <c:pt idx="167">
                  <c:v>45743</c:v>
                </c:pt>
                <c:pt idx="168">
                  <c:v>45744</c:v>
                </c:pt>
                <c:pt idx="169">
                  <c:v>45745</c:v>
                </c:pt>
                <c:pt idx="170">
                  <c:v>45746</c:v>
                </c:pt>
                <c:pt idx="171">
                  <c:v>45747</c:v>
                </c:pt>
                <c:pt idx="172">
                  <c:v>45748</c:v>
                </c:pt>
                <c:pt idx="173">
                  <c:v>45749</c:v>
                </c:pt>
                <c:pt idx="174">
                  <c:v>45750</c:v>
                </c:pt>
                <c:pt idx="175">
                  <c:v>45751</c:v>
                </c:pt>
                <c:pt idx="176">
                  <c:v>45752</c:v>
                </c:pt>
                <c:pt idx="177">
                  <c:v>45753</c:v>
                </c:pt>
                <c:pt idx="178">
                  <c:v>45754</c:v>
                </c:pt>
                <c:pt idx="179">
                  <c:v>45755</c:v>
                </c:pt>
                <c:pt idx="180">
                  <c:v>45756</c:v>
                </c:pt>
                <c:pt idx="181">
                  <c:v>45757</c:v>
                </c:pt>
                <c:pt idx="182">
                  <c:v>45758</c:v>
                </c:pt>
                <c:pt idx="183">
                  <c:v>45759</c:v>
                </c:pt>
                <c:pt idx="184">
                  <c:v>45760</c:v>
                </c:pt>
                <c:pt idx="185">
                  <c:v>45761</c:v>
                </c:pt>
                <c:pt idx="186">
                  <c:v>45762</c:v>
                </c:pt>
                <c:pt idx="187">
                  <c:v>45763</c:v>
                </c:pt>
                <c:pt idx="188">
                  <c:v>45764</c:v>
                </c:pt>
                <c:pt idx="189">
                  <c:v>45765</c:v>
                </c:pt>
                <c:pt idx="190">
                  <c:v>45766</c:v>
                </c:pt>
                <c:pt idx="191">
                  <c:v>45767</c:v>
                </c:pt>
                <c:pt idx="192">
                  <c:v>45768</c:v>
                </c:pt>
                <c:pt idx="193">
                  <c:v>45769</c:v>
                </c:pt>
                <c:pt idx="194">
                  <c:v>45770</c:v>
                </c:pt>
                <c:pt idx="195">
                  <c:v>45771</c:v>
                </c:pt>
                <c:pt idx="196">
                  <c:v>45772</c:v>
                </c:pt>
                <c:pt idx="197">
                  <c:v>45773</c:v>
                </c:pt>
                <c:pt idx="198">
                  <c:v>45774</c:v>
                </c:pt>
                <c:pt idx="199">
                  <c:v>45775</c:v>
                </c:pt>
                <c:pt idx="200">
                  <c:v>45776</c:v>
                </c:pt>
                <c:pt idx="201">
                  <c:v>45777</c:v>
                </c:pt>
                <c:pt idx="202">
                  <c:v>45778</c:v>
                </c:pt>
                <c:pt idx="203">
                  <c:v>45779</c:v>
                </c:pt>
                <c:pt idx="204">
                  <c:v>45780</c:v>
                </c:pt>
                <c:pt idx="205">
                  <c:v>45781</c:v>
                </c:pt>
                <c:pt idx="206">
                  <c:v>45782</c:v>
                </c:pt>
                <c:pt idx="207">
                  <c:v>45783</c:v>
                </c:pt>
                <c:pt idx="208">
                  <c:v>45784</c:v>
                </c:pt>
                <c:pt idx="209">
                  <c:v>45785</c:v>
                </c:pt>
                <c:pt idx="210">
                  <c:v>45786</c:v>
                </c:pt>
                <c:pt idx="211">
                  <c:v>45787</c:v>
                </c:pt>
                <c:pt idx="212">
                  <c:v>45788</c:v>
                </c:pt>
                <c:pt idx="213">
                  <c:v>45789</c:v>
                </c:pt>
                <c:pt idx="214">
                  <c:v>45790</c:v>
                </c:pt>
                <c:pt idx="215">
                  <c:v>45791</c:v>
                </c:pt>
                <c:pt idx="216">
                  <c:v>45792</c:v>
                </c:pt>
                <c:pt idx="217">
                  <c:v>45793</c:v>
                </c:pt>
                <c:pt idx="218">
                  <c:v>45794</c:v>
                </c:pt>
                <c:pt idx="219">
                  <c:v>45795</c:v>
                </c:pt>
                <c:pt idx="220">
                  <c:v>45796</c:v>
                </c:pt>
                <c:pt idx="221">
                  <c:v>45797</c:v>
                </c:pt>
                <c:pt idx="222">
                  <c:v>45798</c:v>
                </c:pt>
                <c:pt idx="223">
                  <c:v>45799</c:v>
                </c:pt>
                <c:pt idx="224">
                  <c:v>45800</c:v>
                </c:pt>
                <c:pt idx="225">
                  <c:v>45801</c:v>
                </c:pt>
                <c:pt idx="226">
                  <c:v>45802</c:v>
                </c:pt>
                <c:pt idx="227">
                  <c:v>45803</c:v>
                </c:pt>
                <c:pt idx="228">
                  <c:v>45804</c:v>
                </c:pt>
                <c:pt idx="229">
                  <c:v>45805</c:v>
                </c:pt>
                <c:pt idx="230">
                  <c:v>45806</c:v>
                </c:pt>
                <c:pt idx="231">
                  <c:v>45807</c:v>
                </c:pt>
                <c:pt idx="232">
                  <c:v>45808</c:v>
                </c:pt>
              </c:numCache>
            </c:numRef>
          </c:xVal>
          <c:yVal>
            <c:numRef>
              <c:f>'Km83+900'!$AG$11:$AG$330</c:f>
              <c:numCache>
                <c:formatCode>0</c:formatCode>
                <c:ptCount val="320"/>
                <c:pt idx="0">
                  <c:v>0</c:v>
                </c:pt>
                <c:pt idx="1">
                  <c:v>-4</c:v>
                </c:pt>
                <c:pt idx="2">
                  <c:v>-7</c:v>
                </c:pt>
                <c:pt idx="3">
                  <c:v>-15</c:v>
                </c:pt>
                <c:pt idx="4">
                  <c:v>-22</c:v>
                </c:pt>
                <c:pt idx="5">
                  <c:v>-31</c:v>
                </c:pt>
                <c:pt idx="6">
                  <c:v>-39</c:v>
                </c:pt>
                <c:pt idx="7">
                  <c:v>-47</c:v>
                </c:pt>
                <c:pt idx="8">
                  <c:v>-55</c:v>
                </c:pt>
                <c:pt idx="9">
                  <c:v>-62</c:v>
                </c:pt>
                <c:pt idx="10">
                  <c:v>-69</c:v>
                </c:pt>
                <c:pt idx="11">
                  <c:v>-75</c:v>
                </c:pt>
                <c:pt idx="12">
                  <c:v>-81</c:v>
                </c:pt>
                <c:pt idx="13">
                  <c:v>-86</c:v>
                </c:pt>
                <c:pt idx="14">
                  <c:v>-91</c:v>
                </c:pt>
                <c:pt idx="15">
                  <c:v>-99</c:v>
                </c:pt>
                <c:pt idx="16">
                  <c:v>-107</c:v>
                </c:pt>
                <c:pt idx="17">
                  <c:v>-115</c:v>
                </c:pt>
                <c:pt idx="18">
                  <c:v>-123</c:v>
                </c:pt>
                <c:pt idx="19">
                  <c:v>-131</c:v>
                </c:pt>
                <c:pt idx="20">
                  <c:v>-139</c:v>
                </c:pt>
                <c:pt idx="21">
                  <c:v>-147</c:v>
                </c:pt>
                <c:pt idx="22">
                  <c:v>-155</c:v>
                </c:pt>
                <c:pt idx="23">
                  <c:v>-163</c:v>
                </c:pt>
                <c:pt idx="24">
                  <c:v>-171</c:v>
                </c:pt>
                <c:pt idx="25">
                  <c:v>-179</c:v>
                </c:pt>
                <c:pt idx="26">
                  <c:v>-186</c:v>
                </c:pt>
                <c:pt idx="27">
                  <c:v>-193</c:v>
                </c:pt>
                <c:pt idx="28">
                  <c:v>-200</c:v>
                </c:pt>
                <c:pt idx="29">
                  <c:v>-207</c:v>
                </c:pt>
                <c:pt idx="30">
                  <c:v>-214</c:v>
                </c:pt>
                <c:pt idx="31">
                  <c:v>-221</c:v>
                </c:pt>
                <c:pt idx="32">
                  <c:v>-227</c:v>
                </c:pt>
                <c:pt idx="33">
                  <c:v>-233</c:v>
                </c:pt>
                <c:pt idx="34">
                  <c:v>-239</c:v>
                </c:pt>
                <c:pt idx="35">
                  <c:v>-245</c:v>
                </c:pt>
                <c:pt idx="36">
                  <c:v>-251</c:v>
                </c:pt>
                <c:pt idx="37">
                  <c:v>-256</c:v>
                </c:pt>
                <c:pt idx="38">
                  <c:v>-261</c:v>
                </c:pt>
                <c:pt idx="39">
                  <c:v>-266</c:v>
                </c:pt>
                <c:pt idx="40">
                  <c:v>-271</c:v>
                </c:pt>
                <c:pt idx="41">
                  <c:v>-276</c:v>
                </c:pt>
                <c:pt idx="42">
                  <c:v>-281</c:v>
                </c:pt>
                <c:pt idx="43">
                  <c:v>-286</c:v>
                </c:pt>
                <c:pt idx="44">
                  <c:v>-290</c:v>
                </c:pt>
                <c:pt idx="45">
                  <c:v>-294</c:v>
                </c:pt>
                <c:pt idx="46">
                  <c:v>-298</c:v>
                </c:pt>
                <c:pt idx="47">
                  <c:v>-302</c:v>
                </c:pt>
                <c:pt idx="48">
                  <c:v>-305</c:v>
                </c:pt>
                <c:pt idx="49">
                  <c:v>-308</c:v>
                </c:pt>
                <c:pt idx="50">
                  <c:v>-311</c:v>
                </c:pt>
                <c:pt idx="51">
                  <c:v>-313</c:v>
                </c:pt>
                <c:pt idx="52">
                  <c:v>-315</c:v>
                </c:pt>
                <c:pt idx="53">
                  <c:v>-317</c:v>
                </c:pt>
                <c:pt idx="54">
                  <c:v>-319</c:v>
                </c:pt>
                <c:pt idx="55">
                  <c:v>-320</c:v>
                </c:pt>
                <c:pt idx="56">
                  <c:v>-321</c:v>
                </c:pt>
                <c:pt idx="57">
                  <c:v>-322</c:v>
                </c:pt>
                <c:pt idx="58">
                  <c:v>-325</c:v>
                </c:pt>
                <c:pt idx="59">
                  <c:v>-327</c:v>
                </c:pt>
                <c:pt idx="60">
                  <c:v>-329</c:v>
                </c:pt>
                <c:pt idx="61">
                  <c:v>-331</c:v>
                </c:pt>
                <c:pt idx="62">
                  <c:v>-333</c:v>
                </c:pt>
                <c:pt idx="63">
                  <c:v>-334</c:v>
                </c:pt>
                <c:pt idx="64">
                  <c:v>-335</c:v>
                </c:pt>
                <c:pt idx="65">
                  <c:v>-336</c:v>
                </c:pt>
                <c:pt idx="66">
                  <c:v>-337</c:v>
                </c:pt>
                <c:pt idx="67">
                  <c:v>-338</c:v>
                </c:pt>
                <c:pt idx="68">
                  <c:v>-339</c:v>
                </c:pt>
                <c:pt idx="69">
                  <c:v>-340</c:v>
                </c:pt>
                <c:pt idx="70">
                  <c:v>-340</c:v>
                </c:pt>
                <c:pt idx="71">
                  <c:v>-340</c:v>
                </c:pt>
                <c:pt idx="72">
                  <c:v>-342</c:v>
                </c:pt>
                <c:pt idx="73">
                  <c:v>-342</c:v>
                </c:pt>
                <c:pt idx="74">
                  <c:v>-345</c:v>
                </c:pt>
                <c:pt idx="75">
                  <c:v>-345</c:v>
                </c:pt>
                <c:pt idx="76">
                  <c:v>-346</c:v>
                </c:pt>
                <c:pt idx="77">
                  <c:v>-347</c:v>
                </c:pt>
                <c:pt idx="78">
                  <c:v>-347</c:v>
                </c:pt>
                <c:pt idx="79">
                  <c:v>-347</c:v>
                </c:pt>
                <c:pt idx="80">
                  <c:v>-350</c:v>
                </c:pt>
                <c:pt idx="81">
                  <c:v>-351</c:v>
                </c:pt>
                <c:pt idx="82">
                  <c:v>-351</c:v>
                </c:pt>
                <c:pt idx="83">
                  <c:v>-352</c:v>
                </c:pt>
                <c:pt idx="84">
                  <c:v>-352</c:v>
                </c:pt>
                <c:pt idx="85">
                  <c:v>-353</c:v>
                </c:pt>
                <c:pt idx="86">
                  <c:v>-354</c:v>
                </c:pt>
                <c:pt idx="87">
                  <c:v>-354</c:v>
                </c:pt>
                <c:pt idx="88">
                  <c:v>-355</c:v>
                </c:pt>
                <c:pt idx="89">
                  <c:v>-356</c:v>
                </c:pt>
                <c:pt idx="90">
                  <c:v>-356</c:v>
                </c:pt>
                <c:pt idx="91">
                  <c:v>-357</c:v>
                </c:pt>
                <c:pt idx="92">
                  <c:v>-357</c:v>
                </c:pt>
                <c:pt idx="93">
                  <c:v>-357</c:v>
                </c:pt>
                <c:pt idx="94">
                  <c:v>-358</c:v>
                </c:pt>
                <c:pt idx="95">
                  <c:v>-358</c:v>
                </c:pt>
                <c:pt idx="96">
                  <c:v>-358</c:v>
                </c:pt>
                <c:pt idx="97">
                  <c:v>-359</c:v>
                </c:pt>
                <c:pt idx="98">
                  <c:v>-359</c:v>
                </c:pt>
                <c:pt idx="99">
                  <c:v>-360</c:v>
                </c:pt>
                <c:pt idx="100">
                  <c:v>-360</c:v>
                </c:pt>
                <c:pt idx="101">
                  <c:v>-361</c:v>
                </c:pt>
                <c:pt idx="102">
                  <c:v>-361</c:v>
                </c:pt>
                <c:pt idx="103">
                  <c:v>-362</c:v>
                </c:pt>
                <c:pt idx="104">
                  <c:v>-365</c:v>
                </c:pt>
                <c:pt idx="105">
                  <c:v>-366</c:v>
                </c:pt>
                <c:pt idx="106">
                  <c:v>-366</c:v>
                </c:pt>
                <c:pt idx="107">
                  <c:v>-366</c:v>
                </c:pt>
                <c:pt idx="108">
                  <c:v>-366</c:v>
                </c:pt>
                <c:pt idx="109">
                  <c:v>-367</c:v>
                </c:pt>
                <c:pt idx="110">
                  <c:v>-367</c:v>
                </c:pt>
                <c:pt idx="111">
                  <c:v>-368</c:v>
                </c:pt>
                <c:pt idx="112">
                  <c:v>-368</c:v>
                </c:pt>
                <c:pt idx="113">
                  <c:v>-369</c:v>
                </c:pt>
                <c:pt idx="114">
                  <c:v>-370</c:v>
                </c:pt>
                <c:pt idx="115">
                  <c:v>-370</c:v>
                </c:pt>
                <c:pt idx="116">
                  <c:v>-373</c:v>
                </c:pt>
                <c:pt idx="117">
                  <c:v>-374</c:v>
                </c:pt>
                <c:pt idx="118">
                  <c:v>-377</c:v>
                </c:pt>
                <c:pt idx="119">
                  <c:v>-378</c:v>
                </c:pt>
                <c:pt idx="120">
                  <c:v>-378</c:v>
                </c:pt>
                <c:pt idx="121">
                  <c:v>-382</c:v>
                </c:pt>
                <c:pt idx="122">
                  <c:v>-383</c:v>
                </c:pt>
                <c:pt idx="123">
                  <c:v>-383</c:v>
                </c:pt>
                <c:pt idx="124">
                  <c:v>-386</c:v>
                </c:pt>
                <c:pt idx="125">
                  <c:v>-387</c:v>
                </c:pt>
                <c:pt idx="126">
                  <c:v>-387</c:v>
                </c:pt>
                <c:pt idx="127">
                  <c:v>-390</c:v>
                </c:pt>
                <c:pt idx="128">
                  <c:v>-390</c:v>
                </c:pt>
                <c:pt idx="129">
                  <c:v>-391</c:v>
                </c:pt>
                <c:pt idx="130">
                  <c:v>-391</c:v>
                </c:pt>
                <c:pt idx="131">
                  <c:v>-392</c:v>
                </c:pt>
                <c:pt idx="132">
                  <c:v>-392</c:v>
                </c:pt>
                <c:pt idx="133">
                  <c:v>-393</c:v>
                </c:pt>
                <c:pt idx="134">
                  <c:v>-393</c:v>
                </c:pt>
                <c:pt idx="135">
                  <c:v>-396</c:v>
                </c:pt>
                <c:pt idx="136">
                  <c:v>-396</c:v>
                </c:pt>
                <c:pt idx="137">
                  <c:v>-399</c:v>
                </c:pt>
                <c:pt idx="138">
                  <c:v>-400</c:v>
                </c:pt>
                <c:pt idx="139">
                  <c:v>-400</c:v>
                </c:pt>
                <c:pt idx="140">
                  <c:v>-400</c:v>
                </c:pt>
                <c:pt idx="141">
                  <c:v>-400</c:v>
                </c:pt>
                <c:pt idx="142">
                  <c:v>-400</c:v>
                </c:pt>
                <c:pt idx="143">
                  <c:v>-402</c:v>
                </c:pt>
                <c:pt idx="144">
                  <c:v>-402</c:v>
                </c:pt>
                <c:pt idx="145">
                  <c:v>-405</c:v>
                </c:pt>
                <c:pt idx="146">
                  <c:v>-405</c:v>
                </c:pt>
                <c:pt idx="147">
                  <c:v>-406</c:v>
                </c:pt>
                <c:pt idx="148">
                  <c:v>-409</c:v>
                </c:pt>
                <c:pt idx="149">
                  <c:v>-410</c:v>
                </c:pt>
                <c:pt idx="150">
                  <c:v>-411</c:v>
                </c:pt>
                <c:pt idx="151">
                  <c:v>-411</c:v>
                </c:pt>
                <c:pt idx="152">
                  <c:v>-412</c:v>
                </c:pt>
                <c:pt idx="153">
                  <c:v>-415</c:v>
                </c:pt>
                <c:pt idx="154">
                  <c:v>-418</c:v>
                </c:pt>
                <c:pt idx="155">
                  <c:v>-419</c:v>
                </c:pt>
                <c:pt idx="156">
                  <c:v>-421</c:v>
                </c:pt>
                <c:pt idx="157">
                  <c:v>-421</c:v>
                </c:pt>
                <c:pt idx="158">
                  <c:v>-422</c:v>
                </c:pt>
                <c:pt idx="159">
                  <c:v>-422</c:v>
                </c:pt>
                <c:pt idx="160">
                  <c:v>-423</c:v>
                </c:pt>
                <c:pt idx="161">
                  <c:v>-427</c:v>
                </c:pt>
                <c:pt idx="162">
                  <c:v>-428</c:v>
                </c:pt>
                <c:pt idx="163">
                  <c:v>-428</c:v>
                </c:pt>
                <c:pt idx="164">
                  <c:v>-429</c:v>
                </c:pt>
                <c:pt idx="165">
                  <c:v>-429</c:v>
                </c:pt>
                <c:pt idx="166">
                  <c:v>-432</c:v>
                </c:pt>
                <c:pt idx="167">
                  <c:v>-433</c:v>
                </c:pt>
                <c:pt idx="168">
                  <c:v>-433</c:v>
                </c:pt>
                <c:pt idx="169">
                  <c:v>-433</c:v>
                </c:pt>
                <c:pt idx="170">
                  <c:v>-435</c:v>
                </c:pt>
                <c:pt idx="171">
                  <c:v>-437</c:v>
                </c:pt>
                <c:pt idx="172">
                  <c:v>-437</c:v>
                </c:pt>
                <c:pt idx="173">
                  <c:v>-438</c:v>
                </c:pt>
                <c:pt idx="174">
                  <c:v>-438</c:v>
                </c:pt>
                <c:pt idx="175">
                  <c:v>-439</c:v>
                </c:pt>
                <c:pt idx="176">
                  <c:v>-440</c:v>
                </c:pt>
                <c:pt idx="177">
                  <c:v>-440</c:v>
                </c:pt>
                <c:pt idx="178">
                  <c:v>-441</c:v>
                </c:pt>
                <c:pt idx="179">
                  <c:v>-442</c:v>
                </c:pt>
                <c:pt idx="180">
                  <c:v>-443</c:v>
                </c:pt>
                <c:pt idx="181">
                  <c:v>-452</c:v>
                </c:pt>
                <c:pt idx="182">
                  <c:v>-461</c:v>
                </c:pt>
                <c:pt idx="183">
                  <c:v>-470</c:v>
                </c:pt>
                <c:pt idx="184">
                  <c:v>-479</c:v>
                </c:pt>
                <c:pt idx="185">
                  <c:v>-487</c:v>
                </c:pt>
                <c:pt idx="186">
                  <c:v>-496</c:v>
                </c:pt>
                <c:pt idx="187">
                  <c:v>-505</c:v>
                </c:pt>
                <c:pt idx="188">
                  <c:v>-514</c:v>
                </c:pt>
                <c:pt idx="189">
                  <c:v>-523</c:v>
                </c:pt>
                <c:pt idx="190">
                  <c:v>-531</c:v>
                </c:pt>
                <c:pt idx="191">
                  <c:v>-540</c:v>
                </c:pt>
                <c:pt idx="192">
                  <c:v>-548</c:v>
                </c:pt>
                <c:pt idx="193">
                  <c:v>-556</c:v>
                </c:pt>
                <c:pt idx="194">
                  <c:v>-564</c:v>
                </c:pt>
                <c:pt idx="195">
                  <c:v>-573</c:v>
                </c:pt>
                <c:pt idx="196">
                  <c:v>-581</c:v>
                </c:pt>
                <c:pt idx="197">
                  <c:v>-590</c:v>
                </c:pt>
                <c:pt idx="198">
                  <c:v>-598</c:v>
                </c:pt>
                <c:pt idx="199">
                  <c:v>-607</c:v>
                </c:pt>
                <c:pt idx="200">
                  <c:v>-616</c:v>
                </c:pt>
                <c:pt idx="201">
                  <c:v>-624</c:v>
                </c:pt>
                <c:pt idx="202">
                  <c:v>-631</c:v>
                </c:pt>
                <c:pt idx="203">
                  <c:v>-638</c:v>
                </c:pt>
                <c:pt idx="204">
                  <c:v>-646</c:v>
                </c:pt>
                <c:pt idx="205">
                  <c:v>-653</c:v>
                </c:pt>
                <c:pt idx="206">
                  <c:v>-660</c:v>
                </c:pt>
                <c:pt idx="207">
                  <c:v>-667</c:v>
                </c:pt>
                <c:pt idx="208">
                  <c:v>-675</c:v>
                </c:pt>
                <c:pt idx="209">
                  <c:v>-682</c:v>
                </c:pt>
                <c:pt idx="210">
                  <c:v>-689</c:v>
                </c:pt>
                <c:pt idx="211">
                  <c:v>-696</c:v>
                </c:pt>
                <c:pt idx="212">
                  <c:v>-704</c:v>
                </c:pt>
                <c:pt idx="213">
                  <c:v>-711</c:v>
                </c:pt>
                <c:pt idx="214">
                  <c:v>-718</c:v>
                </c:pt>
                <c:pt idx="215">
                  <c:v>-724</c:v>
                </c:pt>
                <c:pt idx="216">
                  <c:v>-730</c:v>
                </c:pt>
                <c:pt idx="217">
                  <c:v>-736</c:v>
                </c:pt>
                <c:pt idx="218">
                  <c:v>-742</c:v>
                </c:pt>
                <c:pt idx="219">
                  <c:v>-747</c:v>
                </c:pt>
                <c:pt idx="220">
                  <c:v>-751</c:v>
                </c:pt>
                <c:pt idx="221">
                  <c:v>-754</c:v>
                </c:pt>
                <c:pt idx="222">
                  <c:v>-757</c:v>
                </c:pt>
                <c:pt idx="223">
                  <c:v>-760</c:v>
                </c:pt>
                <c:pt idx="224">
                  <c:v>-765</c:v>
                </c:pt>
                <c:pt idx="225">
                  <c:v>-769</c:v>
                </c:pt>
                <c:pt idx="226">
                  <c:v>-773</c:v>
                </c:pt>
                <c:pt idx="227">
                  <c:v>-776</c:v>
                </c:pt>
                <c:pt idx="228">
                  <c:v>-780</c:v>
                </c:pt>
                <c:pt idx="229">
                  <c:v>-784</c:v>
                </c:pt>
                <c:pt idx="230">
                  <c:v>-786</c:v>
                </c:pt>
                <c:pt idx="231">
                  <c:v>-790</c:v>
                </c:pt>
                <c:pt idx="232">
                  <c:v>-794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55-4B88-8007-E5E4D4EC1572}"/>
            </c:ext>
          </c:extLst>
        </c:ser>
        <c:ser>
          <c:idx val="3"/>
          <c:order val="3"/>
          <c:tx>
            <c:strRef>
              <c:f>'Km83+900'!$AH$9</c:f>
              <c:strCache>
                <c:ptCount val="1"/>
                <c:pt idx="0">
                  <c:v>Phải</c:v>
                </c:pt>
              </c:strCache>
            </c:strRef>
          </c:tx>
          <c:marker>
            <c:symbol val="x"/>
            <c:size val="2"/>
            <c:spPr>
              <a:solidFill>
                <a:srgbClr val="800000"/>
              </a:solidFill>
              <a:ln w="12700">
                <a:solidFill>
                  <a:srgbClr val="800000"/>
                </a:solidFill>
                <a:prstDash val="solid"/>
              </a:ln>
            </c:spPr>
          </c:marker>
          <c:xVal>
            <c:numRef>
              <c:f>'Km83+900'!$B$11:$B$329</c:f>
              <c:numCache>
                <c:formatCode>[$-1010000]d/m/yyyy;@</c:formatCode>
                <c:ptCount val="319"/>
                <c:pt idx="0">
                  <c:v>45576</c:v>
                </c:pt>
                <c:pt idx="1">
                  <c:v>45577</c:v>
                </c:pt>
                <c:pt idx="2">
                  <c:v>45578</c:v>
                </c:pt>
                <c:pt idx="3">
                  <c:v>45579</c:v>
                </c:pt>
                <c:pt idx="4">
                  <c:v>45580</c:v>
                </c:pt>
                <c:pt idx="5">
                  <c:v>45581</c:v>
                </c:pt>
                <c:pt idx="6">
                  <c:v>45582</c:v>
                </c:pt>
                <c:pt idx="7">
                  <c:v>45583</c:v>
                </c:pt>
                <c:pt idx="8">
                  <c:v>45584</c:v>
                </c:pt>
                <c:pt idx="9">
                  <c:v>45585</c:v>
                </c:pt>
                <c:pt idx="10">
                  <c:v>45586</c:v>
                </c:pt>
                <c:pt idx="11">
                  <c:v>45587</c:v>
                </c:pt>
                <c:pt idx="12">
                  <c:v>45588</c:v>
                </c:pt>
                <c:pt idx="13">
                  <c:v>45589</c:v>
                </c:pt>
                <c:pt idx="14">
                  <c:v>45590</c:v>
                </c:pt>
                <c:pt idx="15">
                  <c:v>45591</c:v>
                </c:pt>
                <c:pt idx="16">
                  <c:v>45592</c:v>
                </c:pt>
                <c:pt idx="17">
                  <c:v>45593</c:v>
                </c:pt>
                <c:pt idx="18">
                  <c:v>45594</c:v>
                </c:pt>
                <c:pt idx="19">
                  <c:v>45595</c:v>
                </c:pt>
                <c:pt idx="20">
                  <c:v>45596</c:v>
                </c:pt>
                <c:pt idx="21">
                  <c:v>45597</c:v>
                </c:pt>
                <c:pt idx="22">
                  <c:v>45598</c:v>
                </c:pt>
                <c:pt idx="23">
                  <c:v>45599</c:v>
                </c:pt>
                <c:pt idx="24">
                  <c:v>45600</c:v>
                </c:pt>
                <c:pt idx="25">
                  <c:v>45601</c:v>
                </c:pt>
                <c:pt idx="26">
                  <c:v>45602</c:v>
                </c:pt>
                <c:pt idx="27">
                  <c:v>45603</c:v>
                </c:pt>
                <c:pt idx="28">
                  <c:v>45604</c:v>
                </c:pt>
                <c:pt idx="29">
                  <c:v>45605</c:v>
                </c:pt>
                <c:pt idx="30">
                  <c:v>45606</c:v>
                </c:pt>
                <c:pt idx="31">
                  <c:v>45607</c:v>
                </c:pt>
                <c:pt idx="32">
                  <c:v>45608</c:v>
                </c:pt>
                <c:pt idx="33">
                  <c:v>45609</c:v>
                </c:pt>
                <c:pt idx="34">
                  <c:v>45610</c:v>
                </c:pt>
                <c:pt idx="35">
                  <c:v>45611</c:v>
                </c:pt>
                <c:pt idx="36">
                  <c:v>45612</c:v>
                </c:pt>
                <c:pt idx="37">
                  <c:v>45613</c:v>
                </c:pt>
                <c:pt idx="38">
                  <c:v>45614</c:v>
                </c:pt>
                <c:pt idx="39">
                  <c:v>45615</c:v>
                </c:pt>
                <c:pt idx="40">
                  <c:v>45616</c:v>
                </c:pt>
                <c:pt idx="41">
                  <c:v>45617</c:v>
                </c:pt>
                <c:pt idx="42">
                  <c:v>45618</c:v>
                </c:pt>
                <c:pt idx="43">
                  <c:v>45619</c:v>
                </c:pt>
                <c:pt idx="44">
                  <c:v>45620</c:v>
                </c:pt>
                <c:pt idx="45">
                  <c:v>45621</c:v>
                </c:pt>
                <c:pt idx="46">
                  <c:v>45622</c:v>
                </c:pt>
                <c:pt idx="47">
                  <c:v>45623</c:v>
                </c:pt>
                <c:pt idx="48">
                  <c:v>45624</c:v>
                </c:pt>
                <c:pt idx="49">
                  <c:v>45625</c:v>
                </c:pt>
                <c:pt idx="50">
                  <c:v>45626</c:v>
                </c:pt>
                <c:pt idx="51">
                  <c:v>45627</c:v>
                </c:pt>
                <c:pt idx="52">
                  <c:v>45628</c:v>
                </c:pt>
                <c:pt idx="53">
                  <c:v>45629</c:v>
                </c:pt>
                <c:pt idx="54">
                  <c:v>45630</c:v>
                </c:pt>
                <c:pt idx="55">
                  <c:v>45631</c:v>
                </c:pt>
                <c:pt idx="56">
                  <c:v>45632</c:v>
                </c:pt>
                <c:pt idx="57">
                  <c:v>45633</c:v>
                </c:pt>
                <c:pt idx="58">
                  <c:v>45634</c:v>
                </c:pt>
                <c:pt idx="59">
                  <c:v>45635</c:v>
                </c:pt>
                <c:pt idx="60">
                  <c:v>45636</c:v>
                </c:pt>
                <c:pt idx="61">
                  <c:v>45637</c:v>
                </c:pt>
                <c:pt idx="62">
                  <c:v>45638</c:v>
                </c:pt>
                <c:pt idx="63">
                  <c:v>45639</c:v>
                </c:pt>
                <c:pt idx="64">
                  <c:v>45640</c:v>
                </c:pt>
                <c:pt idx="65">
                  <c:v>45641</c:v>
                </c:pt>
                <c:pt idx="66">
                  <c:v>45642</c:v>
                </c:pt>
                <c:pt idx="67">
                  <c:v>45643</c:v>
                </c:pt>
                <c:pt idx="68">
                  <c:v>45644</c:v>
                </c:pt>
                <c:pt idx="69">
                  <c:v>45645</c:v>
                </c:pt>
                <c:pt idx="70">
                  <c:v>45646</c:v>
                </c:pt>
                <c:pt idx="71">
                  <c:v>45647</c:v>
                </c:pt>
                <c:pt idx="72">
                  <c:v>45648</c:v>
                </c:pt>
                <c:pt idx="73">
                  <c:v>45649</c:v>
                </c:pt>
                <c:pt idx="74">
                  <c:v>45650</c:v>
                </c:pt>
                <c:pt idx="75">
                  <c:v>45651</c:v>
                </c:pt>
                <c:pt idx="76">
                  <c:v>45652</c:v>
                </c:pt>
                <c:pt idx="77">
                  <c:v>45653</c:v>
                </c:pt>
                <c:pt idx="78">
                  <c:v>45654</c:v>
                </c:pt>
                <c:pt idx="79">
                  <c:v>45655</c:v>
                </c:pt>
                <c:pt idx="80">
                  <c:v>45656</c:v>
                </c:pt>
                <c:pt idx="81">
                  <c:v>45657</c:v>
                </c:pt>
                <c:pt idx="82">
                  <c:v>45658</c:v>
                </c:pt>
                <c:pt idx="83">
                  <c:v>45659</c:v>
                </c:pt>
                <c:pt idx="84">
                  <c:v>45660</c:v>
                </c:pt>
                <c:pt idx="85">
                  <c:v>45661</c:v>
                </c:pt>
                <c:pt idx="86">
                  <c:v>45662</c:v>
                </c:pt>
                <c:pt idx="87">
                  <c:v>45663</c:v>
                </c:pt>
                <c:pt idx="88">
                  <c:v>45664</c:v>
                </c:pt>
                <c:pt idx="89">
                  <c:v>45665</c:v>
                </c:pt>
                <c:pt idx="90">
                  <c:v>45666</c:v>
                </c:pt>
                <c:pt idx="91">
                  <c:v>45667</c:v>
                </c:pt>
                <c:pt idx="92">
                  <c:v>45668</c:v>
                </c:pt>
                <c:pt idx="93">
                  <c:v>45669</c:v>
                </c:pt>
                <c:pt idx="94">
                  <c:v>45670</c:v>
                </c:pt>
                <c:pt idx="95">
                  <c:v>45671</c:v>
                </c:pt>
                <c:pt idx="96">
                  <c:v>45672</c:v>
                </c:pt>
                <c:pt idx="97">
                  <c:v>45673</c:v>
                </c:pt>
                <c:pt idx="98">
                  <c:v>45674</c:v>
                </c:pt>
                <c:pt idx="99">
                  <c:v>45675</c:v>
                </c:pt>
                <c:pt idx="100">
                  <c:v>45676</c:v>
                </c:pt>
                <c:pt idx="101">
                  <c:v>45677</c:v>
                </c:pt>
                <c:pt idx="102">
                  <c:v>45678</c:v>
                </c:pt>
                <c:pt idx="103">
                  <c:v>45679</c:v>
                </c:pt>
                <c:pt idx="104">
                  <c:v>45680</c:v>
                </c:pt>
                <c:pt idx="105">
                  <c:v>45681</c:v>
                </c:pt>
                <c:pt idx="106">
                  <c:v>45682</c:v>
                </c:pt>
                <c:pt idx="107">
                  <c:v>45683</c:v>
                </c:pt>
                <c:pt idx="108">
                  <c:v>45684</c:v>
                </c:pt>
                <c:pt idx="109">
                  <c:v>45685</c:v>
                </c:pt>
                <c:pt idx="110">
                  <c:v>45686</c:v>
                </c:pt>
                <c:pt idx="111">
                  <c:v>45687</c:v>
                </c:pt>
                <c:pt idx="112">
                  <c:v>45688</c:v>
                </c:pt>
                <c:pt idx="113">
                  <c:v>45689</c:v>
                </c:pt>
                <c:pt idx="114">
                  <c:v>45690</c:v>
                </c:pt>
                <c:pt idx="115">
                  <c:v>45691</c:v>
                </c:pt>
                <c:pt idx="116">
                  <c:v>45692</c:v>
                </c:pt>
                <c:pt idx="117">
                  <c:v>45693</c:v>
                </c:pt>
                <c:pt idx="118">
                  <c:v>45694</c:v>
                </c:pt>
                <c:pt idx="119">
                  <c:v>45695</c:v>
                </c:pt>
                <c:pt idx="120">
                  <c:v>45696</c:v>
                </c:pt>
                <c:pt idx="121">
                  <c:v>45697</c:v>
                </c:pt>
                <c:pt idx="122">
                  <c:v>45698</c:v>
                </c:pt>
                <c:pt idx="123">
                  <c:v>45699</c:v>
                </c:pt>
                <c:pt idx="124">
                  <c:v>45700</c:v>
                </c:pt>
                <c:pt idx="125">
                  <c:v>45701</c:v>
                </c:pt>
                <c:pt idx="126">
                  <c:v>45702</c:v>
                </c:pt>
                <c:pt idx="127">
                  <c:v>45703</c:v>
                </c:pt>
                <c:pt idx="128">
                  <c:v>45704</c:v>
                </c:pt>
                <c:pt idx="129">
                  <c:v>45705</c:v>
                </c:pt>
                <c:pt idx="130">
                  <c:v>45706</c:v>
                </c:pt>
                <c:pt idx="131">
                  <c:v>45707</c:v>
                </c:pt>
                <c:pt idx="132">
                  <c:v>45708</c:v>
                </c:pt>
                <c:pt idx="133">
                  <c:v>45709</c:v>
                </c:pt>
                <c:pt idx="134">
                  <c:v>45710</c:v>
                </c:pt>
                <c:pt idx="135">
                  <c:v>45711</c:v>
                </c:pt>
                <c:pt idx="136">
                  <c:v>45712</c:v>
                </c:pt>
                <c:pt idx="137">
                  <c:v>45713</c:v>
                </c:pt>
                <c:pt idx="138">
                  <c:v>45714</c:v>
                </c:pt>
                <c:pt idx="139">
                  <c:v>45715</c:v>
                </c:pt>
                <c:pt idx="140">
                  <c:v>45716</c:v>
                </c:pt>
                <c:pt idx="141">
                  <c:v>45717</c:v>
                </c:pt>
                <c:pt idx="142">
                  <c:v>45718</c:v>
                </c:pt>
                <c:pt idx="143">
                  <c:v>45719</c:v>
                </c:pt>
                <c:pt idx="144">
                  <c:v>45720</c:v>
                </c:pt>
                <c:pt idx="145">
                  <c:v>45721</c:v>
                </c:pt>
                <c:pt idx="146">
                  <c:v>45722</c:v>
                </c:pt>
                <c:pt idx="147">
                  <c:v>45723</c:v>
                </c:pt>
                <c:pt idx="148">
                  <c:v>45724</c:v>
                </c:pt>
                <c:pt idx="149">
                  <c:v>45725</c:v>
                </c:pt>
                <c:pt idx="150">
                  <c:v>45726</c:v>
                </c:pt>
                <c:pt idx="151">
                  <c:v>45727</c:v>
                </c:pt>
                <c:pt idx="152">
                  <c:v>45728</c:v>
                </c:pt>
                <c:pt idx="153">
                  <c:v>45729</c:v>
                </c:pt>
                <c:pt idx="154">
                  <c:v>45730</c:v>
                </c:pt>
                <c:pt idx="155">
                  <c:v>45731</c:v>
                </c:pt>
                <c:pt idx="156">
                  <c:v>45732</c:v>
                </c:pt>
                <c:pt idx="157">
                  <c:v>45733</c:v>
                </c:pt>
                <c:pt idx="158">
                  <c:v>45734</c:v>
                </c:pt>
                <c:pt idx="159">
                  <c:v>45735</c:v>
                </c:pt>
                <c:pt idx="160">
                  <c:v>45736</c:v>
                </c:pt>
                <c:pt idx="161">
                  <c:v>45737</c:v>
                </c:pt>
                <c:pt idx="162">
                  <c:v>45738</c:v>
                </c:pt>
                <c:pt idx="163">
                  <c:v>45739</c:v>
                </c:pt>
                <c:pt idx="164">
                  <c:v>45740</c:v>
                </c:pt>
                <c:pt idx="165">
                  <c:v>45741</c:v>
                </c:pt>
                <c:pt idx="166">
                  <c:v>45742</c:v>
                </c:pt>
                <c:pt idx="167">
                  <c:v>45743</c:v>
                </c:pt>
                <c:pt idx="168">
                  <c:v>45744</c:v>
                </c:pt>
                <c:pt idx="169">
                  <c:v>45745</c:v>
                </c:pt>
                <c:pt idx="170">
                  <c:v>45746</c:v>
                </c:pt>
                <c:pt idx="171">
                  <c:v>45747</c:v>
                </c:pt>
                <c:pt idx="172">
                  <c:v>45748</c:v>
                </c:pt>
                <c:pt idx="173">
                  <c:v>45749</c:v>
                </c:pt>
                <c:pt idx="174">
                  <c:v>45750</c:v>
                </c:pt>
                <c:pt idx="175">
                  <c:v>45751</c:v>
                </c:pt>
                <c:pt idx="176">
                  <c:v>45752</c:v>
                </c:pt>
                <c:pt idx="177">
                  <c:v>45753</c:v>
                </c:pt>
                <c:pt idx="178">
                  <c:v>45754</c:v>
                </c:pt>
                <c:pt idx="179">
                  <c:v>45755</c:v>
                </c:pt>
                <c:pt idx="180">
                  <c:v>45756</c:v>
                </c:pt>
                <c:pt idx="181">
                  <c:v>45757</c:v>
                </c:pt>
                <c:pt idx="182">
                  <c:v>45758</c:v>
                </c:pt>
                <c:pt idx="183">
                  <c:v>45759</c:v>
                </c:pt>
                <c:pt idx="184">
                  <c:v>45760</c:v>
                </c:pt>
                <c:pt idx="185">
                  <c:v>45761</c:v>
                </c:pt>
                <c:pt idx="186">
                  <c:v>45762</c:v>
                </c:pt>
                <c:pt idx="187">
                  <c:v>45763</c:v>
                </c:pt>
                <c:pt idx="188">
                  <c:v>45764</c:v>
                </c:pt>
                <c:pt idx="189">
                  <c:v>45765</c:v>
                </c:pt>
                <c:pt idx="190">
                  <c:v>45766</c:v>
                </c:pt>
                <c:pt idx="191">
                  <c:v>45767</c:v>
                </c:pt>
                <c:pt idx="192">
                  <c:v>45768</c:v>
                </c:pt>
                <c:pt idx="193">
                  <c:v>45769</c:v>
                </c:pt>
                <c:pt idx="194">
                  <c:v>45770</c:v>
                </c:pt>
                <c:pt idx="195">
                  <c:v>45771</c:v>
                </c:pt>
                <c:pt idx="196">
                  <c:v>45772</c:v>
                </c:pt>
                <c:pt idx="197">
                  <c:v>45773</c:v>
                </c:pt>
                <c:pt idx="198">
                  <c:v>45774</c:v>
                </c:pt>
                <c:pt idx="199">
                  <c:v>45775</c:v>
                </c:pt>
                <c:pt idx="200">
                  <c:v>45776</c:v>
                </c:pt>
                <c:pt idx="201">
                  <c:v>45777</c:v>
                </c:pt>
                <c:pt idx="202">
                  <c:v>45778</c:v>
                </c:pt>
                <c:pt idx="203">
                  <c:v>45779</c:v>
                </c:pt>
                <c:pt idx="204">
                  <c:v>45780</c:v>
                </c:pt>
                <c:pt idx="205">
                  <c:v>45781</c:v>
                </c:pt>
                <c:pt idx="206">
                  <c:v>45782</c:v>
                </c:pt>
                <c:pt idx="207">
                  <c:v>45783</c:v>
                </c:pt>
                <c:pt idx="208">
                  <c:v>45784</c:v>
                </c:pt>
                <c:pt idx="209">
                  <c:v>45785</c:v>
                </c:pt>
                <c:pt idx="210">
                  <c:v>45786</c:v>
                </c:pt>
                <c:pt idx="211">
                  <c:v>45787</c:v>
                </c:pt>
                <c:pt idx="212">
                  <c:v>45788</c:v>
                </c:pt>
                <c:pt idx="213">
                  <c:v>45789</c:v>
                </c:pt>
                <c:pt idx="214">
                  <c:v>45790</c:v>
                </c:pt>
                <c:pt idx="215">
                  <c:v>45791</c:v>
                </c:pt>
                <c:pt idx="216">
                  <c:v>45792</c:v>
                </c:pt>
                <c:pt idx="217">
                  <c:v>45793</c:v>
                </c:pt>
                <c:pt idx="218">
                  <c:v>45794</c:v>
                </c:pt>
                <c:pt idx="219">
                  <c:v>45795</c:v>
                </c:pt>
                <c:pt idx="220">
                  <c:v>45796</c:v>
                </c:pt>
                <c:pt idx="221">
                  <c:v>45797</c:v>
                </c:pt>
                <c:pt idx="222">
                  <c:v>45798</c:v>
                </c:pt>
                <c:pt idx="223">
                  <c:v>45799</c:v>
                </c:pt>
                <c:pt idx="224">
                  <c:v>45800</c:v>
                </c:pt>
                <c:pt idx="225">
                  <c:v>45801</c:v>
                </c:pt>
                <c:pt idx="226">
                  <c:v>45802</c:v>
                </c:pt>
                <c:pt idx="227">
                  <c:v>45803</c:v>
                </c:pt>
                <c:pt idx="228">
                  <c:v>45804</c:v>
                </c:pt>
                <c:pt idx="229">
                  <c:v>45805</c:v>
                </c:pt>
                <c:pt idx="230">
                  <c:v>45806</c:v>
                </c:pt>
                <c:pt idx="231">
                  <c:v>45807</c:v>
                </c:pt>
                <c:pt idx="232">
                  <c:v>45808</c:v>
                </c:pt>
              </c:numCache>
            </c:numRef>
          </c:xVal>
          <c:yVal>
            <c:numRef>
              <c:f>'Km83+900'!$AH$11:$AH$330</c:f>
              <c:numCache>
                <c:formatCode>0</c:formatCode>
                <c:ptCount val="320"/>
                <c:pt idx="0">
                  <c:v>0</c:v>
                </c:pt>
                <c:pt idx="1">
                  <c:v>-5</c:v>
                </c:pt>
                <c:pt idx="2">
                  <c:v>-10</c:v>
                </c:pt>
                <c:pt idx="3">
                  <c:v>-15</c:v>
                </c:pt>
                <c:pt idx="4">
                  <c:v>-19</c:v>
                </c:pt>
                <c:pt idx="5">
                  <c:v>-28</c:v>
                </c:pt>
                <c:pt idx="6">
                  <c:v>-37</c:v>
                </c:pt>
                <c:pt idx="7">
                  <c:v>-45</c:v>
                </c:pt>
                <c:pt idx="8">
                  <c:v>-52</c:v>
                </c:pt>
                <c:pt idx="9">
                  <c:v>-61</c:v>
                </c:pt>
                <c:pt idx="10">
                  <c:v>-70</c:v>
                </c:pt>
                <c:pt idx="11">
                  <c:v>-78</c:v>
                </c:pt>
                <c:pt idx="12">
                  <c:v>-85</c:v>
                </c:pt>
                <c:pt idx="13">
                  <c:v>-90</c:v>
                </c:pt>
                <c:pt idx="14">
                  <c:v>-99</c:v>
                </c:pt>
                <c:pt idx="15">
                  <c:v>-106</c:v>
                </c:pt>
                <c:pt idx="16">
                  <c:v>-112</c:v>
                </c:pt>
                <c:pt idx="17">
                  <c:v>-118</c:v>
                </c:pt>
                <c:pt idx="18">
                  <c:v>-124</c:v>
                </c:pt>
                <c:pt idx="19">
                  <c:v>-131</c:v>
                </c:pt>
                <c:pt idx="20">
                  <c:v>-137</c:v>
                </c:pt>
                <c:pt idx="21">
                  <c:v>-142</c:v>
                </c:pt>
                <c:pt idx="22">
                  <c:v>-147</c:v>
                </c:pt>
                <c:pt idx="23">
                  <c:v>-153</c:v>
                </c:pt>
                <c:pt idx="24">
                  <c:v>-158</c:v>
                </c:pt>
                <c:pt idx="25">
                  <c:v>-163</c:v>
                </c:pt>
                <c:pt idx="26">
                  <c:v>-168</c:v>
                </c:pt>
                <c:pt idx="27">
                  <c:v>-173</c:v>
                </c:pt>
                <c:pt idx="28">
                  <c:v>-177</c:v>
                </c:pt>
                <c:pt idx="29">
                  <c:v>-182</c:v>
                </c:pt>
                <c:pt idx="30">
                  <c:v>-188</c:v>
                </c:pt>
                <c:pt idx="31">
                  <c:v>-193</c:v>
                </c:pt>
                <c:pt idx="32">
                  <c:v>-198</c:v>
                </c:pt>
                <c:pt idx="33">
                  <c:v>-202</c:v>
                </c:pt>
                <c:pt idx="34">
                  <c:v>-207</c:v>
                </c:pt>
                <c:pt idx="35">
                  <c:v>-211</c:v>
                </c:pt>
                <c:pt idx="36">
                  <c:v>-215</c:v>
                </c:pt>
                <c:pt idx="37">
                  <c:v>-218</c:v>
                </c:pt>
                <c:pt idx="38">
                  <c:v>-221</c:v>
                </c:pt>
                <c:pt idx="39">
                  <c:v>-224</c:v>
                </c:pt>
                <c:pt idx="40">
                  <c:v>-226</c:v>
                </c:pt>
                <c:pt idx="41">
                  <c:v>-228</c:v>
                </c:pt>
                <c:pt idx="42">
                  <c:v>-230</c:v>
                </c:pt>
                <c:pt idx="43">
                  <c:v>-232</c:v>
                </c:pt>
                <c:pt idx="44">
                  <c:v>-233</c:v>
                </c:pt>
                <c:pt idx="45">
                  <c:v>-234</c:v>
                </c:pt>
                <c:pt idx="46">
                  <c:v>-235</c:v>
                </c:pt>
                <c:pt idx="47">
                  <c:v>-236</c:v>
                </c:pt>
                <c:pt idx="48">
                  <c:v>-237</c:v>
                </c:pt>
                <c:pt idx="49">
                  <c:v>-238</c:v>
                </c:pt>
                <c:pt idx="50">
                  <c:v>-239</c:v>
                </c:pt>
                <c:pt idx="51">
                  <c:v>-239</c:v>
                </c:pt>
                <c:pt idx="52">
                  <c:v>-239</c:v>
                </c:pt>
                <c:pt idx="53">
                  <c:v>-241</c:v>
                </c:pt>
                <c:pt idx="54">
                  <c:v>-241</c:v>
                </c:pt>
                <c:pt idx="55">
                  <c:v>-244</c:v>
                </c:pt>
                <c:pt idx="56">
                  <c:v>-244</c:v>
                </c:pt>
                <c:pt idx="57">
                  <c:v>-247</c:v>
                </c:pt>
                <c:pt idx="58">
                  <c:v>-247</c:v>
                </c:pt>
                <c:pt idx="59">
                  <c:v>-249</c:v>
                </c:pt>
                <c:pt idx="60">
                  <c:v>-249</c:v>
                </c:pt>
                <c:pt idx="61">
                  <c:v>-252</c:v>
                </c:pt>
                <c:pt idx="62">
                  <c:v>-253</c:v>
                </c:pt>
                <c:pt idx="63">
                  <c:v>-253</c:v>
                </c:pt>
                <c:pt idx="64">
                  <c:v>-255</c:v>
                </c:pt>
                <c:pt idx="65">
                  <c:v>-255</c:v>
                </c:pt>
                <c:pt idx="66">
                  <c:v>-258</c:v>
                </c:pt>
                <c:pt idx="67">
                  <c:v>-258</c:v>
                </c:pt>
                <c:pt idx="68">
                  <c:v>-258</c:v>
                </c:pt>
                <c:pt idx="69">
                  <c:v>-261</c:v>
                </c:pt>
                <c:pt idx="70">
                  <c:v>-264</c:v>
                </c:pt>
                <c:pt idx="71">
                  <c:v>-266</c:v>
                </c:pt>
                <c:pt idx="72">
                  <c:v>-266</c:v>
                </c:pt>
                <c:pt idx="73">
                  <c:v>-266</c:v>
                </c:pt>
                <c:pt idx="74">
                  <c:v>-267</c:v>
                </c:pt>
                <c:pt idx="75">
                  <c:v>-268</c:v>
                </c:pt>
                <c:pt idx="76">
                  <c:v>-268</c:v>
                </c:pt>
                <c:pt idx="77">
                  <c:v>-269</c:v>
                </c:pt>
                <c:pt idx="78">
                  <c:v>-272</c:v>
                </c:pt>
                <c:pt idx="79">
                  <c:v>-273</c:v>
                </c:pt>
                <c:pt idx="80">
                  <c:v>-275</c:v>
                </c:pt>
                <c:pt idx="81">
                  <c:v>-277</c:v>
                </c:pt>
                <c:pt idx="82">
                  <c:v>-278</c:v>
                </c:pt>
                <c:pt idx="83">
                  <c:v>-278</c:v>
                </c:pt>
                <c:pt idx="84">
                  <c:v>-281</c:v>
                </c:pt>
                <c:pt idx="85">
                  <c:v>-281</c:v>
                </c:pt>
                <c:pt idx="86">
                  <c:v>-281</c:v>
                </c:pt>
                <c:pt idx="87">
                  <c:v>-281</c:v>
                </c:pt>
                <c:pt idx="88">
                  <c:v>-282</c:v>
                </c:pt>
                <c:pt idx="89">
                  <c:v>-282</c:v>
                </c:pt>
                <c:pt idx="90">
                  <c:v>-282</c:v>
                </c:pt>
                <c:pt idx="91">
                  <c:v>-282</c:v>
                </c:pt>
                <c:pt idx="92">
                  <c:v>-284</c:v>
                </c:pt>
                <c:pt idx="93">
                  <c:v>-284</c:v>
                </c:pt>
                <c:pt idx="94">
                  <c:v>-284</c:v>
                </c:pt>
                <c:pt idx="95">
                  <c:v>-287</c:v>
                </c:pt>
                <c:pt idx="96">
                  <c:v>-287</c:v>
                </c:pt>
                <c:pt idx="97">
                  <c:v>-287</c:v>
                </c:pt>
                <c:pt idx="98">
                  <c:v>-290</c:v>
                </c:pt>
                <c:pt idx="99">
                  <c:v>-290</c:v>
                </c:pt>
                <c:pt idx="100">
                  <c:v>-291</c:v>
                </c:pt>
                <c:pt idx="101">
                  <c:v>-293</c:v>
                </c:pt>
                <c:pt idx="102">
                  <c:v>-296</c:v>
                </c:pt>
                <c:pt idx="103">
                  <c:v>-300</c:v>
                </c:pt>
                <c:pt idx="104">
                  <c:v>-300</c:v>
                </c:pt>
                <c:pt idx="105">
                  <c:v>-303</c:v>
                </c:pt>
                <c:pt idx="106">
                  <c:v>-305</c:v>
                </c:pt>
                <c:pt idx="107">
                  <c:v>-309</c:v>
                </c:pt>
                <c:pt idx="108">
                  <c:v>-311</c:v>
                </c:pt>
                <c:pt idx="109">
                  <c:v>-311</c:v>
                </c:pt>
                <c:pt idx="110">
                  <c:v>-311</c:v>
                </c:pt>
                <c:pt idx="111">
                  <c:v>-313</c:v>
                </c:pt>
                <c:pt idx="112">
                  <c:v>-313</c:v>
                </c:pt>
                <c:pt idx="113">
                  <c:v>-313</c:v>
                </c:pt>
                <c:pt idx="114">
                  <c:v>-314</c:v>
                </c:pt>
                <c:pt idx="115">
                  <c:v>-314</c:v>
                </c:pt>
                <c:pt idx="116">
                  <c:v>-314</c:v>
                </c:pt>
                <c:pt idx="117">
                  <c:v>-317</c:v>
                </c:pt>
                <c:pt idx="118">
                  <c:v>-317</c:v>
                </c:pt>
                <c:pt idx="119">
                  <c:v>-321</c:v>
                </c:pt>
                <c:pt idx="120">
                  <c:v>-322</c:v>
                </c:pt>
                <c:pt idx="121">
                  <c:v>-322</c:v>
                </c:pt>
                <c:pt idx="122">
                  <c:v>-325</c:v>
                </c:pt>
                <c:pt idx="123">
                  <c:v>-325</c:v>
                </c:pt>
                <c:pt idx="124">
                  <c:v>-325</c:v>
                </c:pt>
                <c:pt idx="125">
                  <c:v>-329</c:v>
                </c:pt>
                <c:pt idx="126">
                  <c:v>-330</c:v>
                </c:pt>
                <c:pt idx="127">
                  <c:v>-330</c:v>
                </c:pt>
                <c:pt idx="128">
                  <c:v>-334</c:v>
                </c:pt>
                <c:pt idx="129">
                  <c:v>-334</c:v>
                </c:pt>
                <c:pt idx="130">
                  <c:v>-336</c:v>
                </c:pt>
                <c:pt idx="131">
                  <c:v>-336</c:v>
                </c:pt>
                <c:pt idx="132">
                  <c:v>-340</c:v>
                </c:pt>
                <c:pt idx="133">
                  <c:v>-340</c:v>
                </c:pt>
                <c:pt idx="134">
                  <c:v>-342</c:v>
                </c:pt>
                <c:pt idx="135">
                  <c:v>-342</c:v>
                </c:pt>
                <c:pt idx="136">
                  <c:v>-342</c:v>
                </c:pt>
                <c:pt idx="137">
                  <c:v>-345</c:v>
                </c:pt>
                <c:pt idx="138">
                  <c:v>-345</c:v>
                </c:pt>
                <c:pt idx="139">
                  <c:v>-347</c:v>
                </c:pt>
                <c:pt idx="140">
                  <c:v>-347</c:v>
                </c:pt>
                <c:pt idx="141">
                  <c:v>-347</c:v>
                </c:pt>
                <c:pt idx="142">
                  <c:v>-347</c:v>
                </c:pt>
                <c:pt idx="143">
                  <c:v>-347</c:v>
                </c:pt>
                <c:pt idx="144">
                  <c:v>-350</c:v>
                </c:pt>
                <c:pt idx="145">
                  <c:v>-350</c:v>
                </c:pt>
                <c:pt idx="146">
                  <c:v>-350</c:v>
                </c:pt>
                <c:pt idx="147">
                  <c:v>-350</c:v>
                </c:pt>
                <c:pt idx="148">
                  <c:v>-350</c:v>
                </c:pt>
                <c:pt idx="149">
                  <c:v>-352</c:v>
                </c:pt>
                <c:pt idx="150">
                  <c:v>-352</c:v>
                </c:pt>
                <c:pt idx="151">
                  <c:v>-356</c:v>
                </c:pt>
                <c:pt idx="152">
                  <c:v>-360</c:v>
                </c:pt>
                <c:pt idx="153">
                  <c:v>-363</c:v>
                </c:pt>
                <c:pt idx="154">
                  <c:v>-365</c:v>
                </c:pt>
                <c:pt idx="155">
                  <c:v>-365</c:v>
                </c:pt>
                <c:pt idx="156">
                  <c:v>-365</c:v>
                </c:pt>
                <c:pt idx="157">
                  <c:v>-365</c:v>
                </c:pt>
                <c:pt idx="158">
                  <c:v>-365</c:v>
                </c:pt>
                <c:pt idx="159">
                  <c:v>-365</c:v>
                </c:pt>
                <c:pt idx="160">
                  <c:v>-365</c:v>
                </c:pt>
                <c:pt idx="161">
                  <c:v>-367</c:v>
                </c:pt>
                <c:pt idx="162">
                  <c:v>-367</c:v>
                </c:pt>
                <c:pt idx="163">
                  <c:v>-367</c:v>
                </c:pt>
                <c:pt idx="164">
                  <c:v>-368</c:v>
                </c:pt>
                <c:pt idx="165">
                  <c:v>-369</c:v>
                </c:pt>
                <c:pt idx="166">
                  <c:v>-373</c:v>
                </c:pt>
                <c:pt idx="167">
                  <c:v>-374</c:v>
                </c:pt>
                <c:pt idx="168">
                  <c:v>-374</c:v>
                </c:pt>
                <c:pt idx="169">
                  <c:v>-375</c:v>
                </c:pt>
                <c:pt idx="170">
                  <c:v>-377</c:v>
                </c:pt>
                <c:pt idx="171">
                  <c:v>-379</c:v>
                </c:pt>
                <c:pt idx="172">
                  <c:v>-380</c:v>
                </c:pt>
                <c:pt idx="173">
                  <c:v>-380</c:v>
                </c:pt>
                <c:pt idx="174">
                  <c:v>-380</c:v>
                </c:pt>
                <c:pt idx="175">
                  <c:v>-380</c:v>
                </c:pt>
                <c:pt idx="176">
                  <c:v>-380</c:v>
                </c:pt>
                <c:pt idx="177">
                  <c:v>-380</c:v>
                </c:pt>
                <c:pt idx="178">
                  <c:v>-381</c:v>
                </c:pt>
                <c:pt idx="179">
                  <c:v>-381</c:v>
                </c:pt>
                <c:pt idx="180">
                  <c:v>-381</c:v>
                </c:pt>
                <c:pt idx="181">
                  <c:v>-390</c:v>
                </c:pt>
                <c:pt idx="182">
                  <c:v>-399</c:v>
                </c:pt>
                <c:pt idx="183">
                  <c:v>-408</c:v>
                </c:pt>
                <c:pt idx="184">
                  <c:v>-416</c:v>
                </c:pt>
                <c:pt idx="185">
                  <c:v>-425</c:v>
                </c:pt>
                <c:pt idx="186">
                  <c:v>-434</c:v>
                </c:pt>
                <c:pt idx="187">
                  <c:v>-443</c:v>
                </c:pt>
                <c:pt idx="188">
                  <c:v>-451</c:v>
                </c:pt>
                <c:pt idx="189">
                  <c:v>-460</c:v>
                </c:pt>
                <c:pt idx="190">
                  <c:v>-469</c:v>
                </c:pt>
                <c:pt idx="191">
                  <c:v>-478</c:v>
                </c:pt>
                <c:pt idx="192">
                  <c:v>-486</c:v>
                </c:pt>
                <c:pt idx="193">
                  <c:v>-493</c:v>
                </c:pt>
                <c:pt idx="194">
                  <c:v>-501</c:v>
                </c:pt>
                <c:pt idx="195">
                  <c:v>-509</c:v>
                </c:pt>
                <c:pt idx="196">
                  <c:v>-517</c:v>
                </c:pt>
                <c:pt idx="197">
                  <c:v>-524</c:v>
                </c:pt>
                <c:pt idx="198">
                  <c:v>-532</c:v>
                </c:pt>
                <c:pt idx="199">
                  <c:v>-539</c:v>
                </c:pt>
                <c:pt idx="200">
                  <c:v>-547</c:v>
                </c:pt>
                <c:pt idx="201">
                  <c:v>-555</c:v>
                </c:pt>
                <c:pt idx="202">
                  <c:v>-562</c:v>
                </c:pt>
                <c:pt idx="203">
                  <c:v>-568</c:v>
                </c:pt>
                <c:pt idx="204">
                  <c:v>-575</c:v>
                </c:pt>
                <c:pt idx="205">
                  <c:v>-582</c:v>
                </c:pt>
                <c:pt idx="206">
                  <c:v>-590</c:v>
                </c:pt>
                <c:pt idx="207">
                  <c:v>-598</c:v>
                </c:pt>
                <c:pt idx="208">
                  <c:v>-606</c:v>
                </c:pt>
                <c:pt idx="209">
                  <c:v>-613</c:v>
                </c:pt>
                <c:pt idx="210">
                  <c:v>-621</c:v>
                </c:pt>
                <c:pt idx="211">
                  <c:v>-629</c:v>
                </c:pt>
                <c:pt idx="212">
                  <c:v>-636</c:v>
                </c:pt>
                <c:pt idx="213">
                  <c:v>-643</c:v>
                </c:pt>
                <c:pt idx="214">
                  <c:v>-650</c:v>
                </c:pt>
                <c:pt idx="215">
                  <c:v>-656</c:v>
                </c:pt>
                <c:pt idx="216">
                  <c:v>-662</c:v>
                </c:pt>
                <c:pt idx="217">
                  <c:v>-667</c:v>
                </c:pt>
                <c:pt idx="218">
                  <c:v>-672</c:v>
                </c:pt>
                <c:pt idx="219">
                  <c:v>-676</c:v>
                </c:pt>
                <c:pt idx="220">
                  <c:v>-681</c:v>
                </c:pt>
                <c:pt idx="221">
                  <c:v>-684</c:v>
                </c:pt>
                <c:pt idx="222">
                  <c:v>-688</c:v>
                </c:pt>
                <c:pt idx="223">
                  <c:v>-691</c:v>
                </c:pt>
                <c:pt idx="224">
                  <c:v>-695</c:v>
                </c:pt>
                <c:pt idx="225">
                  <c:v>-699</c:v>
                </c:pt>
                <c:pt idx="226">
                  <c:v>-703</c:v>
                </c:pt>
                <c:pt idx="227">
                  <c:v>-706</c:v>
                </c:pt>
                <c:pt idx="228">
                  <c:v>-709</c:v>
                </c:pt>
                <c:pt idx="229">
                  <c:v>-713</c:v>
                </c:pt>
                <c:pt idx="230">
                  <c:v>-716</c:v>
                </c:pt>
                <c:pt idx="231">
                  <c:v>-719</c:v>
                </c:pt>
                <c:pt idx="232">
                  <c:v>-722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55-4B88-8007-E5E4D4EC1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475200"/>
        <c:axId val="586475776"/>
      </c:scatterChart>
      <c:scatterChart>
        <c:scatterStyle val="lineMarker"/>
        <c:varyColors val="0"/>
        <c:ser>
          <c:idx val="0"/>
          <c:order val="0"/>
          <c:tx>
            <c:strRef>
              <c:f>'Km83+900'!$AJ$8:$AJ$9</c:f>
              <c:strCache>
                <c:ptCount val="2"/>
                <c:pt idx="0">
                  <c:v>Cao độ nền đường</c:v>
                </c:pt>
              </c:strCache>
            </c:strRef>
          </c:tx>
          <c:marker>
            <c:symbol val="diamond"/>
            <c:size val="2"/>
            <c:spPr>
              <a:solidFill>
                <a:srgbClr val="000080"/>
              </a:solidFill>
              <a:ln w="12700">
                <a:solidFill>
                  <a:srgbClr val="000080"/>
                </a:solidFill>
                <a:prstDash val="solid"/>
              </a:ln>
            </c:spPr>
          </c:marker>
          <c:xVal>
            <c:numRef>
              <c:f>'Km83+900'!$B$11:$B$327</c:f>
              <c:numCache>
                <c:formatCode>[$-1010000]d/m/yyyy;@</c:formatCode>
                <c:ptCount val="317"/>
                <c:pt idx="0">
                  <c:v>45576</c:v>
                </c:pt>
                <c:pt idx="1">
                  <c:v>45577</c:v>
                </c:pt>
                <c:pt idx="2">
                  <c:v>45578</c:v>
                </c:pt>
                <c:pt idx="3">
                  <c:v>45579</c:v>
                </c:pt>
                <c:pt idx="4">
                  <c:v>45580</c:v>
                </c:pt>
                <c:pt idx="5">
                  <c:v>45581</c:v>
                </c:pt>
                <c:pt idx="6">
                  <c:v>45582</c:v>
                </c:pt>
                <c:pt idx="7">
                  <c:v>45583</c:v>
                </c:pt>
                <c:pt idx="8">
                  <c:v>45584</c:v>
                </c:pt>
                <c:pt idx="9">
                  <c:v>45585</c:v>
                </c:pt>
                <c:pt idx="10">
                  <c:v>45586</c:v>
                </c:pt>
                <c:pt idx="11">
                  <c:v>45587</c:v>
                </c:pt>
                <c:pt idx="12">
                  <c:v>45588</c:v>
                </c:pt>
                <c:pt idx="13">
                  <c:v>45589</c:v>
                </c:pt>
                <c:pt idx="14">
                  <c:v>45590</c:v>
                </c:pt>
                <c:pt idx="15">
                  <c:v>45591</c:v>
                </c:pt>
                <c:pt idx="16">
                  <c:v>45592</c:v>
                </c:pt>
                <c:pt idx="17">
                  <c:v>45593</c:v>
                </c:pt>
                <c:pt idx="18">
                  <c:v>45594</c:v>
                </c:pt>
                <c:pt idx="19">
                  <c:v>45595</c:v>
                </c:pt>
                <c:pt idx="20">
                  <c:v>45596</c:v>
                </c:pt>
                <c:pt idx="21">
                  <c:v>45597</c:v>
                </c:pt>
                <c:pt idx="22">
                  <c:v>45598</c:v>
                </c:pt>
                <c:pt idx="23">
                  <c:v>45599</c:v>
                </c:pt>
                <c:pt idx="24">
                  <c:v>45600</c:v>
                </c:pt>
                <c:pt idx="25">
                  <c:v>45601</c:v>
                </c:pt>
                <c:pt idx="26">
                  <c:v>45602</c:v>
                </c:pt>
                <c:pt idx="27">
                  <c:v>45603</c:v>
                </c:pt>
                <c:pt idx="28">
                  <c:v>45604</c:v>
                </c:pt>
                <c:pt idx="29">
                  <c:v>45605</c:v>
                </c:pt>
                <c:pt idx="30">
                  <c:v>45606</c:v>
                </c:pt>
                <c:pt idx="31">
                  <c:v>45607</c:v>
                </c:pt>
                <c:pt idx="32">
                  <c:v>45608</c:v>
                </c:pt>
                <c:pt idx="33">
                  <c:v>45609</c:v>
                </c:pt>
                <c:pt idx="34">
                  <c:v>45610</c:v>
                </c:pt>
                <c:pt idx="35">
                  <c:v>45611</c:v>
                </c:pt>
                <c:pt idx="36">
                  <c:v>45612</c:v>
                </c:pt>
                <c:pt idx="37">
                  <c:v>45613</c:v>
                </c:pt>
                <c:pt idx="38">
                  <c:v>45614</c:v>
                </c:pt>
                <c:pt idx="39">
                  <c:v>45615</c:v>
                </c:pt>
                <c:pt idx="40">
                  <c:v>45616</c:v>
                </c:pt>
                <c:pt idx="41">
                  <c:v>45617</c:v>
                </c:pt>
                <c:pt idx="42">
                  <c:v>45618</c:v>
                </c:pt>
                <c:pt idx="43">
                  <c:v>45619</c:v>
                </c:pt>
                <c:pt idx="44">
                  <c:v>45620</c:v>
                </c:pt>
                <c:pt idx="45">
                  <c:v>45621</c:v>
                </c:pt>
                <c:pt idx="46">
                  <c:v>45622</c:v>
                </c:pt>
                <c:pt idx="47">
                  <c:v>45623</c:v>
                </c:pt>
                <c:pt idx="48">
                  <c:v>45624</c:v>
                </c:pt>
                <c:pt idx="49">
                  <c:v>45625</c:v>
                </c:pt>
                <c:pt idx="50">
                  <c:v>45626</c:v>
                </c:pt>
                <c:pt idx="51">
                  <c:v>45627</c:v>
                </c:pt>
                <c:pt idx="52">
                  <c:v>45628</c:v>
                </c:pt>
                <c:pt idx="53">
                  <c:v>45629</c:v>
                </c:pt>
                <c:pt idx="54">
                  <c:v>45630</c:v>
                </c:pt>
                <c:pt idx="55">
                  <c:v>45631</c:v>
                </c:pt>
                <c:pt idx="56">
                  <c:v>45632</c:v>
                </c:pt>
                <c:pt idx="57">
                  <c:v>45633</c:v>
                </c:pt>
                <c:pt idx="58">
                  <c:v>45634</c:v>
                </c:pt>
                <c:pt idx="59">
                  <c:v>45635</c:v>
                </c:pt>
                <c:pt idx="60">
                  <c:v>45636</c:v>
                </c:pt>
                <c:pt idx="61">
                  <c:v>45637</c:v>
                </c:pt>
                <c:pt idx="62">
                  <c:v>45638</c:v>
                </c:pt>
                <c:pt idx="63">
                  <c:v>45639</c:v>
                </c:pt>
                <c:pt idx="64">
                  <c:v>45640</c:v>
                </c:pt>
                <c:pt idx="65">
                  <c:v>45641</c:v>
                </c:pt>
                <c:pt idx="66">
                  <c:v>45642</c:v>
                </c:pt>
                <c:pt idx="67">
                  <c:v>45643</c:v>
                </c:pt>
                <c:pt idx="68">
                  <c:v>45644</c:v>
                </c:pt>
                <c:pt idx="69">
                  <c:v>45645</c:v>
                </c:pt>
                <c:pt idx="70">
                  <c:v>45646</c:v>
                </c:pt>
                <c:pt idx="71">
                  <c:v>45647</c:v>
                </c:pt>
                <c:pt idx="72">
                  <c:v>45648</c:v>
                </c:pt>
                <c:pt idx="73">
                  <c:v>45649</c:v>
                </c:pt>
                <c:pt idx="74">
                  <c:v>45650</c:v>
                </c:pt>
                <c:pt idx="75">
                  <c:v>45651</c:v>
                </c:pt>
                <c:pt idx="76">
                  <c:v>45652</c:v>
                </c:pt>
                <c:pt idx="77">
                  <c:v>45653</c:v>
                </c:pt>
                <c:pt idx="78">
                  <c:v>45654</c:v>
                </c:pt>
                <c:pt idx="79">
                  <c:v>45655</c:v>
                </c:pt>
                <c:pt idx="80">
                  <c:v>45656</c:v>
                </c:pt>
                <c:pt idx="81">
                  <c:v>45657</c:v>
                </c:pt>
                <c:pt idx="82">
                  <c:v>45658</c:v>
                </c:pt>
                <c:pt idx="83">
                  <c:v>45659</c:v>
                </c:pt>
                <c:pt idx="84">
                  <c:v>45660</c:v>
                </c:pt>
                <c:pt idx="85">
                  <c:v>45661</c:v>
                </c:pt>
                <c:pt idx="86">
                  <c:v>45662</c:v>
                </c:pt>
                <c:pt idx="87">
                  <c:v>45663</c:v>
                </c:pt>
                <c:pt idx="88">
                  <c:v>45664</c:v>
                </c:pt>
                <c:pt idx="89">
                  <c:v>45665</c:v>
                </c:pt>
                <c:pt idx="90">
                  <c:v>45666</c:v>
                </c:pt>
                <c:pt idx="91">
                  <c:v>45667</c:v>
                </c:pt>
                <c:pt idx="92">
                  <c:v>45668</c:v>
                </c:pt>
                <c:pt idx="93">
                  <c:v>45669</c:v>
                </c:pt>
                <c:pt idx="94">
                  <c:v>45670</c:v>
                </c:pt>
                <c:pt idx="95">
                  <c:v>45671</c:v>
                </c:pt>
                <c:pt idx="96">
                  <c:v>45672</c:v>
                </c:pt>
                <c:pt idx="97">
                  <c:v>45673</c:v>
                </c:pt>
                <c:pt idx="98">
                  <c:v>45674</c:v>
                </c:pt>
                <c:pt idx="99">
                  <c:v>45675</c:v>
                </c:pt>
                <c:pt idx="100">
                  <c:v>45676</c:v>
                </c:pt>
                <c:pt idx="101">
                  <c:v>45677</c:v>
                </c:pt>
                <c:pt idx="102">
                  <c:v>45678</c:v>
                </c:pt>
                <c:pt idx="103">
                  <c:v>45679</c:v>
                </c:pt>
                <c:pt idx="104">
                  <c:v>45680</c:v>
                </c:pt>
                <c:pt idx="105">
                  <c:v>45681</c:v>
                </c:pt>
                <c:pt idx="106">
                  <c:v>45682</c:v>
                </c:pt>
                <c:pt idx="107">
                  <c:v>45683</c:v>
                </c:pt>
                <c:pt idx="108">
                  <c:v>45684</c:v>
                </c:pt>
                <c:pt idx="109">
                  <c:v>45685</c:v>
                </c:pt>
                <c:pt idx="110">
                  <c:v>45686</c:v>
                </c:pt>
                <c:pt idx="111">
                  <c:v>45687</c:v>
                </c:pt>
                <c:pt idx="112">
                  <c:v>45688</c:v>
                </c:pt>
                <c:pt idx="113">
                  <c:v>45689</c:v>
                </c:pt>
                <c:pt idx="114">
                  <c:v>45690</c:v>
                </c:pt>
                <c:pt idx="115">
                  <c:v>45691</c:v>
                </c:pt>
                <c:pt idx="116">
                  <c:v>45692</c:v>
                </c:pt>
                <c:pt idx="117">
                  <c:v>45693</c:v>
                </c:pt>
                <c:pt idx="118">
                  <c:v>45694</c:v>
                </c:pt>
                <c:pt idx="119">
                  <c:v>45695</c:v>
                </c:pt>
                <c:pt idx="120">
                  <c:v>45696</c:v>
                </c:pt>
                <c:pt idx="121">
                  <c:v>45697</c:v>
                </c:pt>
                <c:pt idx="122">
                  <c:v>45698</c:v>
                </c:pt>
                <c:pt idx="123">
                  <c:v>45699</c:v>
                </c:pt>
                <c:pt idx="124">
                  <c:v>45700</c:v>
                </c:pt>
                <c:pt idx="125">
                  <c:v>45701</c:v>
                </c:pt>
                <c:pt idx="126">
                  <c:v>45702</c:v>
                </c:pt>
                <c:pt idx="127">
                  <c:v>45703</c:v>
                </c:pt>
                <c:pt idx="128">
                  <c:v>45704</c:v>
                </c:pt>
                <c:pt idx="129">
                  <c:v>45705</c:v>
                </c:pt>
                <c:pt idx="130">
                  <c:v>45706</c:v>
                </c:pt>
                <c:pt idx="131">
                  <c:v>45707</c:v>
                </c:pt>
                <c:pt idx="132">
                  <c:v>45708</c:v>
                </c:pt>
                <c:pt idx="133">
                  <c:v>45709</c:v>
                </c:pt>
                <c:pt idx="134">
                  <c:v>45710</c:v>
                </c:pt>
                <c:pt idx="135">
                  <c:v>45711</c:v>
                </c:pt>
                <c:pt idx="136">
                  <c:v>45712</c:v>
                </c:pt>
                <c:pt idx="137">
                  <c:v>45713</c:v>
                </c:pt>
                <c:pt idx="138">
                  <c:v>45714</c:v>
                </c:pt>
                <c:pt idx="139">
                  <c:v>45715</c:v>
                </c:pt>
                <c:pt idx="140">
                  <c:v>45716</c:v>
                </c:pt>
                <c:pt idx="141">
                  <c:v>45717</c:v>
                </c:pt>
                <c:pt idx="142">
                  <c:v>45718</c:v>
                </c:pt>
                <c:pt idx="143">
                  <c:v>45719</c:v>
                </c:pt>
                <c:pt idx="144">
                  <c:v>45720</c:v>
                </c:pt>
                <c:pt idx="145">
                  <c:v>45721</c:v>
                </c:pt>
                <c:pt idx="146">
                  <c:v>45722</c:v>
                </c:pt>
                <c:pt idx="147">
                  <c:v>45723</c:v>
                </c:pt>
                <c:pt idx="148">
                  <c:v>45724</c:v>
                </c:pt>
                <c:pt idx="149">
                  <c:v>45725</c:v>
                </c:pt>
                <c:pt idx="150">
                  <c:v>45726</c:v>
                </c:pt>
                <c:pt idx="151">
                  <c:v>45727</c:v>
                </c:pt>
                <c:pt idx="152">
                  <c:v>45728</c:v>
                </c:pt>
                <c:pt idx="153">
                  <c:v>45729</c:v>
                </c:pt>
                <c:pt idx="154">
                  <c:v>45730</c:v>
                </c:pt>
                <c:pt idx="155">
                  <c:v>45731</c:v>
                </c:pt>
                <c:pt idx="156">
                  <c:v>45732</c:v>
                </c:pt>
                <c:pt idx="157">
                  <c:v>45733</c:v>
                </c:pt>
                <c:pt idx="158">
                  <c:v>45734</c:v>
                </c:pt>
                <c:pt idx="159">
                  <c:v>45735</c:v>
                </c:pt>
                <c:pt idx="160">
                  <c:v>45736</c:v>
                </c:pt>
                <c:pt idx="161">
                  <c:v>45737</c:v>
                </c:pt>
                <c:pt idx="162">
                  <c:v>45738</c:v>
                </c:pt>
                <c:pt idx="163">
                  <c:v>45739</c:v>
                </c:pt>
                <c:pt idx="164">
                  <c:v>45740</c:v>
                </c:pt>
                <c:pt idx="165">
                  <c:v>45741</c:v>
                </c:pt>
                <c:pt idx="166">
                  <c:v>45742</c:v>
                </c:pt>
                <c:pt idx="167">
                  <c:v>45743</c:v>
                </c:pt>
                <c:pt idx="168">
                  <c:v>45744</c:v>
                </c:pt>
                <c:pt idx="169">
                  <c:v>45745</c:v>
                </c:pt>
                <c:pt idx="170">
                  <c:v>45746</c:v>
                </c:pt>
                <c:pt idx="171">
                  <c:v>45747</c:v>
                </c:pt>
                <c:pt idx="172">
                  <c:v>45748</c:v>
                </c:pt>
                <c:pt idx="173">
                  <c:v>45749</c:v>
                </c:pt>
                <c:pt idx="174">
                  <c:v>45750</c:v>
                </c:pt>
                <c:pt idx="175">
                  <c:v>45751</c:v>
                </c:pt>
                <c:pt idx="176">
                  <c:v>45752</c:v>
                </c:pt>
                <c:pt idx="177">
                  <c:v>45753</c:v>
                </c:pt>
                <c:pt idx="178">
                  <c:v>45754</c:v>
                </c:pt>
                <c:pt idx="179">
                  <c:v>45755</c:v>
                </c:pt>
                <c:pt idx="180">
                  <c:v>45756</c:v>
                </c:pt>
                <c:pt idx="181">
                  <c:v>45757</c:v>
                </c:pt>
                <c:pt idx="182">
                  <c:v>45758</c:v>
                </c:pt>
                <c:pt idx="183">
                  <c:v>45759</c:v>
                </c:pt>
                <c:pt idx="184">
                  <c:v>45760</c:v>
                </c:pt>
                <c:pt idx="185">
                  <c:v>45761</c:v>
                </c:pt>
                <c:pt idx="186">
                  <c:v>45762</c:v>
                </c:pt>
                <c:pt idx="187">
                  <c:v>45763</c:v>
                </c:pt>
                <c:pt idx="188">
                  <c:v>45764</c:v>
                </c:pt>
                <c:pt idx="189">
                  <c:v>45765</c:v>
                </c:pt>
                <c:pt idx="190">
                  <c:v>45766</c:v>
                </c:pt>
                <c:pt idx="191">
                  <c:v>45767</c:v>
                </c:pt>
                <c:pt idx="192">
                  <c:v>45768</c:v>
                </c:pt>
                <c:pt idx="193">
                  <c:v>45769</c:v>
                </c:pt>
                <c:pt idx="194">
                  <c:v>45770</c:v>
                </c:pt>
                <c:pt idx="195">
                  <c:v>45771</c:v>
                </c:pt>
                <c:pt idx="196">
                  <c:v>45772</c:v>
                </c:pt>
                <c:pt idx="197">
                  <c:v>45773</c:v>
                </c:pt>
                <c:pt idx="198">
                  <c:v>45774</c:v>
                </c:pt>
                <c:pt idx="199">
                  <c:v>45775</c:v>
                </c:pt>
                <c:pt idx="200">
                  <c:v>45776</c:v>
                </c:pt>
                <c:pt idx="201">
                  <c:v>45777</c:v>
                </c:pt>
                <c:pt idx="202">
                  <c:v>45778</c:v>
                </c:pt>
                <c:pt idx="203">
                  <c:v>45779</c:v>
                </c:pt>
                <c:pt idx="204">
                  <c:v>45780</c:v>
                </c:pt>
                <c:pt idx="205">
                  <c:v>45781</c:v>
                </c:pt>
                <c:pt idx="206">
                  <c:v>45782</c:v>
                </c:pt>
                <c:pt idx="207">
                  <c:v>45783</c:v>
                </c:pt>
                <c:pt idx="208">
                  <c:v>45784</c:v>
                </c:pt>
                <c:pt idx="209">
                  <c:v>45785</c:v>
                </c:pt>
                <c:pt idx="210">
                  <c:v>45786</c:v>
                </c:pt>
                <c:pt idx="211">
                  <c:v>45787</c:v>
                </c:pt>
                <c:pt idx="212">
                  <c:v>45788</c:v>
                </c:pt>
                <c:pt idx="213">
                  <c:v>45789</c:v>
                </c:pt>
                <c:pt idx="214">
                  <c:v>45790</c:v>
                </c:pt>
                <c:pt idx="215">
                  <c:v>45791</c:v>
                </c:pt>
                <c:pt idx="216">
                  <c:v>45792</c:v>
                </c:pt>
                <c:pt idx="217">
                  <c:v>45793</c:v>
                </c:pt>
                <c:pt idx="218">
                  <c:v>45794</c:v>
                </c:pt>
                <c:pt idx="219">
                  <c:v>45795</c:v>
                </c:pt>
                <c:pt idx="220">
                  <c:v>45796</c:v>
                </c:pt>
                <c:pt idx="221">
                  <c:v>45797</c:v>
                </c:pt>
                <c:pt idx="222">
                  <c:v>45798</c:v>
                </c:pt>
                <c:pt idx="223">
                  <c:v>45799</c:v>
                </c:pt>
                <c:pt idx="224">
                  <c:v>45800</c:v>
                </c:pt>
                <c:pt idx="225">
                  <c:v>45801</c:v>
                </c:pt>
                <c:pt idx="226">
                  <c:v>45802</c:v>
                </c:pt>
                <c:pt idx="227">
                  <c:v>45803</c:v>
                </c:pt>
                <c:pt idx="228">
                  <c:v>45804</c:v>
                </c:pt>
                <c:pt idx="229">
                  <c:v>45805</c:v>
                </c:pt>
                <c:pt idx="230">
                  <c:v>45806</c:v>
                </c:pt>
                <c:pt idx="231">
                  <c:v>45807</c:v>
                </c:pt>
                <c:pt idx="232">
                  <c:v>45808</c:v>
                </c:pt>
              </c:numCache>
            </c:numRef>
          </c:xVal>
          <c:yVal>
            <c:numRef>
              <c:f>'Km83+900'!$AJ$11:$AJ$327</c:f>
              <c:numCache>
                <c:formatCode>0.000</c:formatCode>
                <c:ptCount val="317"/>
                <c:pt idx="0">
                  <c:v>0.54900000000000004</c:v>
                </c:pt>
                <c:pt idx="1">
                  <c:v>0.84499999999999997</c:v>
                </c:pt>
                <c:pt idx="2">
                  <c:v>0.84199999999999997</c:v>
                </c:pt>
                <c:pt idx="3">
                  <c:v>0.83399999999999996</c:v>
                </c:pt>
                <c:pt idx="4">
                  <c:v>0.82699999999999996</c:v>
                </c:pt>
                <c:pt idx="5">
                  <c:v>0.81799999999999995</c:v>
                </c:pt>
                <c:pt idx="6">
                  <c:v>1.1099999999999999</c:v>
                </c:pt>
                <c:pt idx="7">
                  <c:v>1.1019999999999999</c:v>
                </c:pt>
                <c:pt idx="8">
                  <c:v>1.0939999999999999</c:v>
                </c:pt>
                <c:pt idx="9">
                  <c:v>1.087</c:v>
                </c:pt>
                <c:pt idx="10">
                  <c:v>1.08</c:v>
                </c:pt>
                <c:pt idx="11">
                  <c:v>1.3740000000000001</c:v>
                </c:pt>
                <c:pt idx="12">
                  <c:v>1.3680000000000001</c:v>
                </c:pt>
                <c:pt idx="13">
                  <c:v>1.3630000000000002</c:v>
                </c:pt>
                <c:pt idx="14">
                  <c:v>1.3580000000000003</c:v>
                </c:pt>
                <c:pt idx="15">
                  <c:v>1.6500000000000004</c:v>
                </c:pt>
                <c:pt idx="16">
                  <c:v>1.6420000000000003</c:v>
                </c:pt>
                <c:pt idx="17">
                  <c:v>1.6340000000000003</c:v>
                </c:pt>
                <c:pt idx="18">
                  <c:v>1.6260000000000003</c:v>
                </c:pt>
                <c:pt idx="19">
                  <c:v>1.6180000000000003</c:v>
                </c:pt>
                <c:pt idx="20">
                  <c:v>1.6100000000000003</c:v>
                </c:pt>
                <c:pt idx="21">
                  <c:v>1.6020000000000003</c:v>
                </c:pt>
                <c:pt idx="22">
                  <c:v>1.5940000000000003</c:v>
                </c:pt>
                <c:pt idx="23">
                  <c:v>1.5860000000000003</c:v>
                </c:pt>
                <c:pt idx="24">
                  <c:v>1.5780000000000003</c:v>
                </c:pt>
                <c:pt idx="25">
                  <c:v>1.5700000000000003</c:v>
                </c:pt>
                <c:pt idx="26">
                  <c:v>1.5630000000000004</c:v>
                </c:pt>
                <c:pt idx="27">
                  <c:v>1.5560000000000005</c:v>
                </c:pt>
                <c:pt idx="28">
                  <c:v>1.5490000000000006</c:v>
                </c:pt>
                <c:pt idx="29">
                  <c:v>1.5420000000000007</c:v>
                </c:pt>
                <c:pt idx="30">
                  <c:v>1.5350000000000008</c:v>
                </c:pt>
                <c:pt idx="31">
                  <c:v>1.5280000000000009</c:v>
                </c:pt>
                <c:pt idx="32">
                  <c:v>1.5220000000000009</c:v>
                </c:pt>
                <c:pt idx="33">
                  <c:v>1.5160000000000009</c:v>
                </c:pt>
                <c:pt idx="34">
                  <c:v>1.5100000000000009</c:v>
                </c:pt>
                <c:pt idx="35">
                  <c:v>1.5040000000000009</c:v>
                </c:pt>
                <c:pt idx="36">
                  <c:v>1.4980000000000009</c:v>
                </c:pt>
                <c:pt idx="37">
                  <c:v>1.493000000000001</c:v>
                </c:pt>
                <c:pt idx="38">
                  <c:v>1.4880000000000011</c:v>
                </c:pt>
                <c:pt idx="39">
                  <c:v>1.4830000000000012</c:v>
                </c:pt>
                <c:pt idx="40">
                  <c:v>1.4780000000000013</c:v>
                </c:pt>
                <c:pt idx="41">
                  <c:v>1.4730000000000014</c:v>
                </c:pt>
                <c:pt idx="42">
                  <c:v>1.4680000000000015</c:v>
                </c:pt>
                <c:pt idx="43">
                  <c:v>1.4630000000000016</c:v>
                </c:pt>
                <c:pt idx="44">
                  <c:v>1.4590000000000016</c:v>
                </c:pt>
                <c:pt idx="45">
                  <c:v>1.4550000000000016</c:v>
                </c:pt>
                <c:pt idx="46">
                  <c:v>1.4510000000000016</c:v>
                </c:pt>
                <c:pt idx="47">
                  <c:v>1.4470000000000016</c:v>
                </c:pt>
                <c:pt idx="48">
                  <c:v>1.4440000000000017</c:v>
                </c:pt>
                <c:pt idx="49">
                  <c:v>1.4410000000000018</c:v>
                </c:pt>
                <c:pt idx="50">
                  <c:v>1.4380000000000019</c:v>
                </c:pt>
                <c:pt idx="51">
                  <c:v>1.4360000000000019</c:v>
                </c:pt>
                <c:pt idx="52">
                  <c:v>1.4340000000000019</c:v>
                </c:pt>
                <c:pt idx="53">
                  <c:v>1.4320000000000019</c:v>
                </c:pt>
                <c:pt idx="54">
                  <c:v>1.4300000000000019</c:v>
                </c:pt>
                <c:pt idx="55">
                  <c:v>1.429000000000002</c:v>
                </c:pt>
                <c:pt idx="56">
                  <c:v>1.4280000000000022</c:v>
                </c:pt>
                <c:pt idx="57">
                  <c:v>1.4270000000000023</c:v>
                </c:pt>
                <c:pt idx="58">
                  <c:v>1.4240000000000024</c:v>
                </c:pt>
                <c:pt idx="59">
                  <c:v>1.4220000000000024</c:v>
                </c:pt>
                <c:pt idx="60">
                  <c:v>1.4200000000000024</c:v>
                </c:pt>
                <c:pt idx="61">
                  <c:v>1.4180000000000024</c:v>
                </c:pt>
                <c:pt idx="62">
                  <c:v>1.4160000000000024</c:v>
                </c:pt>
                <c:pt idx="63">
                  <c:v>1.4150000000000025</c:v>
                </c:pt>
                <c:pt idx="64">
                  <c:v>1.4140000000000026</c:v>
                </c:pt>
                <c:pt idx="65">
                  <c:v>1.4130000000000027</c:v>
                </c:pt>
                <c:pt idx="66">
                  <c:v>1.4120000000000028</c:v>
                </c:pt>
                <c:pt idx="67">
                  <c:v>1.4110000000000029</c:v>
                </c:pt>
                <c:pt idx="68">
                  <c:v>1.410000000000003</c:v>
                </c:pt>
                <c:pt idx="69">
                  <c:v>1.4090000000000031</c:v>
                </c:pt>
                <c:pt idx="70">
                  <c:v>1.4090000000000031</c:v>
                </c:pt>
                <c:pt idx="71">
                  <c:v>1.4090000000000031</c:v>
                </c:pt>
                <c:pt idx="72">
                  <c:v>1.4070000000000031</c:v>
                </c:pt>
                <c:pt idx="73">
                  <c:v>1.4070000000000031</c:v>
                </c:pt>
                <c:pt idx="74">
                  <c:v>1.4040000000000032</c:v>
                </c:pt>
                <c:pt idx="75">
                  <c:v>1.4040000000000032</c:v>
                </c:pt>
                <c:pt idx="76">
                  <c:v>1.4030000000000034</c:v>
                </c:pt>
                <c:pt idx="77">
                  <c:v>1.4020000000000035</c:v>
                </c:pt>
                <c:pt idx="78">
                  <c:v>1.4020000000000035</c:v>
                </c:pt>
                <c:pt idx="79">
                  <c:v>1.4020000000000035</c:v>
                </c:pt>
                <c:pt idx="80">
                  <c:v>1.3990000000000036</c:v>
                </c:pt>
                <c:pt idx="81">
                  <c:v>1.3980000000000037</c:v>
                </c:pt>
                <c:pt idx="82">
                  <c:v>1.3980000000000037</c:v>
                </c:pt>
                <c:pt idx="83">
                  <c:v>1.3970000000000038</c:v>
                </c:pt>
                <c:pt idx="84">
                  <c:v>1.3970000000000038</c:v>
                </c:pt>
                <c:pt idx="85">
                  <c:v>1.3960000000000039</c:v>
                </c:pt>
                <c:pt idx="86">
                  <c:v>1.395000000000004</c:v>
                </c:pt>
                <c:pt idx="87">
                  <c:v>1.395000000000004</c:v>
                </c:pt>
                <c:pt idx="88">
                  <c:v>1.3940000000000041</c:v>
                </c:pt>
                <c:pt idx="89">
                  <c:v>1.3930000000000042</c:v>
                </c:pt>
                <c:pt idx="90">
                  <c:v>1.3930000000000042</c:v>
                </c:pt>
                <c:pt idx="91">
                  <c:v>1.3920000000000043</c:v>
                </c:pt>
                <c:pt idx="92">
                  <c:v>1.3920000000000043</c:v>
                </c:pt>
                <c:pt idx="93">
                  <c:v>1.3920000000000043</c:v>
                </c:pt>
                <c:pt idx="94">
                  <c:v>1.3910000000000045</c:v>
                </c:pt>
                <c:pt idx="95">
                  <c:v>1.3910000000000045</c:v>
                </c:pt>
                <c:pt idx="96">
                  <c:v>1.3910000000000045</c:v>
                </c:pt>
                <c:pt idx="97">
                  <c:v>1.3900000000000046</c:v>
                </c:pt>
                <c:pt idx="98">
                  <c:v>1.3900000000000046</c:v>
                </c:pt>
                <c:pt idx="99">
                  <c:v>1.3890000000000047</c:v>
                </c:pt>
                <c:pt idx="100">
                  <c:v>1.3890000000000047</c:v>
                </c:pt>
                <c:pt idx="101">
                  <c:v>1.3880000000000048</c:v>
                </c:pt>
                <c:pt idx="102">
                  <c:v>1.3880000000000048</c:v>
                </c:pt>
                <c:pt idx="103">
                  <c:v>1.3870000000000049</c:v>
                </c:pt>
                <c:pt idx="104">
                  <c:v>1.384000000000005</c:v>
                </c:pt>
                <c:pt idx="105">
                  <c:v>1.3830000000000051</c:v>
                </c:pt>
                <c:pt idx="106">
                  <c:v>1.3830000000000051</c:v>
                </c:pt>
                <c:pt idx="107">
                  <c:v>1.3830000000000051</c:v>
                </c:pt>
                <c:pt idx="108">
                  <c:v>1.3830000000000051</c:v>
                </c:pt>
                <c:pt idx="109">
                  <c:v>1.3820000000000052</c:v>
                </c:pt>
                <c:pt idx="110">
                  <c:v>1.3820000000000052</c:v>
                </c:pt>
                <c:pt idx="111">
                  <c:v>1.3810000000000053</c:v>
                </c:pt>
                <c:pt idx="112">
                  <c:v>1.3810000000000053</c:v>
                </c:pt>
                <c:pt idx="113">
                  <c:v>1.3800000000000054</c:v>
                </c:pt>
                <c:pt idx="114">
                  <c:v>1.3790000000000056</c:v>
                </c:pt>
                <c:pt idx="115">
                  <c:v>1.3790000000000056</c:v>
                </c:pt>
                <c:pt idx="116">
                  <c:v>1.3760000000000057</c:v>
                </c:pt>
                <c:pt idx="117">
                  <c:v>1.3750000000000058</c:v>
                </c:pt>
                <c:pt idx="118">
                  <c:v>1.3720000000000059</c:v>
                </c:pt>
                <c:pt idx="119">
                  <c:v>1.371000000000006</c:v>
                </c:pt>
                <c:pt idx="120">
                  <c:v>1.371000000000006</c:v>
                </c:pt>
                <c:pt idx="121">
                  <c:v>1.367000000000006</c:v>
                </c:pt>
                <c:pt idx="122">
                  <c:v>1.3660000000000061</c:v>
                </c:pt>
                <c:pt idx="123">
                  <c:v>1.3660000000000061</c:v>
                </c:pt>
                <c:pt idx="124">
                  <c:v>1.3630000000000062</c:v>
                </c:pt>
                <c:pt idx="125">
                  <c:v>1.3620000000000063</c:v>
                </c:pt>
                <c:pt idx="126">
                  <c:v>1.3620000000000063</c:v>
                </c:pt>
                <c:pt idx="127">
                  <c:v>1.3590000000000064</c:v>
                </c:pt>
                <c:pt idx="128">
                  <c:v>1.3590000000000064</c:v>
                </c:pt>
                <c:pt idx="129">
                  <c:v>1.3580000000000065</c:v>
                </c:pt>
                <c:pt idx="130">
                  <c:v>1.3580000000000065</c:v>
                </c:pt>
                <c:pt idx="131">
                  <c:v>1.3570000000000066</c:v>
                </c:pt>
                <c:pt idx="132">
                  <c:v>1.3570000000000066</c:v>
                </c:pt>
                <c:pt idx="133">
                  <c:v>1.3560000000000068</c:v>
                </c:pt>
                <c:pt idx="134">
                  <c:v>1.3560000000000068</c:v>
                </c:pt>
                <c:pt idx="135">
                  <c:v>1.3530000000000069</c:v>
                </c:pt>
                <c:pt idx="136">
                  <c:v>1.3530000000000069</c:v>
                </c:pt>
                <c:pt idx="137">
                  <c:v>1.350000000000007</c:v>
                </c:pt>
                <c:pt idx="138">
                  <c:v>1.3490000000000071</c:v>
                </c:pt>
                <c:pt idx="139">
                  <c:v>1.3490000000000071</c:v>
                </c:pt>
                <c:pt idx="140">
                  <c:v>1.3490000000000071</c:v>
                </c:pt>
                <c:pt idx="141">
                  <c:v>1.3490000000000071</c:v>
                </c:pt>
                <c:pt idx="142">
                  <c:v>1.3490000000000071</c:v>
                </c:pt>
                <c:pt idx="143">
                  <c:v>1.3470000000000071</c:v>
                </c:pt>
                <c:pt idx="144">
                  <c:v>1.3470000000000071</c:v>
                </c:pt>
                <c:pt idx="145">
                  <c:v>1.3440000000000072</c:v>
                </c:pt>
                <c:pt idx="146">
                  <c:v>1.3440000000000072</c:v>
                </c:pt>
                <c:pt idx="147">
                  <c:v>1.3430000000000073</c:v>
                </c:pt>
                <c:pt idx="148">
                  <c:v>1.3400000000000074</c:v>
                </c:pt>
                <c:pt idx="149">
                  <c:v>1.3390000000000075</c:v>
                </c:pt>
                <c:pt idx="150">
                  <c:v>1.3380000000000076</c:v>
                </c:pt>
                <c:pt idx="151">
                  <c:v>1.3380000000000076</c:v>
                </c:pt>
                <c:pt idx="152">
                  <c:v>1.3370000000000077</c:v>
                </c:pt>
                <c:pt idx="153">
                  <c:v>1.3340000000000078</c:v>
                </c:pt>
                <c:pt idx="154">
                  <c:v>1.331000000000008</c:v>
                </c:pt>
                <c:pt idx="155">
                  <c:v>1.3300000000000081</c:v>
                </c:pt>
                <c:pt idx="156">
                  <c:v>1.3280000000000081</c:v>
                </c:pt>
                <c:pt idx="157">
                  <c:v>1.3280000000000081</c:v>
                </c:pt>
                <c:pt idx="158">
                  <c:v>1.3270000000000082</c:v>
                </c:pt>
                <c:pt idx="159">
                  <c:v>1.3270000000000082</c:v>
                </c:pt>
                <c:pt idx="160">
                  <c:v>1.3260000000000083</c:v>
                </c:pt>
                <c:pt idx="161">
                  <c:v>1.3220000000000083</c:v>
                </c:pt>
                <c:pt idx="162">
                  <c:v>1.3210000000000084</c:v>
                </c:pt>
                <c:pt idx="163">
                  <c:v>1.3210000000000084</c:v>
                </c:pt>
                <c:pt idx="164">
                  <c:v>1.3200000000000085</c:v>
                </c:pt>
                <c:pt idx="165">
                  <c:v>1.3200000000000085</c:v>
                </c:pt>
                <c:pt idx="166">
                  <c:v>1.3170000000000086</c:v>
                </c:pt>
                <c:pt idx="167">
                  <c:v>1.3160000000000087</c:v>
                </c:pt>
                <c:pt idx="168">
                  <c:v>1.3160000000000087</c:v>
                </c:pt>
                <c:pt idx="169">
                  <c:v>1.3160000000000087</c:v>
                </c:pt>
                <c:pt idx="170">
                  <c:v>1.3140000000000087</c:v>
                </c:pt>
                <c:pt idx="171">
                  <c:v>1.3120000000000087</c:v>
                </c:pt>
                <c:pt idx="172">
                  <c:v>1.3120000000000087</c:v>
                </c:pt>
                <c:pt idx="173">
                  <c:v>1.3110000000000088</c:v>
                </c:pt>
                <c:pt idx="174">
                  <c:v>1.3110000000000088</c:v>
                </c:pt>
                <c:pt idx="175">
                  <c:v>1.3100000000000089</c:v>
                </c:pt>
                <c:pt idx="176">
                  <c:v>1.309000000000009</c:v>
                </c:pt>
                <c:pt idx="177">
                  <c:v>1.309000000000009</c:v>
                </c:pt>
                <c:pt idx="178">
                  <c:v>1.3080000000000092</c:v>
                </c:pt>
                <c:pt idx="179">
                  <c:v>1.3070000000000093</c:v>
                </c:pt>
                <c:pt idx="180">
                  <c:v>1.3060000000000094</c:v>
                </c:pt>
                <c:pt idx="181">
                  <c:v>1.2970000000000095</c:v>
                </c:pt>
                <c:pt idx="182">
                  <c:v>1.2880000000000096</c:v>
                </c:pt>
                <c:pt idx="183">
                  <c:v>1.2790000000000097</c:v>
                </c:pt>
                <c:pt idx="184">
                  <c:v>1.2700000000000098</c:v>
                </c:pt>
                <c:pt idx="185">
                  <c:v>1.2620000000000098</c:v>
                </c:pt>
                <c:pt idx="186">
                  <c:v>1.2530000000000099</c:v>
                </c:pt>
                <c:pt idx="187">
                  <c:v>1.24400000000001</c:v>
                </c:pt>
                <c:pt idx="188">
                  <c:v>1.2350000000000101</c:v>
                </c:pt>
                <c:pt idx="189">
                  <c:v>1.2260000000000102</c:v>
                </c:pt>
                <c:pt idx="190">
                  <c:v>1.2180000000000102</c:v>
                </c:pt>
                <c:pt idx="191">
                  <c:v>1.2090000000000103</c:v>
                </c:pt>
                <c:pt idx="192">
                  <c:v>1.2010000000000103</c:v>
                </c:pt>
                <c:pt idx="193">
                  <c:v>1.1930000000000103</c:v>
                </c:pt>
                <c:pt idx="194">
                  <c:v>1.1850000000000103</c:v>
                </c:pt>
                <c:pt idx="195">
                  <c:v>1.1760000000000104</c:v>
                </c:pt>
                <c:pt idx="196">
                  <c:v>1.1680000000000104</c:v>
                </c:pt>
                <c:pt idx="197">
                  <c:v>1.1590000000000105</c:v>
                </c:pt>
                <c:pt idx="198">
                  <c:v>1.1510000000000105</c:v>
                </c:pt>
                <c:pt idx="199">
                  <c:v>1.1420000000000106</c:v>
                </c:pt>
                <c:pt idx="200">
                  <c:v>1.1330000000000107</c:v>
                </c:pt>
                <c:pt idx="201">
                  <c:v>1.1250000000000107</c:v>
                </c:pt>
                <c:pt idx="202">
                  <c:v>1.1180000000000108</c:v>
                </c:pt>
                <c:pt idx="203">
                  <c:v>1.1110000000000109</c:v>
                </c:pt>
                <c:pt idx="204">
                  <c:v>1.1030000000000109</c:v>
                </c:pt>
                <c:pt idx="205">
                  <c:v>1.096000000000011</c:v>
                </c:pt>
                <c:pt idx="206">
                  <c:v>1.0890000000000111</c:v>
                </c:pt>
                <c:pt idx="207">
                  <c:v>1.0820000000000112</c:v>
                </c:pt>
                <c:pt idx="208">
                  <c:v>1.0740000000000112</c:v>
                </c:pt>
                <c:pt idx="209">
                  <c:v>1.0670000000000113</c:v>
                </c:pt>
                <c:pt idx="210">
                  <c:v>1.0600000000000114</c:v>
                </c:pt>
                <c:pt idx="211">
                  <c:v>1.0530000000000115</c:v>
                </c:pt>
                <c:pt idx="212">
                  <c:v>1.0450000000000115</c:v>
                </c:pt>
                <c:pt idx="213">
                  <c:v>1.0380000000000116</c:v>
                </c:pt>
                <c:pt idx="214">
                  <c:v>1.0310000000000117</c:v>
                </c:pt>
                <c:pt idx="215">
                  <c:v>1.0250000000000117</c:v>
                </c:pt>
                <c:pt idx="216">
                  <c:v>1.0190000000000117</c:v>
                </c:pt>
                <c:pt idx="217">
                  <c:v>1.0130000000000117</c:v>
                </c:pt>
                <c:pt idx="218">
                  <c:v>1.0070000000000117</c:v>
                </c:pt>
                <c:pt idx="219">
                  <c:v>1.0020000000000118</c:v>
                </c:pt>
                <c:pt idx="220">
                  <c:v>0.99800000000001177</c:v>
                </c:pt>
                <c:pt idx="221">
                  <c:v>0.99500000000001176</c:v>
                </c:pt>
                <c:pt idx="222">
                  <c:v>0.99200000000001176</c:v>
                </c:pt>
                <c:pt idx="223">
                  <c:v>0.98900000000001176</c:v>
                </c:pt>
                <c:pt idx="224">
                  <c:v>0.98400000000001175</c:v>
                </c:pt>
                <c:pt idx="225">
                  <c:v>0.98000000000001175</c:v>
                </c:pt>
                <c:pt idx="226">
                  <c:v>0.97600000000001175</c:v>
                </c:pt>
                <c:pt idx="227">
                  <c:v>0.97300000000001174</c:v>
                </c:pt>
                <c:pt idx="228">
                  <c:v>0.96900000000001174</c:v>
                </c:pt>
                <c:pt idx="229">
                  <c:v>0.96500000000001174</c:v>
                </c:pt>
                <c:pt idx="230">
                  <c:v>0.96300000000001174</c:v>
                </c:pt>
                <c:pt idx="231">
                  <c:v>0.95900000000001173</c:v>
                </c:pt>
                <c:pt idx="232">
                  <c:v>0.95500000000001173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55-4B88-8007-E5E4D4EC1572}"/>
            </c:ext>
          </c:extLst>
        </c:ser>
        <c:ser>
          <c:idx val="4"/>
          <c:order val="4"/>
          <c:tx>
            <c:strRef>
              <c:f>'Km83+900'!$AL$8:$AL$9</c:f>
              <c:strCache>
                <c:ptCount val="2"/>
                <c:pt idx="0">
                  <c:v>Chiều dày đắp</c:v>
                </c:pt>
              </c:strCache>
            </c:strRef>
          </c:tx>
          <c:marker>
            <c:symbol val="star"/>
            <c:size val="2"/>
            <c:spPr>
              <a:noFill/>
              <a:ln w="12700">
                <a:solidFill>
                  <a:srgbClr val="800080"/>
                </a:solidFill>
                <a:prstDash val="solid"/>
              </a:ln>
            </c:spPr>
          </c:marker>
          <c:xVal>
            <c:numRef>
              <c:f>'Km83+900'!$B$11:$B$338</c:f>
              <c:numCache>
                <c:formatCode>[$-1010000]d/m/yyyy;@</c:formatCode>
                <c:ptCount val="328"/>
                <c:pt idx="0">
                  <c:v>45576</c:v>
                </c:pt>
                <c:pt idx="1">
                  <c:v>45577</c:v>
                </c:pt>
                <c:pt idx="2">
                  <c:v>45578</c:v>
                </c:pt>
                <c:pt idx="3">
                  <c:v>45579</c:v>
                </c:pt>
                <c:pt idx="4">
                  <c:v>45580</c:v>
                </c:pt>
                <c:pt idx="5">
                  <c:v>45581</c:v>
                </c:pt>
                <c:pt idx="6">
                  <c:v>45582</c:v>
                </c:pt>
                <c:pt idx="7">
                  <c:v>45583</c:v>
                </c:pt>
                <c:pt idx="8">
                  <c:v>45584</c:v>
                </c:pt>
                <c:pt idx="9">
                  <c:v>45585</c:v>
                </c:pt>
                <c:pt idx="10">
                  <c:v>45586</c:v>
                </c:pt>
                <c:pt idx="11">
                  <c:v>45587</c:v>
                </c:pt>
                <c:pt idx="12">
                  <c:v>45588</c:v>
                </c:pt>
                <c:pt idx="13">
                  <c:v>45589</c:v>
                </c:pt>
                <c:pt idx="14">
                  <c:v>45590</c:v>
                </c:pt>
                <c:pt idx="15">
                  <c:v>45591</c:v>
                </c:pt>
                <c:pt idx="16">
                  <c:v>45592</c:v>
                </c:pt>
                <c:pt idx="17">
                  <c:v>45593</c:v>
                </c:pt>
                <c:pt idx="18">
                  <c:v>45594</c:v>
                </c:pt>
                <c:pt idx="19">
                  <c:v>45595</c:v>
                </c:pt>
                <c:pt idx="20">
                  <c:v>45596</c:v>
                </c:pt>
                <c:pt idx="21">
                  <c:v>45597</c:v>
                </c:pt>
                <c:pt idx="22">
                  <c:v>45598</c:v>
                </c:pt>
                <c:pt idx="23">
                  <c:v>45599</c:v>
                </c:pt>
                <c:pt idx="24">
                  <c:v>45600</c:v>
                </c:pt>
                <c:pt idx="25">
                  <c:v>45601</c:v>
                </c:pt>
                <c:pt idx="26">
                  <c:v>45602</c:v>
                </c:pt>
                <c:pt idx="27">
                  <c:v>45603</c:v>
                </c:pt>
                <c:pt idx="28">
                  <c:v>45604</c:v>
                </c:pt>
                <c:pt idx="29">
                  <c:v>45605</c:v>
                </c:pt>
                <c:pt idx="30">
                  <c:v>45606</c:v>
                </c:pt>
                <c:pt idx="31">
                  <c:v>45607</c:v>
                </c:pt>
                <c:pt idx="32">
                  <c:v>45608</c:v>
                </c:pt>
                <c:pt idx="33">
                  <c:v>45609</c:v>
                </c:pt>
                <c:pt idx="34">
                  <c:v>45610</c:v>
                </c:pt>
                <c:pt idx="35">
                  <c:v>45611</c:v>
                </c:pt>
                <c:pt idx="36">
                  <c:v>45612</c:v>
                </c:pt>
                <c:pt idx="37">
                  <c:v>45613</c:v>
                </c:pt>
                <c:pt idx="38">
                  <c:v>45614</c:v>
                </c:pt>
                <c:pt idx="39">
                  <c:v>45615</c:v>
                </c:pt>
                <c:pt idx="40">
                  <c:v>45616</c:v>
                </c:pt>
                <c:pt idx="41">
                  <c:v>45617</c:v>
                </c:pt>
                <c:pt idx="42">
                  <c:v>45618</c:v>
                </c:pt>
                <c:pt idx="43">
                  <c:v>45619</c:v>
                </c:pt>
                <c:pt idx="44">
                  <c:v>45620</c:v>
                </c:pt>
                <c:pt idx="45">
                  <c:v>45621</c:v>
                </c:pt>
                <c:pt idx="46">
                  <c:v>45622</c:v>
                </c:pt>
                <c:pt idx="47">
                  <c:v>45623</c:v>
                </c:pt>
                <c:pt idx="48">
                  <c:v>45624</c:v>
                </c:pt>
                <c:pt idx="49">
                  <c:v>45625</c:v>
                </c:pt>
                <c:pt idx="50">
                  <c:v>45626</c:v>
                </c:pt>
                <c:pt idx="51">
                  <c:v>45627</c:v>
                </c:pt>
                <c:pt idx="52">
                  <c:v>45628</c:v>
                </c:pt>
                <c:pt idx="53">
                  <c:v>45629</c:v>
                </c:pt>
                <c:pt idx="54">
                  <c:v>45630</c:v>
                </c:pt>
                <c:pt idx="55">
                  <c:v>45631</c:v>
                </c:pt>
                <c:pt idx="56">
                  <c:v>45632</c:v>
                </c:pt>
                <c:pt idx="57">
                  <c:v>45633</c:v>
                </c:pt>
                <c:pt idx="58">
                  <c:v>45634</c:v>
                </c:pt>
                <c:pt idx="59">
                  <c:v>45635</c:v>
                </c:pt>
                <c:pt idx="60">
                  <c:v>45636</c:v>
                </c:pt>
                <c:pt idx="61">
                  <c:v>45637</c:v>
                </c:pt>
                <c:pt idx="62">
                  <c:v>45638</c:v>
                </c:pt>
                <c:pt idx="63">
                  <c:v>45639</c:v>
                </c:pt>
                <c:pt idx="64">
                  <c:v>45640</c:v>
                </c:pt>
                <c:pt idx="65">
                  <c:v>45641</c:v>
                </c:pt>
                <c:pt idx="66">
                  <c:v>45642</c:v>
                </c:pt>
                <c:pt idx="67">
                  <c:v>45643</c:v>
                </c:pt>
                <c:pt idx="68">
                  <c:v>45644</c:v>
                </c:pt>
                <c:pt idx="69">
                  <c:v>45645</c:v>
                </c:pt>
                <c:pt idx="70">
                  <c:v>45646</c:v>
                </c:pt>
                <c:pt idx="71">
                  <c:v>45647</c:v>
                </c:pt>
                <c:pt idx="72">
                  <c:v>45648</c:v>
                </c:pt>
                <c:pt idx="73">
                  <c:v>45649</c:v>
                </c:pt>
                <c:pt idx="74">
                  <c:v>45650</c:v>
                </c:pt>
                <c:pt idx="75">
                  <c:v>45651</c:v>
                </c:pt>
                <c:pt idx="76">
                  <c:v>45652</c:v>
                </c:pt>
                <c:pt idx="77">
                  <c:v>45653</c:v>
                </c:pt>
                <c:pt idx="78">
                  <c:v>45654</c:v>
                </c:pt>
                <c:pt idx="79">
                  <c:v>45655</c:v>
                </c:pt>
                <c:pt idx="80">
                  <c:v>45656</c:v>
                </c:pt>
                <c:pt idx="81">
                  <c:v>45657</c:v>
                </c:pt>
                <c:pt idx="82">
                  <c:v>45658</c:v>
                </c:pt>
                <c:pt idx="83">
                  <c:v>45659</c:v>
                </c:pt>
                <c:pt idx="84">
                  <c:v>45660</c:v>
                </c:pt>
                <c:pt idx="85">
                  <c:v>45661</c:v>
                </c:pt>
                <c:pt idx="86">
                  <c:v>45662</c:v>
                </c:pt>
                <c:pt idx="87">
                  <c:v>45663</c:v>
                </c:pt>
                <c:pt idx="88">
                  <c:v>45664</c:v>
                </c:pt>
                <c:pt idx="89">
                  <c:v>45665</c:v>
                </c:pt>
                <c:pt idx="90">
                  <c:v>45666</c:v>
                </c:pt>
                <c:pt idx="91">
                  <c:v>45667</c:v>
                </c:pt>
                <c:pt idx="92">
                  <c:v>45668</c:v>
                </c:pt>
                <c:pt idx="93">
                  <c:v>45669</c:v>
                </c:pt>
                <c:pt idx="94">
                  <c:v>45670</c:v>
                </c:pt>
                <c:pt idx="95">
                  <c:v>45671</c:v>
                </c:pt>
                <c:pt idx="96">
                  <c:v>45672</c:v>
                </c:pt>
                <c:pt idx="97">
                  <c:v>45673</c:v>
                </c:pt>
                <c:pt idx="98">
                  <c:v>45674</c:v>
                </c:pt>
                <c:pt idx="99">
                  <c:v>45675</c:v>
                </c:pt>
                <c:pt idx="100">
                  <c:v>45676</c:v>
                </c:pt>
                <c:pt idx="101">
                  <c:v>45677</c:v>
                </c:pt>
                <c:pt idx="102">
                  <c:v>45678</c:v>
                </c:pt>
                <c:pt idx="103">
                  <c:v>45679</c:v>
                </c:pt>
                <c:pt idx="104">
                  <c:v>45680</c:v>
                </c:pt>
                <c:pt idx="105">
                  <c:v>45681</c:v>
                </c:pt>
                <c:pt idx="106">
                  <c:v>45682</c:v>
                </c:pt>
                <c:pt idx="107">
                  <c:v>45683</c:v>
                </c:pt>
                <c:pt idx="108">
                  <c:v>45684</c:v>
                </c:pt>
                <c:pt idx="109">
                  <c:v>45685</c:v>
                </c:pt>
                <c:pt idx="110">
                  <c:v>45686</c:v>
                </c:pt>
                <c:pt idx="111">
                  <c:v>45687</c:v>
                </c:pt>
                <c:pt idx="112">
                  <c:v>45688</c:v>
                </c:pt>
                <c:pt idx="113">
                  <c:v>45689</c:v>
                </c:pt>
                <c:pt idx="114">
                  <c:v>45690</c:v>
                </c:pt>
                <c:pt idx="115">
                  <c:v>45691</c:v>
                </c:pt>
                <c:pt idx="116">
                  <c:v>45692</c:v>
                </c:pt>
                <c:pt idx="117">
                  <c:v>45693</c:v>
                </c:pt>
                <c:pt idx="118">
                  <c:v>45694</c:v>
                </c:pt>
                <c:pt idx="119">
                  <c:v>45695</c:v>
                </c:pt>
                <c:pt idx="120">
                  <c:v>45696</c:v>
                </c:pt>
                <c:pt idx="121">
                  <c:v>45697</c:v>
                </c:pt>
                <c:pt idx="122">
                  <c:v>45698</c:v>
                </c:pt>
                <c:pt idx="123">
                  <c:v>45699</c:v>
                </c:pt>
                <c:pt idx="124">
                  <c:v>45700</c:v>
                </c:pt>
                <c:pt idx="125">
                  <c:v>45701</c:v>
                </c:pt>
                <c:pt idx="126">
                  <c:v>45702</c:v>
                </c:pt>
                <c:pt idx="127">
                  <c:v>45703</c:v>
                </c:pt>
                <c:pt idx="128">
                  <c:v>45704</c:v>
                </c:pt>
                <c:pt idx="129">
                  <c:v>45705</c:v>
                </c:pt>
                <c:pt idx="130">
                  <c:v>45706</c:v>
                </c:pt>
                <c:pt idx="131">
                  <c:v>45707</c:v>
                </c:pt>
                <c:pt idx="132">
                  <c:v>45708</c:v>
                </c:pt>
                <c:pt idx="133">
                  <c:v>45709</c:v>
                </c:pt>
                <c:pt idx="134">
                  <c:v>45710</c:v>
                </c:pt>
                <c:pt idx="135">
                  <c:v>45711</c:v>
                </c:pt>
                <c:pt idx="136">
                  <c:v>45712</c:v>
                </c:pt>
                <c:pt idx="137">
                  <c:v>45713</c:v>
                </c:pt>
                <c:pt idx="138">
                  <c:v>45714</c:v>
                </c:pt>
                <c:pt idx="139">
                  <c:v>45715</c:v>
                </c:pt>
                <c:pt idx="140">
                  <c:v>45716</c:v>
                </c:pt>
                <c:pt idx="141">
                  <c:v>45717</c:v>
                </c:pt>
                <c:pt idx="142">
                  <c:v>45718</c:v>
                </c:pt>
                <c:pt idx="143">
                  <c:v>45719</c:v>
                </c:pt>
                <c:pt idx="144">
                  <c:v>45720</c:v>
                </c:pt>
                <c:pt idx="145">
                  <c:v>45721</c:v>
                </c:pt>
                <c:pt idx="146">
                  <c:v>45722</c:v>
                </c:pt>
                <c:pt idx="147">
                  <c:v>45723</c:v>
                </c:pt>
                <c:pt idx="148">
                  <c:v>45724</c:v>
                </c:pt>
                <c:pt idx="149">
                  <c:v>45725</c:v>
                </c:pt>
                <c:pt idx="150">
                  <c:v>45726</c:v>
                </c:pt>
                <c:pt idx="151">
                  <c:v>45727</c:v>
                </c:pt>
                <c:pt idx="152">
                  <c:v>45728</c:v>
                </c:pt>
                <c:pt idx="153">
                  <c:v>45729</c:v>
                </c:pt>
                <c:pt idx="154">
                  <c:v>45730</c:v>
                </c:pt>
                <c:pt idx="155">
                  <c:v>45731</c:v>
                </c:pt>
                <c:pt idx="156">
                  <c:v>45732</c:v>
                </c:pt>
                <c:pt idx="157">
                  <c:v>45733</c:v>
                </c:pt>
                <c:pt idx="158">
                  <c:v>45734</c:v>
                </c:pt>
                <c:pt idx="159">
                  <c:v>45735</c:v>
                </c:pt>
                <c:pt idx="160">
                  <c:v>45736</c:v>
                </c:pt>
                <c:pt idx="161">
                  <c:v>45737</c:v>
                </c:pt>
                <c:pt idx="162">
                  <c:v>45738</c:v>
                </c:pt>
                <c:pt idx="163">
                  <c:v>45739</c:v>
                </c:pt>
                <c:pt idx="164">
                  <c:v>45740</c:v>
                </c:pt>
                <c:pt idx="165">
                  <c:v>45741</c:v>
                </c:pt>
                <c:pt idx="166">
                  <c:v>45742</c:v>
                </c:pt>
                <c:pt idx="167">
                  <c:v>45743</c:v>
                </c:pt>
                <c:pt idx="168">
                  <c:v>45744</c:v>
                </c:pt>
                <c:pt idx="169">
                  <c:v>45745</c:v>
                </c:pt>
                <c:pt idx="170">
                  <c:v>45746</c:v>
                </c:pt>
                <c:pt idx="171">
                  <c:v>45747</c:v>
                </c:pt>
                <c:pt idx="172">
                  <c:v>45748</c:v>
                </c:pt>
                <c:pt idx="173">
                  <c:v>45749</c:v>
                </c:pt>
                <c:pt idx="174">
                  <c:v>45750</c:v>
                </c:pt>
                <c:pt idx="175">
                  <c:v>45751</c:v>
                </c:pt>
                <c:pt idx="176">
                  <c:v>45752</c:v>
                </c:pt>
                <c:pt idx="177">
                  <c:v>45753</c:v>
                </c:pt>
                <c:pt idx="178">
                  <c:v>45754</c:v>
                </c:pt>
                <c:pt idx="179">
                  <c:v>45755</c:v>
                </c:pt>
                <c:pt idx="180">
                  <c:v>45756</c:v>
                </c:pt>
                <c:pt idx="181">
                  <c:v>45757</c:v>
                </c:pt>
                <c:pt idx="182">
                  <c:v>45758</c:v>
                </c:pt>
                <c:pt idx="183">
                  <c:v>45759</c:v>
                </c:pt>
                <c:pt idx="184">
                  <c:v>45760</c:v>
                </c:pt>
                <c:pt idx="185">
                  <c:v>45761</c:v>
                </c:pt>
                <c:pt idx="186">
                  <c:v>45762</c:v>
                </c:pt>
                <c:pt idx="187">
                  <c:v>45763</c:v>
                </c:pt>
                <c:pt idx="188">
                  <c:v>45764</c:v>
                </c:pt>
                <c:pt idx="189">
                  <c:v>45765</c:v>
                </c:pt>
                <c:pt idx="190">
                  <c:v>45766</c:v>
                </c:pt>
                <c:pt idx="191">
                  <c:v>45767</c:v>
                </c:pt>
                <c:pt idx="192">
                  <c:v>45768</c:v>
                </c:pt>
                <c:pt idx="193">
                  <c:v>45769</c:v>
                </c:pt>
                <c:pt idx="194">
                  <c:v>45770</c:v>
                </c:pt>
                <c:pt idx="195">
                  <c:v>45771</c:v>
                </c:pt>
                <c:pt idx="196">
                  <c:v>45772</c:v>
                </c:pt>
                <c:pt idx="197">
                  <c:v>45773</c:v>
                </c:pt>
                <c:pt idx="198">
                  <c:v>45774</c:v>
                </c:pt>
                <c:pt idx="199">
                  <c:v>45775</c:v>
                </c:pt>
                <c:pt idx="200">
                  <c:v>45776</c:v>
                </c:pt>
                <c:pt idx="201">
                  <c:v>45777</c:v>
                </c:pt>
                <c:pt idx="202">
                  <c:v>45778</c:v>
                </c:pt>
                <c:pt idx="203">
                  <c:v>45779</c:v>
                </c:pt>
                <c:pt idx="204">
                  <c:v>45780</c:v>
                </c:pt>
                <c:pt idx="205">
                  <c:v>45781</c:v>
                </c:pt>
                <c:pt idx="206">
                  <c:v>45782</c:v>
                </c:pt>
                <c:pt idx="207">
                  <c:v>45783</c:v>
                </c:pt>
                <c:pt idx="208">
                  <c:v>45784</c:v>
                </c:pt>
                <c:pt idx="209">
                  <c:v>45785</c:v>
                </c:pt>
                <c:pt idx="210">
                  <c:v>45786</c:v>
                </c:pt>
                <c:pt idx="211">
                  <c:v>45787</c:v>
                </c:pt>
                <c:pt idx="212">
                  <c:v>45788</c:v>
                </c:pt>
                <c:pt idx="213">
                  <c:v>45789</c:v>
                </c:pt>
                <c:pt idx="214">
                  <c:v>45790</c:v>
                </c:pt>
                <c:pt idx="215">
                  <c:v>45791</c:v>
                </c:pt>
                <c:pt idx="216">
                  <c:v>45792</c:v>
                </c:pt>
                <c:pt idx="217">
                  <c:v>45793</c:v>
                </c:pt>
                <c:pt idx="218">
                  <c:v>45794</c:v>
                </c:pt>
                <c:pt idx="219">
                  <c:v>45795</c:v>
                </c:pt>
                <c:pt idx="220">
                  <c:v>45796</c:v>
                </c:pt>
                <c:pt idx="221">
                  <c:v>45797</c:v>
                </c:pt>
                <c:pt idx="222">
                  <c:v>45798</c:v>
                </c:pt>
                <c:pt idx="223">
                  <c:v>45799</c:v>
                </c:pt>
                <c:pt idx="224">
                  <c:v>45800</c:v>
                </c:pt>
                <c:pt idx="225">
                  <c:v>45801</c:v>
                </c:pt>
                <c:pt idx="226">
                  <c:v>45802</c:v>
                </c:pt>
                <c:pt idx="227">
                  <c:v>45803</c:v>
                </c:pt>
                <c:pt idx="228">
                  <c:v>45804</c:v>
                </c:pt>
                <c:pt idx="229">
                  <c:v>45805</c:v>
                </c:pt>
                <c:pt idx="230">
                  <c:v>45806</c:v>
                </c:pt>
                <c:pt idx="231">
                  <c:v>45807</c:v>
                </c:pt>
                <c:pt idx="232">
                  <c:v>45808</c:v>
                </c:pt>
              </c:numCache>
            </c:numRef>
          </c:xVal>
          <c:yVal>
            <c:numRef>
              <c:f>'Km83+900'!$AL$11:$AL$349</c:f>
              <c:numCache>
                <c:formatCode>0.00</c:formatCode>
                <c:ptCount val="339"/>
                <c:pt idx="0">
                  <c:v>0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0.89999999999999991</c:v>
                </c:pt>
                <c:pt idx="12">
                  <c:v>0.89999999999999991</c:v>
                </c:pt>
                <c:pt idx="13">
                  <c:v>0.89999999999999991</c:v>
                </c:pt>
                <c:pt idx="14">
                  <c:v>0.89999999999999991</c:v>
                </c:pt>
                <c:pt idx="15">
                  <c:v>1.2</c:v>
                </c:pt>
                <c:pt idx="16">
                  <c:v>1.2</c:v>
                </c:pt>
                <c:pt idx="17">
                  <c:v>1.2</c:v>
                </c:pt>
                <c:pt idx="18">
                  <c:v>1.2</c:v>
                </c:pt>
                <c:pt idx="19">
                  <c:v>1.2</c:v>
                </c:pt>
                <c:pt idx="20">
                  <c:v>1.2</c:v>
                </c:pt>
                <c:pt idx="21">
                  <c:v>1.2</c:v>
                </c:pt>
                <c:pt idx="22">
                  <c:v>1.2</c:v>
                </c:pt>
                <c:pt idx="23">
                  <c:v>1.2</c:v>
                </c:pt>
                <c:pt idx="24">
                  <c:v>1.2</c:v>
                </c:pt>
                <c:pt idx="25">
                  <c:v>1.2</c:v>
                </c:pt>
                <c:pt idx="26">
                  <c:v>1.2</c:v>
                </c:pt>
                <c:pt idx="27">
                  <c:v>1.2</c:v>
                </c:pt>
                <c:pt idx="28">
                  <c:v>1.2</c:v>
                </c:pt>
                <c:pt idx="29">
                  <c:v>1.2</c:v>
                </c:pt>
                <c:pt idx="30">
                  <c:v>1.2</c:v>
                </c:pt>
                <c:pt idx="31">
                  <c:v>1.2</c:v>
                </c:pt>
                <c:pt idx="32">
                  <c:v>1.2</c:v>
                </c:pt>
                <c:pt idx="33">
                  <c:v>1.2</c:v>
                </c:pt>
                <c:pt idx="34">
                  <c:v>1.2</c:v>
                </c:pt>
                <c:pt idx="35">
                  <c:v>1.2</c:v>
                </c:pt>
                <c:pt idx="36">
                  <c:v>1.2</c:v>
                </c:pt>
                <c:pt idx="37">
                  <c:v>1.2</c:v>
                </c:pt>
                <c:pt idx="38">
                  <c:v>1.2</c:v>
                </c:pt>
                <c:pt idx="39">
                  <c:v>1.2</c:v>
                </c:pt>
                <c:pt idx="40">
                  <c:v>1.2</c:v>
                </c:pt>
                <c:pt idx="41">
                  <c:v>1.2</c:v>
                </c:pt>
                <c:pt idx="42">
                  <c:v>1.2</c:v>
                </c:pt>
                <c:pt idx="43">
                  <c:v>1.2</c:v>
                </c:pt>
                <c:pt idx="44">
                  <c:v>1.2</c:v>
                </c:pt>
                <c:pt idx="45">
                  <c:v>1.2</c:v>
                </c:pt>
                <c:pt idx="46">
                  <c:v>1.2</c:v>
                </c:pt>
                <c:pt idx="47">
                  <c:v>1.2</c:v>
                </c:pt>
                <c:pt idx="48">
                  <c:v>1.2</c:v>
                </c:pt>
                <c:pt idx="49">
                  <c:v>1.2</c:v>
                </c:pt>
                <c:pt idx="50">
                  <c:v>1.2</c:v>
                </c:pt>
                <c:pt idx="51">
                  <c:v>1.2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1.2</c:v>
                </c:pt>
                <c:pt idx="56">
                  <c:v>1.2</c:v>
                </c:pt>
                <c:pt idx="57">
                  <c:v>1.2</c:v>
                </c:pt>
                <c:pt idx="58">
                  <c:v>1.2</c:v>
                </c:pt>
                <c:pt idx="59">
                  <c:v>1.2</c:v>
                </c:pt>
                <c:pt idx="60">
                  <c:v>1.2</c:v>
                </c:pt>
                <c:pt idx="61">
                  <c:v>1.2</c:v>
                </c:pt>
                <c:pt idx="62">
                  <c:v>1.2</c:v>
                </c:pt>
                <c:pt idx="63">
                  <c:v>1.2</c:v>
                </c:pt>
                <c:pt idx="64">
                  <c:v>1.2</c:v>
                </c:pt>
                <c:pt idx="65">
                  <c:v>1.2</c:v>
                </c:pt>
                <c:pt idx="66">
                  <c:v>1.2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</c:v>
                </c:pt>
                <c:pt idx="73">
                  <c:v>1.2</c:v>
                </c:pt>
                <c:pt idx="74">
                  <c:v>1.2</c:v>
                </c:pt>
                <c:pt idx="75">
                  <c:v>1.2</c:v>
                </c:pt>
                <c:pt idx="76">
                  <c:v>1.2</c:v>
                </c:pt>
                <c:pt idx="77">
                  <c:v>1.2</c:v>
                </c:pt>
                <c:pt idx="78">
                  <c:v>1.2</c:v>
                </c:pt>
                <c:pt idx="79">
                  <c:v>1.2</c:v>
                </c:pt>
                <c:pt idx="80">
                  <c:v>1.2</c:v>
                </c:pt>
                <c:pt idx="81">
                  <c:v>1.2</c:v>
                </c:pt>
                <c:pt idx="82">
                  <c:v>1.2</c:v>
                </c:pt>
                <c:pt idx="83">
                  <c:v>1.2</c:v>
                </c:pt>
                <c:pt idx="84">
                  <c:v>1.2</c:v>
                </c:pt>
                <c:pt idx="85">
                  <c:v>1.2</c:v>
                </c:pt>
                <c:pt idx="86">
                  <c:v>1.2</c:v>
                </c:pt>
                <c:pt idx="87">
                  <c:v>1.2</c:v>
                </c:pt>
                <c:pt idx="88">
                  <c:v>1.2</c:v>
                </c:pt>
                <c:pt idx="89">
                  <c:v>1.2</c:v>
                </c:pt>
                <c:pt idx="90">
                  <c:v>1.2</c:v>
                </c:pt>
                <c:pt idx="91">
                  <c:v>1.2</c:v>
                </c:pt>
                <c:pt idx="92">
                  <c:v>1.2</c:v>
                </c:pt>
                <c:pt idx="93">
                  <c:v>1.2</c:v>
                </c:pt>
                <c:pt idx="94">
                  <c:v>1.2</c:v>
                </c:pt>
                <c:pt idx="95">
                  <c:v>1.2</c:v>
                </c:pt>
                <c:pt idx="96">
                  <c:v>1.2</c:v>
                </c:pt>
                <c:pt idx="97">
                  <c:v>1.2</c:v>
                </c:pt>
                <c:pt idx="98">
                  <c:v>1.2</c:v>
                </c:pt>
                <c:pt idx="99">
                  <c:v>1.2</c:v>
                </c:pt>
                <c:pt idx="100">
                  <c:v>1.2</c:v>
                </c:pt>
                <c:pt idx="101">
                  <c:v>1.2</c:v>
                </c:pt>
                <c:pt idx="102">
                  <c:v>1.2</c:v>
                </c:pt>
                <c:pt idx="103">
                  <c:v>1.2</c:v>
                </c:pt>
                <c:pt idx="104">
                  <c:v>1.2</c:v>
                </c:pt>
                <c:pt idx="105">
                  <c:v>1.2</c:v>
                </c:pt>
                <c:pt idx="106">
                  <c:v>1.2</c:v>
                </c:pt>
                <c:pt idx="107">
                  <c:v>1.2</c:v>
                </c:pt>
                <c:pt idx="108">
                  <c:v>1.2</c:v>
                </c:pt>
                <c:pt idx="109">
                  <c:v>1.2</c:v>
                </c:pt>
                <c:pt idx="110">
                  <c:v>1.2</c:v>
                </c:pt>
                <c:pt idx="111">
                  <c:v>1.2</c:v>
                </c:pt>
                <c:pt idx="112">
                  <c:v>1.2</c:v>
                </c:pt>
                <c:pt idx="113">
                  <c:v>1.2</c:v>
                </c:pt>
                <c:pt idx="114">
                  <c:v>1.2</c:v>
                </c:pt>
                <c:pt idx="115">
                  <c:v>1.2</c:v>
                </c:pt>
                <c:pt idx="116">
                  <c:v>1.2</c:v>
                </c:pt>
                <c:pt idx="117">
                  <c:v>1.2</c:v>
                </c:pt>
                <c:pt idx="118">
                  <c:v>1.2</c:v>
                </c:pt>
                <c:pt idx="119">
                  <c:v>1.2</c:v>
                </c:pt>
                <c:pt idx="120">
                  <c:v>1.2</c:v>
                </c:pt>
                <c:pt idx="121">
                  <c:v>1.2</c:v>
                </c:pt>
                <c:pt idx="122">
                  <c:v>1.2</c:v>
                </c:pt>
                <c:pt idx="123">
                  <c:v>1.2</c:v>
                </c:pt>
                <c:pt idx="124">
                  <c:v>1.2</c:v>
                </c:pt>
                <c:pt idx="125">
                  <c:v>1.2</c:v>
                </c:pt>
                <c:pt idx="126">
                  <c:v>1.2</c:v>
                </c:pt>
                <c:pt idx="127">
                  <c:v>1.2</c:v>
                </c:pt>
                <c:pt idx="128">
                  <c:v>1.2</c:v>
                </c:pt>
                <c:pt idx="129">
                  <c:v>1.2</c:v>
                </c:pt>
                <c:pt idx="130">
                  <c:v>1.2</c:v>
                </c:pt>
                <c:pt idx="131">
                  <c:v>1.2</c:v>
                </c:pt>
                <c:pt idx="132">
                  <c:v>1.2</c:v>
                </c:pt>
                <c:pt idx="133">
                  <c:v>1.2</c:v>
                </c:pt>
                <c:pt idx="134">
                  <c:v>1.2</c:v>
                </c:pt>
                <c:pt idx="135">
                  <c:v>1.2</c:v>
                </c:pt>
                <c:pt idx="136">
                  <c:v>1.2</c:v>
                </c:pt>
                <c:pt idx="137">
                  <c:v>1.2</c:v>
                </c:pt>
                <c:pt idx="138">
                  <c:v>1.2</c:v>
                </c:pt>
                <c:pt idx="139">
                  <c:v>1.2</c:v>
                </c:pt>
                <c:pt idx="140">
                  <c:v>1.2</c:v>
                </c:pt>
                <c:pt idx="141">
                  <c:v>1.2</c:v>
                </c:pt>
                <c:pt idx="142">
                  <c:v>1.2</c:v>
                </c:pt>
                <c:pt idx="143">
                  <c:v>1.2</c:v>
                </c:pt>
                <c:pt idx="144">
                  <c:v>1.2</c:v>
                </c:pt>
                <c:pt idx="145">
                  <c:v>1.2</c:v>
                </c:pt>
                <c:pt idx="146">
                  <c:v>1.2</c:v>
                </c:pt>
                <c:pt idx="147">
                  <c:v>1.2</c:v>
                </c:pt>
                <c:pt idx="148">
                  <c:v>1.2</c:v>
                </c:pt>
                <c:pt idx="149">
                  <c:v>1.2</c:v>
                </c:pt>
                <c:pt idx="150">
                  <c:v>1.2</c:v>
                </c:pt>
                <c:pt idx="151">
                  <c:v>1.2</c:v>
                </c:pt>
                <c:pt idx="152">
                  <c:v>1.2</c:v>
                </c:pt>
                <c:pt idx="153">
                  <c:v>1.2</c:v>
                </c:pt>
                <c:pt idx="154">
                  <c:v>1.2</c:v>
                </c:pt>
                <c:pt idx="155">
                  <c:v>1.2</c:v>
                </c:pt>
                <c:pt idx="156">
                  <c:v>1.2</c:v>
                </c:pt>
                <c:pt idx="157">
                  <c:v>1.2</c:v>
                </c:pt>
                <c:pt idx="158">
                  <c:v>1.2</c:v>
                </c:pt>
                <c:pt idx="159">
                  <c:v>1.2</c:v>
                </c:pt>
                <c:pt idx="160">
                  <c:v>1.2</c:v>
                </c:pt>
                <c:pt idx="161">
                  <c:v>1.2</c:v>
                </c:pt>
                <c:pt idx="162">
                  <c:v>1.2</c:v>
                </c:pt>
                <c:pt idx="163">
                  <c:v>1.2</c:v>
                </c:pt>
                <c:pt idx="164">
                  <c:v>1.2</c:v>
                </c:pt>
                <c:pt idx="165">
                  <c:v>1.2</c:v>
                </c:pt>
                <c:pt idx="166">
                  <c:v>1.2</c:v>
                </c:pt>
                <c:pt idx="167">
                  <c:v>1.2</c:v>
                </c:pt>
                <c:pt idx="168">
                  <c:v>1.2</c:v>
                </c:pt>
                <c:pt idx="169">
                  <c:v>1.2</c:v>
                </c:pt>
                <c:pt idx="170">
                  <c:v>1.2</c:v>
                </c:pt>
                <c:pt idx="171">
                  <c:v>1.2</c:v>
                </c:pt>
                <c:pt idx="172">
                  <c:v>1.2</c:v>
                </c:pt>
                <c:pt idx="173">
                  <c:v>1.2</c:v>
                </c:pt>
                <c:pt idx="174">
                  <c:v>1.2</c:v>
                </c:pt>
                <c:pt idx="175">
                  <c:v>1.2</c:v>
                </c:pt>
                <c:pt idx="176">
                  <c:v>1.2</c:v>
                </c:pt>
                <c:pt idx="177">
                  <c:v>1.2</c:v>
                </c:pt>
                <c:pt idx="178">
                  <c:v>1.2</c:v>
                </c:pt>
                <c:pt idx="179">
                  <c:v>1.2</c:v>
                </c:pt>
                <c:pt idx="180">
                  <c:v>1.2</c:v>
                </c:pt>
                <c:pt idx="181">
                  <c:v>1.2</c:v>
                </c:pt>
                <c:pt idx="182">
                  <c:v>1.2</c:v>
                </c:pt>
                <c:pt idx="183">
                  <c:v>1.2</c:v>
                </c:pt>
                <c:pt idx="184">
                  <c:v>1.2</c:v>
                </c:pt>
                <c:pt idx="185">
                  <c:v>1.2</c:v>
                </c:pt>
                <c:pt idx="186">
                  <c:v>1.2</c:v>
                </c:pt>
                <c:pt idx="187">
                  <c:v>1.2</c:v>
                </c:pt>
                <c:pt idx="188">
                  <c:v>1.2</c:v>
                </c:pt>
                <c:pt idx="189">
                  <c:v>1.2</c:v>
                </c:pt>
                <c:pt idx="190">
                  <c:v>1.2</c:v>
                </c:pt>
                <c:pt idx="191">
                  <c:v>1.2</c:v>
                </c:pt>
                <c:pt idx="192">
                  <c:v>1.2</c:v>
                </c:pt>
                <c:pt idx="193">
                  <c:v>1.2</c:v>
                </c:pt>
                <c:pt idx="194">
                  <c:v>1.2</c:v>
                </c:pt>
                <c:pt idx="195">
                  <c:v>1.2</c:v>
                </c:pt>
                <c:pt idx="196">
                  <c:v>1.2</c:v>
                </c:pt>
                <c:pt idx="197">
                  <c:v>1.2</c:v>
                </c:pt>
                <c:pt idx="198">
                  <c:v>1.2</c:v>
                </c:pt>
                <c:pt idx="199">
                  <c:v>1.2</c:v>
                </c:pt>
                <c:pt idx="200">
                  <c:v>1.2</c:v>
                </c:pt>
                <c:pt idx="201">
                  <c:v>1.2</c:v>
                </c:pt>
                <c:pt idx="202">
                  <c:v>1.2</c:v>
                </c:pt>
                <c:pt idx="203">
                  <c:v>1.2</c:v>
                </c:pt>
                <c:pt idx="204">
                  <c:v>1.2</c:v>
                </c:pt>
                <c:pt idx="205">
                  <c:v>1.2</c:v>
                </c:pt>
                <c:pt idx="206">
                  <c:v>1.2</c:v>
                </c:pt>
                <c:pt idx="207">
                  <c:v>1.2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1.2</c:v>
                </c:pt>
                <c:pt idx="226">
                  <c:v>1.2</c:v>
                </c:pt>
                <c:pt idx="227">
                  <c:v>1.2</c:v>
                </c:pt>
                <c:pt idx="228">
                  <c:v>1.2</c:v>
                </c:pt>
                <c:pt idx="229">
                  <c:v>1.2</c:v>
                </c:pt>
                <c:pt idx="230">
                  <c:v>1.2</c:v>
                </c:pt>
                <c:pt idx="231">
                  <c:v>1.2</c:v>
                </c:pt>
                <c:pt idx="232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55-4B88-8007-E5E4D4EC1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476352"/>
        <c:axId val="586476928"/>
      </c:scatterChart>
      <c:valAx>
        <c:axId val="586475200"/>
        <c:scaling>
          <c:orientation val="minMax"/>
          <c:max val="45807"/>
          <c:min val="45576"/>
        </c:scaling>
        <c:delete val="0"/>
        <c:axPos val="b"/>
        <c:numFmt formatCode="dd/mm/yyyy;@" sourceLinked="0"/>
        <c:majorTickMark val="out"/>
        <c:minorTickMark val="none"/>
        <c:tickLblPos val="low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586475776"/>
        <c:crossesAt val="-1800"/>
        <c:crossBetween val="midCat"/>
        <c:majorUnit val="31"/>
      </c:valAx>
      <c:valAx>
        <c:axId val="586475776"/>
        <c:scaling>
          <c:orientation val="minMax"/>
          <c:max val="1800"/>
          <c:min val="-1800"/>
        </c:scaling>
        <c:delete val="0"/>
        <c:axPos val="l"/>
        <c:majorGridlines>
          <c:spPr>
            <a:ln w="3175">
              <a:solidFill>
                <a:schemeClr val="tx1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3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Độ lún（mm）</a:t>
                </a:r>
              </a:p>
            </c:rich>
          </c:tx>
          <c:layout>
            <c:manualLayout>
              <c:xMode val="edge"/>
              <c:yMode val="edge"/>
              <c:x val="1.7880170123771136E-2"/>
              <c:y val="0.34426600140328995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586475200"/>
        <c:crosses val="autoZero"/>
        <c:crossBetween val="midCat"/>
        <c:majorUnit val="200"/>
      </c:valAx>
      <c:valAx>
        <c:axId val="586476352"/>
        <c:scaling>
          <c:orientation val="minMax"/>
        </c:scaling>
        <c:delete val="1"/>
        <c:axPos val="t"/>
        <c:numFmt formatCode="[$-1010000]d/m/yyyy;@" sourceLinked="1"/>
        <c:majorTickMark val="out"/>
        <c:minorTickMark val="none"/>
        <c:tickLblPos val="nextTo"/>
        <c:crossAx val="586476928"/>
        <c:crossesAt val="0"/>
        <c:crossBetween val="midCat"/>
      </c:valAx>
      <c:valAx>
        <c:axId val="586476928"/>
        <c:scaling>
          <c:orientation val="minMax"/>
          <c:max val="6"/>
          <c:min val="-6"/>
        </c:scaling>
        <c:delete val="0"/>
        <c:axPos val="r"/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vi-VN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Chiều dày/cao độ đắp (m</a:t>
                </a:r>
                <a:r>
                  <a:rPr lang="vi-VN" sz="1000" b="0" i="0" u="none" strike="noStrike" baseline="0">
                    <a:solidFill>
                      <a:srgbClr val="000000"/>
                    </a:solidFill>
                    <a:ea typeface="宋体"/>
                  </a:rPr>
                  <a:t>）</a:t>
                </a:r>
              </a:p>
            </c:rich>
          </c:tx>
          <c:layout>
            <c:manualLayout>
              <c:xMode val="edge"/>
              <c:yMode val="edge"/>
              <c:x val="0.96166207126160286"/>
              <c:y val="0.24613445596528155"/>
            </c:manualLayout>
          </c:layout>
          <c:overlay val="0"/>
          <c:spPr>
            <a:noFill/>
            <a:ln w="25400">
              <a:noFill/>
            </a:ln>
          </c:spPr>
        </c:title>
        <c:numFmt formatCode="##.0#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586476352"/>
        <c:crosses val="max"/>
        <c:crossBetween val="midCat"/>
        <c:majorUnit val="1"/>
        <c:minorUnit val="1"/>
      </c:valAx>
      <c:spPr>
        <a:ln w="6350" cmpd="sng"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8.2956525764775524E-2"/>
          <c:y val="0.87384201208293577"/>
          <c:w val="0.82376524838877152"/>
          <c:h val="0.10335434939004758"/>
        </c:manualLayout>
      </c:layout>
      <c:overlay val="0"/>
      <c:spPr>
        <a:solidFill>
          <a:srgbClr val="FFFFFF"/>
        </a:solidFill>
        <a:ln w="6350" cap="flat">
          <a:solidFill>
            <a:srgbClr val="000000"/>
          </a:solidFill>
          <a:prstDash val="solid"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8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 orientation="landscape" horizontalDpi="1200" verticalDpi="12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 sz="1500"/>
              <a:t>Biểu</a:t>
            </a:r>
            <a:r>
              <a:rPr lang="en-US" sz="1500" baseline="0"/>
              <a:t> đồ </a:t>
            </a:r>
            <a:r>
              <a:rPr lang="en-US" sz="1500"/>
              <a:t>Bàn quan trắc lún-Lý trình: Km83+720</a:t>
            </a:r>
          </a:p>
        </c:rich>
      </c:tx>
      <c:layout>
        <c:manualLayout>
          <c:xMode val="edge"/>
          <c:yMode val="edge"/>
          <c:x val="0.39979352028130694"/>
          <c:y val="4.3462874572937134E-2"/>
        </c:manualLayout>
      </c:layout>
      <c:overlay val="0"/>
      <c:spPr>
        <a:solidFill>
          <a:srgbClr val="FFFFFF"/>
        </a:solidFill>
        <a:ln w="6350">
          <a:solidFill>
            <a:srgbClr val="000000"/>
          </a:solidFill>
          <a:prstDash val="solid"/>
        </a:ln>
        <a:effectLst>
          <a:outerShdw sx="1000" sy="1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7.4589286974132543E-2"/>
          <c:y val="0.13662332142282568"/>
          <c:w val="0.83566878980891657"/>
          <c:h val="0.69972640034865863"/>
        </c:manualLayout>
      </c:layout>
      <c:scatterChart>
        <c:scatterStyle val="lineMarker"/>
        <c:varyColors val="0"/>
        <c:ser>
          <c:idx val="1"/>
          <c:order val="1"/>
          <c:tx>
            <c:strRef>
              <c:f>'Km83+940'!$AF$9</c:f>
              <c:strCache>
                <c:ptCount val="1"/>
                <c:pt idx="0">
                  <c:v>Trái</c:v>
                </c:pt>
              </c:strCache>
            </c:strRef>
          </c:tx>
          <c:marker>
            <c:symbol val="circle"/>
            <c:size val="2"/>
            <c:spPr>
              <a:solidFill>
                <a:srgbClr val="FF00FF"/>
              </a:solidFill>
              <a:ln w="12700">
                <a:solidFill>
                  <a:srgbClr val="FF00FF"/>
                </a:solidFill>
                <a:prstDash val="solid"/>
              </a:ln>
            </c:spPr>
          </c:marker>
          <c:xVal>
            <c:numRef>
              <c:f>'Km83+940'!$B$11:$B$337</c:f>
              <c:numCache>
                <c:formatCode>[$-1010000]d/m/yyyy;@</c:formatCode>
                <c:ptCount val="327"/>
                <c:pt idx="0">
                  <c:v>45585</c:v>
                </c:pt>
                <c:pt idx="1">
                  <c:v>45586</c:v>
                </c:pt>
                <c:pt idx="2">
                  <c:v>45587</c:v>
                </c:pt>
                <c:pt idx="3">
                  <c:v>45588</c:v>
                </c:pt>
                <c:pt idx="4">
                  <c:v>45589</c:v>
                </c:pt>
                <c:pt idx="5">
                  <c:v>45590</c:v>
                </c:pt>
                <c:pt idx="6">
                  <c:v>45591</c:v>
                </c:pt>
                <c:pt idx="7">
                  <c:v>45592</c:v>
                </c:pt>
                <c:pt idx="8">
                  <c:v>45593</c:v>
                </c:pt>
                <c:pt idx="9">
                  <c:v>45594</c:v>
                </c:pt>
                <c:pt idx="10">
                  <c:v>45595</c:v>
                </c:pt>
                <c:pt idx="11">
                  <c:v>45596</c:v>
                </c:pt>
                <c:pt idx="12">
                  <c:v>45597</c:v>
                </c:pt>
                <c:pt idx="13">
                  <c:v>45598</c:v>
                </c:pt>
                <c:pt idx="14">
                  <c:v>45599</c:v>
                </c:pt>
                <c:pt idx="15">
                  <c:v>45600</c:v>
                </c:pt>
                <c:pt idx="16">
                  <c:v>45601</c:v>
                </c:pt>
                <c:pt idx="17">
                  <c:v>45602</c:v>
                </c:pt>
                <c:pt idx="18">
                  <c:v>45603</c:v>
                </c:pt>
                <c:pt idx="19">
                  <c:v>45604</c:v>
                </c:pt>
                <c:pt idx="20">
                  <c:v>45605</c:v>
                </c:pt>
                <c:pt idx="21">
                  <c:v>45606</c:v>
                </c:pt>
                <c:pt idx="22">
                  <c:v>45607</c:v>
                </c:pt>
                <c:pt idx="23">
                  <c:v>45608</c:v>
                </c:pt>
                <c:pt idx="24">
                  <c:v>45609</c:v>
                </c:pt>
                <c:pt idx="25">
                  <c:v>45610</c:v>
                </c:pt>
                <c:pt idx="26">
                  <c:v>45611</c:v>
                </c:pt>
                <c:pt idx="27">
                  <c:v>45612</c:v>
                </c:pt>
                <c:pt idx="28">
                  <c:v>45613</c:v>
                </c:pt>
                <c:pt idx="29">
                  <c:v>45614</c:v>
                </c:pt>
                <c:pt idx="30">
                  <c:v>45615</c:v>
                </c:pt>
                <c:pt idx="31">
                  <c:v>45616</c:v>
                </c:pt>
                <c:pt idx="32">
                  <c:v>45617</c:v>
                </c:pt>
                <c:pt idx="33">
                  <c:v>45618</c:v>
                </c:pt>
                <c:pt idx="34">
                  <c:v>45619</c:v>
                </c:pt>
                <c:pt idx="35">
                  <c:v>45620</c:v>
                </c:pt>
                <c:pt idx="36">
                  <c:v>45621</c:v>
                </c:pt>
                <c:pt idx="37">
                  <c:v>45622</c:v>
                </c:pt>
                <c:pt idx="38">
                  <c:v>45623</c:v>
                </c:pt>
                <c:pt idx="39">
                  <c:v>45624</c:v>
                </c:pt>
                <c:pt idx="40">
                  <c:v>45625</c:v>
                </c:pt>
                <c:pt idx="41">
                  <c:v>45626</c:v>
                </c:pt>
                <c:pt idx="42">
                  <c:v>45627</c:v>
                </c:pt>
                <c:pt idx="43">
                  <c:v>45628</c:v>
                </c:pt>
                <c:pt idx="44">
                  <c:v>45629</c:v>
                </c:pt>
                <c:pt idx="45">
                  <c:v>45630</c:v>
                </c:pt>
                <c:pt idx="46">
                  <c:v>45631</c:v>
                </c:pt>
                <c:pt idx="47">
                  <c:v>45632</c:v>
                </c:pt>
                <c:pt idx="48">
                  <c:v>45633</c:v>
                </c:pt>
                <c:pt idx="49">
                  <c:v>45634</c:v>
                </c:pt>
                <c:pt idx="50">
                  <c:v>45635</c:v>
                </c:pt>
                <c:pt idx="51">
                  <c:v>45636</c:v>
                </c:pt>
                <c:pt idx="52">
                  <c:v>45637</c:v>
                </c:pt>
                <c:pt idx="53">
                  <c:v>45638</c:v>
                </c:pt>
                <c:pt idx="54">
                  <c:v>45639</c:v>
                </c:pt>
                <c:pt idx="55">
                  <c:v>45640</c:v>
                </c:pt>
                <c:pt idx="56">
                  <c:v>45641</c:v>
                </c:pt>
                <c:pt idx="57">
                  <c:v>45642</c:v>
                </c:pt>
                <c:pt idx="58">
                  <c:v>45643</c:v>
                </c:pt>
                <c:pt idx="59">
                  <c:v>45644</c:v>
                </c:pt>
                <c:pt idx="60">
                  <c:v>45645</c:v>
                </c:pt>
                <c:pt idx="61">
                  <c:v>45646</c:v>
                </c:pt>
                <c:pt idx="62">
                  <c:v>45647</c:v>
                </c:pt>
                <c:pt idx="63">
                  <c:v>45648</c:v>
                </c:pt>
                <c:pt idx="64">
                  <c:v>45649</c:v>
                </c:pt>
                <c:pt idx="65">
                  <c:v>45650</c:v>
                </c:pt>
                <c:pt idx="66">
                  <c:v>45651</c:v>
                </c:pt>
                <c:pt idx="67">
                  <c:v>45652</c:v>
                </c:pt>
                <c:pt idx="68">
                  <c:v>45653</c:v>
                </c:pt>
                <c:pt idx="69">
                  <c:v>45654</c:v>
                </c:pt>
                <c:pt idx="70">
                  <c:v>45655</c:v>
                </c:pt>
                <c:pt idx="71">
                  <c:v>45656</c:v>
                </c:pt>
                <c:pt idx="72">
                  <c:v>45657</c:v>
                </c:pt>
                <c:pt idx="73">
                  <c:v>45658</c:v>
                </c:pt>
                <c:pt idx="74">
                  <c:v>45659</c:v>
                </c:pt>
                <c:pt idx="75">
                  <c:v>45660</c:v>
                </c:pt>
                <c:pt idx="76">
                  <c:v>45661</c:v>
                </c:pt>
                <c:pt idx="77">
                  <c:v>45662</c:v>
                </c:pt>
                <c:pt idx="78">
                  <c:v>45663</c:v>
                </c:pt>
                <c:pt idx="79">
                  <c:v>45664</c:v>
                </c:pt>
                <c:pt idx="80">
                  <c:v>45665</c:v>
                </c:pt>
                <c:pt idx="81">
                  <c:v>45666</c:v>
                </c:pt>
                <c:pt idx="82">
                  <c:v>45667</c:v>
                </c:pt>
                <c:pt idx="83">
                  <c:v>45668</c:v>
                </c:pt>
                <c:pt idx="84">
                  <c:v>45669</c:v>
                </c:pt>
                <c:pt idx="85">
                  <c:v>45670</c:v>
                </c:pt>
                <c:pt idx="86">
                  <c:v>45671</c:v>
                </c:pt>
                <c:pt idx="87">
                  <c:v>45672</c:v>
                </c:pt>
                <c:pt idx="88">
                  <c:v>45673</c:v>
                </c:pt>
                <c:pt idx="89">
                  <c:v>45674</c:v>
                </c:pt>
                <c:pt idx="90">
                  <c:v>45675</c:v>
                </c:pt>
                <c:pt idx="91">
                  <c:v>45676</c:v>
                </c:pt>
                <c:pt idx="92">
                  <c:v>45677</c:v>
                </c:pt>
                <c:pt idx="93">
                  <c:v>45678</c:v>
                </c:pt>
                <c:pt idx="94">
                  <c:v>45679</c:v>
                </c:pt>
                <c:pt idx="95">
                  <c:v>45680</c:v>
                </c:pt>
                <c:pt idx="96">
                  <c:v>45681</c:v>
                </c:pt>
                <c:pt idx="97">
                  <c:v>45682</c:v>
                </c:pt>
                <c:pt idx="98">
                  <c:v>45683</c:v>
                </c:pt>
                <c:pt idx="99">
                  <c:v>45684</c:v>
                </c:pt>
                <c:pt idx="100">
                  <c:v>45685</c:v>
                </c:pt>
                <c:pt idx="101">
                  <c:v>45686</c:v>
                </c:pt>
                <c:pt idx="102">
                  <c:v>45687</c:v>
                </c:pt>
                <c:pt idx="103">
                  <c:v>45688</c:v>
                </c:pt>
                <c:pt idx="104">
                  <c:v>45689</c:v>
                </c:pt>
                <c:pt idx="105">
                  <c:v>45690</c:v>
                </c:pt>
                <c:pt idx="106">
                  <c:v>45691</c:v>
                </c:pt>
                <c:pt idx="107">
                  <c:v>45692</c:v>
                </c:pt>
                <c:pt idx="108">
                  <c:v>45693</c:v>
                </c:pt>
                <c:pt idx="109">
                  <c:v>45694</c:v>
                </c:pt>
                <c:pt idx="110">
                  <c:v>45695</c:v>
                </c:pt>
                <c:pt idx="111">
                  <c:v>45696</c:v>
                </c:pt>
                <c:pt idx="112">
                  <c:v>45697</c:v>
                </c:pt>
                <c:pt idx="113">
                  <c:v>45698</c:v>
                </c:pt>
                <c:pt idx="114">
                  <c:v>45699</c:v>
                </c:pt>
                <c:pt idx="115">
                  <c:v>45700</c:v>
                </c:pt>
                <c:pt idx="116">
                  <c:v>45701</c:v>
                </c:pt>
                <c:pt idx="117">
                  <c:v>45702</c:v>
                </c:pt>
                <c:pt idx="118">
                  <c:v>45703</c:v>
                </c:pt>
                <c:pt idx="119">
                  <c:v>45704</c:v>
                </c:pt>
                <c:pt idx="120">
                  <c:v>45705</c:v>
                </c:pt>
                <c:pt idx="121">
                  <c:v>45706</c:v>
                </c:pt>
                <c:pt idx="122">
                  <c:v>45707</c:v>
                </c:pt>
                <c:pt idx="123">
                  <c:v>45708</c:v>
                </c:pt>
                <c:pt idx="124">
                  <c:v>45709</c:v>
                </c:pt>
                <c:pt idx="125">
                  <c:v>45710</c:v>
                </c:pt>
                <c:pt idx="126">
                  <c:v>45711</c:v>
                </c:pt>
                <c:pt idx="127">
                  <c:v>45712</c:v>
                </c:pt>
                <c:pt idx="128">
                  <c:v>45713</c:v>
                </c:pt>
                <c:pt idx="129">
                  <c:v>45714</c:v>
                </c:pt>
                <c:pt idx="130">
                  <c:v>45715</c:v>
                </c:pt>
                <c:pt idx="131">
                  <c:v>45716</c:v>
                </c:pt>
                <c:pt idx="132">
                  <c:v>45717</c:v>
                </c:pt>
                <c:pt idx="133">
                  <c:v>45718</c:v>
                </c:pt>
                <c:pt idx="134">
                  <c:v>45719</c:v>
                </c:pt>
                <c:pt idx="135">
                  <c:v>45720</c:v>
                </c:pt>
                <c:pt idx="136">
                  <c:v>45721</c:v>
                </c:pt>
                <c:pt idx="137">
                  <c:v>45722</c:v>
                </c:pt>
                <c:pt idx="138">
                  <c:v>45723</c:v>
                </c:pt>
                <c:pt idx="139">
                  <c:v>45724</c:v>
                </c:pt>
                <c:pt idx="140">
                  <c:v>45725</c:v>
                </c:pt>
                <c:pt idx="141">
                  <c:v>45726</c:v>
                </c:pt>
                <c:pt idx="142">
                  <c:v>45727</c:v>
                </c:pt>
                <c:pt idx="143">
                  <c:v>45728</c:v>
                </c:pt>
                <c:pt idx="144">
                  <c:v>45729</c:v>
                </c:pt>
                <c:pt idx="145">
                  <c:v>45730</c:v>
                </c:pt>
                <c:pt idx="146">
                  <c:v>45731</c:v>
                </c:pt>
                <c:pt idx="147">
                  <c:v>45732</c:v>
                </c:pt>
                <c:pt idx="148">
                  <c:v>45733</c:v>
                </c:pt>
                <c:pt idx="149">
                  <c:v>45734</c:v>
                </c:pt>
                <c:pt idx="150">
                  <c:v>45735</c:v>
                </c:pt>
                <c:pt idx="151">
                  <c:v>45736</c:v>
                </c:pt>
                <c:pt idx="152">
                  <c:v>45737</c:v>
                </c:pt>
                <c:pt idx="153">
                  <c:v>45738</c:v>
                </c:pt>
                <c:pt idx="154">
                  <c:v>45739</c:v>
                </c:pt>
                <c:pt idx="155">
                  <c:v>45740</c:v>
                </c:pt>
                <c:pt idx="156">
                  <c:v>45741</c:v>
                </c:pt>
                <c:pt idx="157">
                  <c:v>45742</c:v>
                </c:pt>
                <c:pt idx="158">
                  <c:v>45743</c:v>
                </c:pt>
                <c:pt idx="159">
                  <c:v>45744</c:v>
                </c:pt>
                <c:pt idx="160">
                  <c:v>45745</c:v>
                </c:pt>
                <c:pt idx="161">
                  <c:v>45746</c:v>
                </c:pt>
                <c:pt idx="162">
                  <c:v>45747</c:v>
                </c:pt>
                <c:pt idx="163">
                  <c:v>45748</c:v>
                </c:pt>
                <c:pt idx="164">
                  <c:v>45749</c:v>
                </c:pt>
                <c:pt idx="165">
                  <c:v>45750</c:v>
                </c:pt>
                <c:pt idx="166">
                  <c:v>45751</c:v>
                </c:pt>
                <c:pt idx="167">
                  <c:v>45752</c:v>
                </c:pt>
                <c:pt idx="168">
                  <c:v>45753</c:v>
                </c:pt>
                <c:pt idx="169">
                  <c:v>45754</c:v>
                </c:pt>
                <c:pt idx="170">
                  <c:v>45755</c:v>
                </c:pt>
                <c:pt idx="171">
                  <c:v>45756</c:v>
                </c:pt>
                <c:pt idx="172">
                  <c:v>45757</c:v>
                </c:pt>
                <c:pt idx="173">
                  <c:v>45758</c:v>
                </c:pt>
                <c:pt idx="174">
                  <c:v>45759</c:v>
                </c:pt>
                <c:pt idx="175">
                  <c:v>45760</c:v>
                </c:pt>
                <c:pt idx="176">
                  <c:v>45761</c:v>
                </c:pt>
                <c:pt idx="177">
                  <c:v>45762</c:v>
                </c:pt>
                <c:pt idx="178">
                  <c:v>45763</c:v>
                </c:pt>
                <c:pt idx="179">
                  <c:v>45764</c:v>
                </c:pt>
                <c:pt idx="180">
                  <c:v>45765</c:v>
                </c:pt>
                <c:pt idx="181">
                  <c:v>45766</c:v>
                </c:pt>
                <c:pt idx="182">
                  <c:v>45767</c:v>
                </c:pt>
                <c:pt idx="183">
                  <c:v>45768</c:v>
                </c:pt>
                <c:pt idx="184">
                  <c:v>45769</c:v>
                </c:pt>
                <c:pt idx="185">
                  <c:v>45770</c:v>
                </c:pt>
                <c:pt idx="186">
                  <c:v>45771</c:v>
                </c:pt>
                <c:pt idx="187">
                  <c:v>45772</c:v>
                </c:pt>
                <c:pt idx="188">
                  <c:v>45773</c:v>
                </c:pt>
                <c:pt idx="189">
                  <c:v>45774</c:v>
                </c:pt>
                <c:pt idx="190">
                  <c:v>45775</c:v>
                </c:pt>
                <c:pt idx="191">
                  <c:v>45776</c:v>
                </c:pt>
                <c:pt idx="192">
                  <c:v>45777</c:v>
                </c:pt>
                <c:pt idx="193">
                  <c:v>45778</c:v>
                </c:pt>
                <c:pt idx="194">
                  <c:v>45779</c:v>
                </c:pt>
                <c:pt idx="195">
                  <c:v>45780</c:v>
                </c:pt>
                <c:pt idx="196">
                  <c:v>45781</c:v>
                </c:pt>
                <c:pt idx="197">
                  <c:v>45782</c:v>
                </c:pt>
                <c:pt idx="198">
                  <c:v>45783</c:v>
                </c:pt>
                <c:pt idx="199">
                  <c:v>45784</c:v>
                </c:pt>
                <c:pt idx="200">
                  <c:v>45785</c:v>
                </c:pt>
                <c:pt idx="201">
                  <c:v>45786</c:v>
                </c:pt>
                <c:pt idx="202">
                  <c:v>45787</c:v>
                </c:pt>
                <c:pt idx="203">
                  <c:v>45788</c:v>
                </c:pt>
                <c:pt idx="204">
                  <c:v>45789</c:v>
                </c:pt>
                <c:pt idx="205">
                  <c:v>45790</c:v>
                </c:pt>
                <c:pt idx="206">
                  <c:v>45791</c:v>
                </c:pt>
                <c:pt idx="207">
                  <c:v>45792</c:v>
                </c:pt>
                <c:pt idx="208">
                  <c:v>45793</c:v>
                </c:pt>
                <c:pt idx="209">
                  <c:v>45794</c:v>
                </c:pt>
                <c:pt idx="210">
                  <c:v>45795</c:v>
                </c:pt>
                <c:pt idx="211">
                  <c:v>45796</c:v>
                </c:pt>
                <c:pt idx="212">
                  <c:v>45797</c:v>
                </c:pt>
                <c:pt idx="213">
                  <c:v>45798</c:v>
                </c:pt>
                <c:pt idx="214">
                  <c:v>45799</c:v>
                </c:pt>
                <c:pt idx="215">
                  <c:v>45800</c:v>
                </c:pt>
                <c:pt idx="216">
                  <c:v>45801</c:v>
                </c:pt>
                <c:pt idx="217">
                  <c:v>45802</c:v>
                </c:pt>
                <c:pt idx="218">
                  <c:v>45803</c:v>
                </c:pt>
                <c:pt idx="219">
                  <c:v>45804</c:v>
                </c:pt>
                <c:pt idx="220">
                  <c:v>45805</c:v>
                </c:pt>
                <c:pt idx="221">
                  <c:v>45806</c:v>
                </c:pt>
                <c:pt idx="222">
                  <c:v>45807</c:v>
                </c:pt>
                <c:pt idx="223">
                  <c:v>45808</c:v>
                </c:pt>
              </c:numCache>
            </c:numRef>
          </c:xVal>
          <c:yVal>
            <c:numRef>
              <c:f>'Km83+940'!$AF$11:$AF$461</c:f>
              <c:numCache>
                <c:formatCode>0</c:formatCode>
                <c:ptCount val="451"/>
                <c:pt idx="0">
                  <c:v>0</c:v>
                </c:pt>
                <c:pt idx="1">
                  <c:v>-3</c:v>
                </c:pt>
                <c:pt idx="2">
                  <c:v>-6</c:v>
                </c:pt>
                <c:pt idx="3">
                  <c:v>-8</c:v>
                </c:pt>
                <c:pt idx="4">
                  <c:v>-12</c:v>
                </c:pt>
                <c:pt idx="5">
                  <c:v>-16</c:v>
                </c:pt>
                <c:pt idx="6">
                  <c:v>-20</c:v>
                </c:pt>
                <c:pt idx="7">
                  <c:v>-23</c:v>
                </c:pt>
                <c:pt idx="8">
                  <c:v>-26</c:v>
                </c:pt>
                <c:pt idx="9">
                  <c:v>-31</c:v>
                </c:pt>
                <c:pt idx="10">
                  <c:v>-35</c:v>
                </c:pt>
                <c:pt idx="11">
                  <c:v>-38</c:v>
                </c:pt>
                <c:pt idx="12">
                  <c:v>-41</c:v>
                </c:pt>
                <c:pt idx="13">
                  <c:v>-46</c:v>
                </c:pt>
                <c:pt idx="14">
                  <c:v>-50</c:v>
                </c:pt>
                <c:pt idx="15">
                  <c:v>-57</c:v>
                </c:pt>
                <c:pt idx="16">
                  <c:v>-64</c:v>
                </c:pt>
                <c:pt idx="17">
                  <c:v>-72</c:v>
                </c:pt>
                <c:pt idx="18">
                  <c:v>-80</c:v>
                </c:pt>
                <c:pt idx="19">
                  <c:v>-87</c:v>
                </c:pt>
                <c:pt idx="20">
                  <c:v>-94</c:v>
                </c:pt>
                <c:pt idx="21">
                  <c:v>-101</c:v>
                </c:pt>
                <c:pt idx="22">
                  <c:v>-108</c:v>
                </c:pt>
                <c:pt idx="23">
                  <c:v>-114</c:v>
                </c:pt>
                <c:pt idx="24">
                  <c:v>-121</c:v>
                </c:pt>
                <c:pt idx="25">
                  <c:v>-127</c:v>
                </c:pt>
                <c:pt idx="26">
                  <c:v>-132</c:v>
                </c:pt>
                <c:pt idx="27">
                  <c:v>-138</c:v>
                </c:pt>
                <c:pt idx="28">
                  <c:v>-144</c:v>
                </c:pt>
                <c:pt idx="29">
                  <c:v>-150</c:v>
                </c:pt>
                <c:pt idx="30">
                  <c:v>-155</c:v>
                </c:pt>
                <c:pt idx="31">
                  <c:v>-160</c:v>
                </c:pt>
                <c:pt idx="32">
                  <c:v>-167</c:v>
                </c:pt>
                <c:pt idx="33">
                  <c:v>-172</c:v>
                </c:pt>
                <c:pt idx="34">
                  <c:v>-177</c:v>
                </c:pt>
                <c:pt idx="35">
                  <c:v>-180</c:v>
                </c:pt>
                <c:pt idx="36">
                  <c:v>-186</c:v>
                </c:pt>
                <c:pt idx="37">
                  <c:v>-190</c:v>
                </c:pt>
                <c:pt idx="38">
                  <c:v>-194</c:v>
                </c:pt>
                <c:pt idx="39">
                  <c:v>-198</c:v>
                </c:pt>
                <c:pt idx="40">
                  <c:v>-202</c:v>
                </c:pt>
                <c:pt idx="41">
                  <c:v>-205</c:v>
                </c:pt>
                <c:pt idx="42">
                  <c:v>-210</c:v>
                </c:pt>
                <c:pt idx="43">
                  <c:v>-213</c:v>
                </c:pt>
                <c:pt idx="44">
                  <c:v>-213</c:v>
                </c:pt>
                <c:pt idx="45">
                  <c:v>-216</c:v>
                </c:pt>
                <c:pt idx="46">
                  <c:v>-218</c:v>
                </c:pt>
                <c:pt idx="47">
                  <c:v>-220</c:v>
                </c:pt>
                <c:pt idx="48">
                  <c:v>-222</c:v>
                </c:pt>
                <c:pt idx="49">
                  <c:v>-224</c:v>
                </c:pt>
                <c:pt idx="50">
                  <c:v>-225</c:v>
                </c:pt>
                <c:pt idx="51">
                  <c:v>-226</c:v>
                </c:pt>
                <c:pt idx="52">
                  <c:v>-227</c:v>
                </c:pt>
                <c:pt idx="53">
                  <c:v>-228</c:v>
                </c:pt>
                <c:pt idx="54">
                  <c:v>-229</c:v>
                </c:pt>
                <c:pt idx="55">
                  <c:v>-229</c:v>
                </c:pt>
                <c:pt idx="56">
                  <c:v>-232</c:v>
                </c:pt>
                <c:pt idx="57">
                  <c:v>-232</c:v>
                </c:pt>
                <c:pt idx="58">
                  <c:v>-232</c:v>
                </c:pt>
                <c:pt idx="59">
                  <c:v>-234</c:v>
                </c:pt>
                <c:pt idx="60">
                  <c:v>-234</c:v>
                </c:pt>
                <c:pt idx="61">
                  <c:v>-235</c:v>
                </c:pt>
                <c:pt idx="62">
                  <c:v>-236</c:v>
                </c:pt>
                <c:pt idx="63">
                  <c:v>-236</c:v>
                </c:pt>
                <c:pt idx="64">
                  <c:v>-238</c:v>
                </c:pt>
                <c:pt idx="65">
                  <c:v>-238</c:v>
                </c:pt>
                <c:pt idx="66">
                  <c:v>-238</c:v>
                </c:pt>
                <c:pt idx="67">
                  <c:v>-238</c:v>
                </c:pt>
                <c:pt idx="68">
                  <c:v>-242</c:v>
                </c:pt>
                <c:pt idx="69">
                  <c:v>-242</c:v>
                </c:pt>
                <c:pt idx="70">
                  <c:v>-242</c:v>
                </c:pt>
                <c:pt idx="71">
                  <c:v>-244</c:v>
                </c:pt>
                <c:pt idx="72">
                  <c:v>-247</c:v>
                </c:pt>
                <c:pt idx="73">
                  <c:v>-247</c:v>
                </c:pt>
                <c:pt idx="74">
                  <c:v>-248</c:v>
                </c:pt>
                <c:pt idx="75">
                  <c:v>-249</c:v>
                </c:pt>
                <c:pt idx="76">
                  <c:v>-252</c:v>
                </c:pt>
                <c:pt idx="77">
                  <c:v>-253</c:v>
                </c:pt>
                <c:pt idx="78">
                  <c:v>-253</c:v>
                </c:pt>
                <c:pt idx="79">
                  <c:v>-254</c:v>
                </c:pt>
                <c:pt idx="80">
                  <c:v>-256</c:v>
                </c:pt>
                <c:pt idx="81">
                  <c:v>-258</c:v>
                </c:pt>
                <c:pt idx="82">
                  <c:v>-259</c:v>
                </c:pt>
                <c:pt idx="83">
                  <c:v>-262</c:v>
                </c:pt>
                <c:pt idx="84">
                  <c:v>-262</c:v>
                </c:pt>
                <c:pt idx="85">
                  <c:v>-262</c:v>
                </c:pt>
                <c:pt idx="86">
                  <c:v>-262</c:v>
                </c:pt>
                <c:pt idx="87">
                  <c:v>-262</c:v>
                </c:pt>
                <c:pt idx="88">
                  <c:v>-263</c:v>
                </c:pt>
                <c:pt idx="89">
                  <c:v>-263</c:v>
                </c:pt>
                <c:pt idx="90">
                  <c:v>-263</c:v>
                </c:pt>
                <c:pt idx="91">
                  <c:v>-263</c:v>
                </c:pt>
                <c:pt idx="92">
                  <c:v>-265</c:v>
                </c:pt>
                <c:pt idx="93">
                  <c:v>-265</c:v>
                </c:pt>
                <c:pt idx="94">
                  <c:v>-265</c:v>
                </c:pt>
                <c:pt idx="95">
                  <c:v>-265</c:v>
                </c:pt>
                <c:pt idx="96">
                  <c:v>-268</c:v>
                </c:pt>
                <c:pt idx="97">
                  <c:v>-268</c:v>
                </c:pt>
                <c:pt idx="98">
                  <c:v>-268</c:v>
                </c:pt>
                <c:pt idx="99">
                  <c:v>-271</c:v>
                </c:pt>
                <c:pt idx="100">
                  <c:v>-272</c:v>
                </c:pt>
                <c:pt idx="101">
                  <c:v>-274</c:v>
                </c:pt>
                <c:pt idx="102">
                  <c:v>-274</c:v>
                </c:pt>
                <c:pt idx="103">
                  <c:v>-275</c:v>
                </c:pt>
                <c:pt idx="104">
                  <c:v>-275</c:v>
                </c:pt>
                <c:pt idx="105">
                  <c:v>-276</c:v>
                </c:pt>
                <c:pt idx="106">
                  <c:v>-278</c:v>
                </c:pt>
                <c:pt idx="107">
                  <c:v>-278</c:v>
                </c:pt>
                <c:pt idx="108">
                  <c:v>-280</c:v>
                </c:pt>
                <c:pt idx="109">
                  <c:v>-280</c:v>
                </c:pt>
                <c:pt idx="110">
                  <c:v>-280</c:v>
                </c:pt>
                <c:pt idx="111">
                  <c:v>-282</c:v>
                </c:pt>
                <c:pt idx="112">
                  <c:v>-282</c:v>
                </c:pt>
                <c:pt idx="113">
                  <c:v>-282</c:v>
                </c:pt>
                <c:pt idx="114">
                  <c:v>-286</c:v>
                </c:pt>
                <c:pt idx="115">
                  <c:v>-286</c:v>
                </c:pt>
                <c:pt idx="116">
                  <c:v>-286</c:v>
                </c:pt>
                <c:pt idx="117">
                  <c:v>-289</c:v>
                </c:pt>
                <c:pt idx="118">
                  <c:v>-289</c:v>
                </c:pt>
                <c:pt idx="119">
                  <c:v>-289</c:v>
                </c:pt>
                <c:pt idx="120">
                  <c:v>-290</c:v>
                </c:pt>
                <c:pt idx="121">
                  <c:v>-290</c:v>
                </c:pt>
                <c:pt idx="122">
                  <c:v>-294</c:v>
                </c:pt>
                <c:pt idx="123">
                  <c:v>-294</c:v>
                </c:pt>
                <c:pt idx="124">
                  <c:v>-294</c:v>
                </c:pt>
                <c:pt idx="125">
                  <c:v>-295</c:v>
                </c:pt>
                <c:pt idx="126">
                  <c:v>-296</c:v>
                </c:pt>
                <c:pt idx="127">
                  <c:v>-296</c:v>
                </c:pt>
                <c:pt idx="128">
                  <c:v>-296</c:v>
                </c:pt>
                <c:pt idx="129">
                  <c:v>-300</c:v>
                </c:pt>
                <c:pt idx="130">
                  <c:v>-303</c:v>
                </c:pt>
                <c:pt idx="131">
                  <c:v>-303</c:v>
                </c:pt>
                <c:pt idx="132">
                  <c:v>-303</c:v>
                </c:pt>
                <c:pt idx="133">
                  <c:v>-303</c:v>
                </c:pt>
                <c:pt idx="134">
                  <c:v>-306</c:v>
                </c:pt>
                <c:pt idx="135">
                  <c:v>-306</c:v>
                </c:pt>
                <c:pt idx="136">
                  <c:v>-306</c:v>
                </c:pt>
                <c:pt idx="137">
                  <c:v>-309</c:v>
                </c:pt>
                <c:pt idx="138">
                  <c:v>-309</c:v>
                </c:pt>
                <c:pt idx="139">
                  <c:v>-311</c:v>
                </c:pt>
                <c:pt idx="140">
                  <c:v>-311</c:v>
                </c:pt>
                <c:pt idx="141">
                  <c:v>-315</c:v>
                </c:pt>
                <c:pt idx="142">
                  <c:v>-315</c:v>
                </c:pt>
                <c:pt idx="143">
                  <c:v>-315</c:v>
                </c:pt>
                <c:pt idx="144">
                  <c:v>-319</c:v>
                </c:pt>
                <c:pt idx="145">
                  <c:v>-319</c:v>
                </c:pt>
                <c:pt idx="146">
                  <c:v>-320</c:v>
                </c:pt>
                <c:pt idx="147">
                  <c:v>-321</c:v>
                </c:pt>
                <c:pt idx="148">
                  <c:v>-321</c:v>
                </c:pt>
                <c:pt idx="149">
                  <c:v>-323</c:v>
                </c:pt>
                <c:pt idx="150">
                  <c:v>-323</c:v>
                </c:pt>
                <c:pt idx="151">
                  <c:v>-323</c:v>
                </c:pt>
                <c:pt idx="152">
                  <c:v>-323</c:v>
                </c:pt>
                <c:pt idx="153">
                  <c:v>-326</c:v>
                </c:pt>
                <c:pt idx="154">
                  <c:v>-326</c:v>
                </c:pt>
                <c:pt idx="155">
                  <c:v>-326</c:v>
                </c:pt>
                <c:pt idx="156">
                  <c:v>-330</c:v>
                </c:pt>
                <c:pt idx="157">
                  <c:v>-330</c:v>
                </c:pt>
                <c:pt idx="158">
                  <c:v>-330</c:v>
                </c:pt>
                <c:pt idx="159">
                  <c:v>-331</c:v>
                </c:pt>
                <c:pt idx="160">
                  <c:v>-332</c:v>
                </c:pt>
                <c:pt idx="161">
                  <c:v>-332</c:v>
                </c:pt>
                <c:pt idx="162">
                  <c:v>-333</c:v>
                </c:pt>
                <c:pt idx="163">
                  <c:v>-333</c:v>
                </c:pt>
                <c:pt idx="164">
                  <c:v>-334</c:v>
                </c:pt>
                <c:pt idx="165">
                  <c:v>-336</c:v>
                </c:pt>
                <c:pt idx="166">
                  <c:v>-340</c:v>
                </c:pt>
                <c:pt idx="167">
                  <c:v>-341</c:v>
                </c:pt>
                <c:pt idx="168">
                  <c:v>-341</c:v>
                </c:pt>
                <c:pt idx="169">
                  <c:v>-341</c:v>
                </c:pt>
                <c:pt idx="170">
                  <c:v>-344</c:v>
                </c:pt>
                <c:pt idx="171">
                  <c:v>-344</c:v>
                </c:pt>
                <c:pt idx="172">
                  <c:v>-353</c:v>
                </c:pt>
                <c:pt idx="173">
                  <c:v>-361</c:v>
                </c:pt>
                <c:pt idx="174">
                  <c:v>-370</c:v>
                </c:pt>
                <c:pt idx="175">
                  <c:v>-379</c:v>
                </c:pt>
                <c:pt idx="176">
                  <c:v>-387</c:v>
                </c:pt>
                <c:pt idx="177">
                  <c:v>-396</c:v>
                </c:pt>
                <c:pt idx="178">
                  <c:v>-404</c:v>
                </c:pt>
                <c:pt idx="179">
                  <c:v>-412</c:v>
                </c:pt>
                <c:pt idx="180">
                  <c:v>-420</c:v>
                </c:pt>
                <c:pt idx="181">
                  <c:v>-428</c:v>
                </c:pt>
                <c:pt idx="182">
                  <c:v>-436</c:v>
                </c:pt>
                <c:pt idx="183">
                  <c:v>-444</c:v>
                </c:pt>
                <c:pt idx="184">
                  <c:v>-452</c:v>
                </c:pt>
                <c:pt idx="185">
                  <c:v>-460</c:v>
                </c:pt>
                <c:pt idx="186">
                  <c:v>-468</c:v>
                </c:pt>
                <c:pt idx="187">
                  <c:v>-476</c:v>
                </c:pt>
                <c:pt idx="188">
                  <c:v>-484</c:v>
                </c:pt>
                <c:pt idx="189">
                  <c:v>-492</c:v>
                </c:pt>
                <c:pt idx="190">
                  <c:v>-500</c:v>
                </c:pt>
                <c:pt idx="191">
                  <c:v>-508</c:v>
                </c:pt>
                <c:pt idx="192">
                  <c:v>-516</c:v>
                </c:pt>
                <c:pt idx="193">
                  <c:v>-524</c:v>
                </c:pt>
                <c:pt idx="194">
                  <c:v>-533</c:v>
                </c:pt>
                <c:pt idx="195">
                  <c:v>-541</c:v>
                </c:pt>
                <c:pt idx="196">
                  <c:v>-549</c:v>
                </c:pt>
                <c:pt idx="197">
                  <c:v>-558</c:v>
                </c:pt>
                <c:pt idx="198">
                  <c:v>-566</c:v>
                </c:pt>
                <c:pt idx="199">
                  <c:v>-574</c:v>
                </c:pt>
                <c:pt idx="200">
                  <c:v>-583</c:v>
                </c:pt>
                <c:pt idx="201">
                  <c:v>-592</c:v>
                </c:pt>
                <c:pt idx="202">
                  <c:v>-600</c:v>
                </c:pt>
                <c:pt idx="203">
                  <c:v>-608</c:v>
                </c:pt>
                <c:pt idx="204">
                  <c:v>-616</c:v>
                </c:pt>
                <c:pt idx="205">
                  <c:v>-624</c:v>
                </c:pt>
                <c:pt idx="206">
                  <c:v>-632</c:v>
                </c:pt>
                <c:pt idx="207">
                  <c:v>-640</c:v>
                </c:pt>
                <c:pt idx="208">
                  <c:v>-649</c:v>
                </c:pt>
                <c:pt idx="209">
                  <c:v>-658</c:v>
                </c:pt>
                <c:pt idx="210">
                  <c:v>-666</c:v>
                </c:pt>
                <c:pt idx="211">
                  <c:v>-674</c:v>
                </c:pt>
                <c:pt idx="212">
                  <c:v>-682</c:v>
                </c:pt>
                <c:pt idx="213">
                  <c:v>-690</c:v>
                </c:pt>
                <c:pt idx="214">
                  <c:v>-699</c:v>
                </c:pt>
                <c:pt idx="215">
                  <c:v>-707</c:v>
                </c:pt>
                <c:pt idx="216">
                  <c:v>-716</c:v>
                </c:pt>
                <c:pt idx="217">
                  <c:v>-725</c:v>
                </c:pt>
                <c:pt idx="218">
                  <c:v>-734</c:v>
                </c:pt>
                <c:pt idx="219">
                  <c:v>-742</c:v>
                </c:pt>
                <c:pt idx="220">
                  <c:v>-751</c:v>
                </c:pt>
                <c:pt idx="221">
                  <c:v>-759</c:v>
                </c:pt>
                <c:pt idx="222">
                  <c:v>-767</c:v>
                </c:pt>
                <c:pt idx="223">
                  <c:v>-776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15-4B98-A59F-F4F2CB2C5608}"/>
            </c:ext>
          </c:extLst>
        </c:ser>
        <c:ser>
          <c:idx val="2"/>
          <c:order val="2"/>
          <c:tx>
            <c:strRef>
              <c:f>'Km83+940'!$AG$9</c:f>
              <c:strCache>
                <c:ptCount val="1"/>
                <c:pt idx="0">
                  <c:v>Tim</c:v>
                </c:pt>
              </c:strCache>
            </c:strRef>
          </c:tx>
          <c:marker>
            <c:symbol val="triangle"/>
            <c:size val="2"/>
            <c:spPr>
              <a:solidFill>
                <a:srgbClr val="0000FF"/>
              </a:solidFill>
              <a:ln w="12700">
                <a:solidFill>
                  <a:srgbClr val="0000FF"/>
                </a:solidFill>
                <a:prstDash val="solid"/>
              </a:ln>
            </c:spPr>
          </c:marker>
          <c:xVal>
            <c:numRef>
              <c:f>'Km83+940'!$B$11:$B$323</c:f>
              <c:numCache>
                <c:formatCode>[$-1010000]d/m/yyyy;@</c:formatCode>
                <c:ptCount val="313"/>
                <c:pt idx="0">
                  <c:v>45585</c:v>
                </c:pt>
                <c:pt idx="1">
                  <c:v>45586</c:v>
                </c:pt>
                <c:pt idx="2">
                  <c:v>45587</c:v>
                </c:pt>
                <c:pt idx="3">
                  <c:v>45588</c:v>
                </c:pt>
                <c:pt idx="4">
                  <c:v>45589</c:v>
                </c:pt>
                <c:pt idx="5">
                  <c:v>45590</c:v>
                </c:pt>
                <c:pt idx="6">
                  <c:v>45591</c:v>
                </c:pt>
                <c:pt idx="7">
                  <c:v>45592</c:v>
                </c:pt>
                <c:pt idx="8">
                  <c:v>45593</c:v>
                </c:pt>
                <c:pt idx="9">
                  <c:v>45594</c:v>
                </c:pt>
                <c:pt idx="10">
                  <c:v>45595</c:v>
                </c:pt>
                <c:pt idx="11">
                  <c:v>45596</c:v>
                </c:pt>
                <c:pt idx="12">
                  <c:v>45597</c:v>
                </c:pt>
                <c:pt idx="13">
                  <c:v>45598</c:v>
                </c:pt>
                <c:pt idx="14">
                  <c:v>45599</c:v>
                </c:pt>
                <c:pt idx="15">
                  <c:v>45600</c:v>
                </c:pt>
                <c:pt idx="16">
                  <c:v>45601</c:v>
                </c:pt>
                <c:pt idx="17">
                  <c:v>45602</c:v>
                </c:pt>
                <c:pt idx="18">
                  <c:v>45603</c:v>
                </c:pt>
                <c:pt idx="19">
                  <c:v>45604</c:v>
                </c:pt>
                <c:pt idx="20">
                  <c:v>45605</c:v>
                </c:pt>
                <c:pt idx="21">
                  <c:v>45606</c:v>
                </c:pt>
                <c:pt idx="22">
                  <c:v>45607</c:v>
                </c:pt>
                <c:pt idx="23">
                  <c:v>45608</c:v>
                </c:pt>
                <c:pt idx="24">
                  <c:v>45609</c:v>
                </c:pt>
                <c:pt idx="25">
                  <c:v>45610</c:v>
                </c:pt>
                <c:pt idx="26">
                  <c:v>45611</c:v>
                </c:pt>
                <c:pt idx="27">
                  <c:v>45612</c:v>
                </c:pt>
                <c:pt idx="28">
                  <c:v>45613</c:v>
                </c:pt>
                <c:pt idx="29">
                  <c:v>45614</c:v>
                </c:pt>
                <c:pt idx="30">
                  <c:v>45615</c:v>
                </c:pt>
                <c:pt idx="31">
                  <c:v>45616</c:v>
                </c:pt>
                <c:pt idx="32">
                  <c:v>45617</c:v>
                </c:pt>
                <c:pt idx="33">
                  <c:v>45618</c:v>
                </c:pt>
                <c:pt idx="34">
                  <c:v>45619</c:v>
                </c:pt>
                <c:pt idx="35">
                  <c:v>45620</c:v>
                </c:pt>
                <c:pt idx="36">
                  <c:v>45621</c:v>
                </c:pt>
                <c:pt idx="37">
                  <c:v>45622</c:v>
                </c:pt>
                <c:pt idx="38">
                  <c:v>45623</c:v>
                </c:pt>
                <c:pt idx="39">
                  <c:v>45624</c:v>
                </c:pt>
                <c:pt idx="40">
                  <c:v>45625</c:v>
                </c:pt>
                <c:pt idx="41">
                  <c:v>45626</c:v>
                </c:pt>
                <c:pt idx="42">
                  <c:v>45627</c:v>
                </c:pt>
                <c:pt idx="43">
                  <c:v>45628</c:v>
                </c:pt>
                <c:pt idx="44">
                  <c:v>45629</c:v>
                </c:pt>
                <c:pt idx="45">
                  <c:v>45630</c:v>
                </c:pt>
                <c:pt idx="46">
                  <c:v>45631</c:v>
                </c:pt>
                <c:pt idx="47">
                  <c:v>45632</c:v>
                </c:pt>
                <c:pt idx="48">
                  <c:v>45633</c:v>
                </c:pt>
                <c:pt idx="49">
                  <c:v>45634</c:v>
                </c:pt>
                <c:pt idx="50">
                  <c:v>45635</c:v>
                </c:pt>
                <c:pt idx="51">
                  <c:v>45636</c:v>
                </c:pt>
                <c:pt idx="52">
                  <c:v>45637</c:v>
                </c:pt>
                <c:pt idx="53">
                  <c:v>45638</c:v>
                </c:pt>
                <c:pt idx="54">
                  <c:v>45639</c:v>
                </c:pt>
                <c:pt idx="55">
                  <c:v>45640</c:v>
                </c:pt>
                <c:pt idx="56">
                  <c:v>45641</c:v>
                </c:pt>
                <c:pt idx="57">
                  <c:v>45642</c:v>
                </c:pt>
                <c:pt idx="58">
                  <c:v>45643</c:v>
                </c:pt>
                <c:pt idx="59">
                  <c:v>45644</c:v>
                </c:pt>
                <c:pt idx="60">
                  <c:v>45645</c:v>
                </c:pt>
                <c:pt idx="61">
                  <c:v>45646</c:v>
                </c:pt>
                <c:pt idx="62">
                  <c:v>45647</c:v>
                </c:pt>
                <c:pt idx="63">
                  <c:v>45648</c:v>
                </c:pt>
                <c:pt idx="64">
                  <c:v>45649</c:v>
                </c:pt>
                <c:pt idx="65">
                  <c:v>45650</c:v>
                </c:pt>
                <c:pt idx="66">
                  <c:v>45651</c:v>
                </c:pt>
                <c:pt idx="67">
                  <c:v>45652</c:v>
                </c:pt>
                <c:pt idx="68">
                  <c:v>45653</c:v>
                </c:pt>
                <c:pt idx="69">
                  <c:v>45654</c:v>
                </c:pt>
                <c:pt idx="70">
                  <c:v>45655</c:v>
                </c:pt>
                <c:pt idx="71">
                  <c:v>45656</c:v>
                </c:pt>
                <c:pt idx="72">
                  <c:v>45657</c:v>
                </c:pt>
                <c:pt idx="73">
                  <c:v>45658</c:v>
                </c:pt>
                <c:pt idx="74">
                  <c:v>45659</c:v>
                </c:pt>
                <c:pt idx="75">
                  <c:v>45660</c:v>
                </c:pt>
                <c:pt idx="76">
                  <c:v>45661</c:v>
                </c:pt>
                <c:pt idx="77">
                  <c:v>45662</c:v>
                </c:pt>
                <c:pt idx="78">
                  <c:v>45663</c:v>
                </c:pt>
                <c:pt idx="79">
                  <c:v>45664</c:v>
                </c:pt>
                <c:pt idx="80">
                  <c:v>45665</c:v>
                </c:pt>
                <c:pt idx="81">
                  <c:v>45666</c:v>
                </c:pt>
                <c:pt idx="82">
                  <c:v>45667</c:v>
                </c:pt>
                <c:pt idx="83">
                  <c:v>45668</c:v>
                </c:pt>
                <c:pt idx="84">
                  <c:v>45669</c:v>
                </c:pt>
                <c:pt idx="85">
                  <c:v>45670</c:v>
                </c:pt>
                <c:pt idx="86">
                  <c:v>45671</c:v>
                </c:pt>
                <c:pt idx="87">
                  <c:v>45672</c:v>
                </c:pt>
                <c:pt idx="88">
                  <c:v>45673</c:v>
                </c:pt>
                <c:pt idx="89">
                  <c:v>45674</c:v>
                </c:pt>
                <c:pt idx="90">
                  <c:v>45675</c:v>
                </c:pt>
                <c:pt idx="91">
                  <c:v>45676</c:v>
                </c:pt>
                <c:pt idx="92">
                  <c:v>45677</c:v>
                </c:pt>
                <c:pt idx="93">
                  <c:v>45678</c:v>
                </c:pt>
                <c:pt idx="94">
                  <c:v>45679</c:v>
                </c:pt>
                <c:pt idx="95">
                  <c:v>45680</c:v>
                </c:pt>
                <c:pt idx="96">
                  <c:v>45681</c:v>
                </c:pt>
                <c:pt idx="97">
                  <c:v>45682</c:v>
                </c:pt>
                <c:pt idx="98">
                  <c:v>45683</c:v>
                </c:pt>
                <c:pt idx="99">
                  <c:v>45684</c:v>
                </c:pt>
                <c:pt idx="100">
                  <c:v>45685</c:v>
                </c:pt>
                <c:pt idx="101">
                  <c:v>45686</c:v>
                </c:pt>
                <c:pt idx="102">
                  <c:v>45687</c:v>
                </c:pt>
                <c:pt idx="103">
                  <c:v>45688</c:v>
                </c:pt>
                <c:pt idx="104">
                  <c:v>45689</c:v>
                </c:pt>
                <c:pt idx="105">
                  <c:v>45690</c:v>
                </c:pt>
                <c:pt idx="106">
                  <c:v>45691</c:v>
                </c:pt>
                <c:pt idx="107">
                  <c:v>45692</c:v>
                </c:pt>
                <c:pt idx="108">
                  <c:v>45693</c:v>
                </c:pt>
                <c:pt idx="109">
                  <c:v>45694</c:v>
                </c:pt>
                <c:pt idx="110">
                  <c:v>45695</c:v>
                </c:pt>
                <c:pt idx="111">
                  <c:v>45696</c:v>
                </c:pt>
                <c:pt idx="112">
                  <c:v>45697</c:v>
                </c:pt>
                <c:pt idx="113">
                  <c:v>45698</c:v>
                </c:pt>
                <c:pt idx="114">
                  <c:v>45699</c:v>
                </c:pt>
                <c:pt idx="115">
                  <c:v>45700</c:v>
                </c:pt>
                <c:pt idx="116">
                  <c:v>45701</c:v>
                </c:pt>
                <c:pt idx="117">
                  <c:v>45702</c:v>
                </c:pt>
                <c:pt idx="118">
                  <c:v>45703</c:v>
                </c:pt>
                <c:pt idx="119">
                  <c:v>45704</c:v>
                </c:pt>
                <c:pt idx="120">
                  <c:v>45705</c:v>
                </c:pt>
                <c:pt idx="121">
                  <c:v>45706</c:v>
                </c:pt>
                <c:pt idx="122">
                  <c:v>45707</c:v>
                </c:pt>
                <c:pt idx="123">
                  <c:v>45708</c:v>
                </c:pt>
                <c:pt idx="124">
                  <c:v>45709</c:v>
                </c:pt>
                <c:pt idx="125">
                  <c:v>45710</c:v>
                </c:pt>
                <c:pt idx="126">
                  <c:v>45711</c:v>
                </c:pt>
                <c:pt idx="127">
                  <c:v>45712</c:v>
                </c:pt>
                <c:pt idx="128">
                  <c:v>45713</c:v>
                </c:pt>
                <c:pt idx="129">
                  <c:v>45714</c:v>
                </c:pt>
                <c:pt idx="130">
                  <c:v>45715</c:v>
                </c:pt>
                <c:pt idx="131">
                  <c:v>45716</c:v>
                </c:pt>
                <c:pt idx="132">
                  <c:v>45717</c:v>
                </c:pt>
                <c:pt idx="133">
                  <c:v>45718</c:v>
                </c:pt>
                <c:pt idx="134">
                  <c:v>45719</c:v>
                </c:pt>
                <c:pt idx="135">
                  <c:v>45720</c:v>
                </c:pt>
                <c:pt idx="136">
                  <c:v>45721</c:v>
                </c:pt>
                <c:pt idx="137">
                  <c:v>45722</c:v>
                </c:pt>
                <c:pt idx="138">
                  <c:v>45723</c:v>
                </c:pt>
                <c:pt idx="139">
                  <c:v>45724</c:v>
                </c:pt>
                <c:pt idx="140">
                  <c:v>45725</c:v>
                </c:pt>
                <c:pt idx="141">
                  <c:v>45726</c:v>
                </c:pt>
                <c:pt idx="142">
                  <c:v>45727</c:v>
                </c:pt>
                <c:pt idx="143">
                  <c:v>45728</c:v>
                </c:pt>
                <c:pt idx="144">
                  <c:v>45729</c:v>
                </c:pt>
                <c:pt idx="145">
                  <c:v>45730</c:v>
                </c:pt>
                <c:pt idx="146">
                  <c:v>45731</c:v>
                </c:pt>
                <c:pt idx="147">
                  <c:v>45732</c:v>
                </c:pt>
                <c:pt idx="148">
                  <c:v>45733</c:v>
                </c:pt>
                <c:pt idx="149">
                  <c:v>45734</c:v>
                </c:pt>
                <c:pt idx="150">
                  <c:v>45735</c:v>
                </c:pt>
                <c:pt idx="151">
                  <c:v>45736</c:v>
                </c:pt>
                <c:pt idx="152">
                  <c:v>45737</c:v>
                </c:pt>
                <c:pt idx="153">
                  <c:v>45738</c:v>
                </c:pt>
                <c:pt idx="154">
                  <c:v>45739</c:v>
                </c:pt>
                <c:pt idx="155">
                  <c:v>45740</c:v>
                </c:pt>
                <c:pt idx="156">
                  <c:v>45741</c:v>
                </c:pt>
                <c:pt idx="157">
                  <c:v>45742</c:v>
                </c:pt>
                <c:pt idx="158">
                  <c:v>45743</c:v>
                </c:pt>
                <c:pt idx="159">
                  <c:v>45744</c:v>
                </c:pt>
                <c:pt idx="160">
                  <c:v>45745</c:v>
                </c:pt>
                <c:pt idx="161">
                  <c:v>45746</c:v>
                </c:pt>
                <c:pt idx="162">
                  <c:v>45747</c:v>
                </c:pt>
                <c:pt idx="163">
                  <c:v>45748</c:v>
                </c:pt>
                <c:pt idx="164">
                  <c:v>45749</c:v>
                </c:pt>
                <c:pt idx="165">
                  <c:v>45750</c:v>
                </c:pt>
                <c:pt idx="166">
                  <c:v>45751</c:v>
                </c:pt>
                <c:pt idx="167">
                  <c:v>45752</c:v>
                </c:pt>
                <c:pt idx="168">
                  <c:v>45753</c:v>
                </c:pt>
                <c:pt idx="169">
                  <c:v>45754</c:v>
                </c:pt>
                <c:pt idx="170">
                  <c:v>45755</c:v>
                </c:pt>
                <c:pt idx="171">
                  <c:v>45756</c:v>
                </c:pt>
                <c:pt idx="172">
                  <c:v>45757</c:v>
                </c:pt>
                <c:pt idx="173">
                  <c:v>45758</c:v>
                </c:pt>
                <c:pt idx="174">
                  <c:v>45759</c:v>
                </c:pt>
                <c:pt idx="175">
                  <c:v>45760</c:v>
                </c:pt>
                <c:pt idx="176">
                  <c:v>45761</c:v>
                </c:pt>
                <c:pt idx="177">
                  <c:v>45762</c:v>
                </c:pt>
                <c:pt idx="178">
                  <c:v>45763</c:v>
                </c:pt>
                <c:pt idx="179">
                  <c:v>45764</c:v>
                </c:pt>
                <c:pt idx="180">
                  <c:v>45765</c:v>
                </c:pt>
                <c:pt idx="181">
                  <c:v>45766</c:v>
                </c:pt>
                <c:pt idx="182">
                  <c:v>45767</c:v>
                </c:pt>
                <c:pt idx="183">
                  <c:v>45768</c:v>
                </c:pt>
                <c:pt idx="184">
                  <c:v>45769</c:v>
                </c:pt>
                <c:pt idx="185">
                  <c:v>45770</c:v>
                </c:pt>
                <c:pt idx="186">
                  <c:v>45771</c:v>
                </c:pt>
                <c:pt idx="187">
                  <c:v>45772</c:v>
                </c:pt>
                <c:pt idx="188">
                  <c:v>45773</c:v>
                </c:pt>
                <c:pt idx="189">
                  <c:v>45774</c:v>
                </c:pt>
                <c:pt idx="190">
                  <c:v>45775</c:v>
                </c:pt>
                <c:pt idx="191">
                  <c:v>45776</c:v>
                </c:pt>
                <c:pt idx="192">
                  <c:v>45777</c:v>
                </c:pt>
                <c:pt idx="193">
                  <c:v>45778</c:v>
                </c:pt>
                <c:pt idx="194">
                  <c:v>45779</c:v>
                </c:pt>
                <c:pt idx="195">
                  <c:v>45780</c:v>
                </c:pt>
                <c:pt idx="196">
                  <c:v>45781</c:v>
                </c:pt>
                <c:pt idx="197">
                  <c:v>45782</c:v>
                </c:pt>
                <c:pt idx="198">
                  <c:v>45783</c:v>
                </c:pt>
                <c:pt idx="199">
                  <c:v>45784</c:v>
                </c:pt>
                <c:pt idx="200">
                  <c:v>45785</c:v>
                </c:pt>
                <c:pt idx="201">
                  <c:v>45786</c:v>
                </c:pt>
                <c:pt idx="202">
                  <c:v>45787</c:v>
                </c:pt>
                <c:pt idx="203">
                  <c:v>45788</c:v>
                </c:pt>
                <c:pt idx="204">
                  <c:v>45789</c:v>
                </c:pt>
                <c:pt idx="205">
                  <c:v>45790</c:v>
                </c:pt>
                <c:pt idx="206">
                  <c:v>45791</c:v>
                </c:pt>
                <c:pt idx="207">
                  <c:v>45792</c:v>
                </c:pt>
                <c:pt idx="208">
                  <c:v>45793</c:v>
                </c:pt>
                <c:pt idx="209">
                  <c:v>45794</c:v>
                </c:pt>
                <c:pt idx="210">
                  <c:v>45795</c:v>
                </c:pt>
                <c:pt idx="211">
                  <c:v>45796</c:v>
                </c:pt>
                <c:pt idx="212">
                  <c:v>45797</c:v>
                </c:pt>
                <c:pt idx="213">
                  <c:v>45798</c:v>
                </c:pt>
                <c:pt idx="214">
                  <c:v>45799</c:v>
                </c:pt>
                <c:pt idx="215">
                  <c:v>45800</c:v>
                </c:pt>
                <c:pt idx="216">
                  <c:v>45801</c:v>
                </c:pt>
                <c:pt idx="217">
                  <c:v>45802</c:v>
                </c:pt>
                <c:pt idx="218">
                  <c:v>45803</c:v>
                </c:pt>
                <c:pt idx="219">
                  <c:v>45804</c:v>
                </c:pt>
                <c:pt idx="220">
                  <c:v>45805</c:v>
                </c:pt>
                <c:pt idx="221">
                  <c:v>45806</c:v>
                </c:pt>
                <c:pt idx="222">
                  <c:v>45807</c:v>
                </c:pt>
                <c:pt idx="223">
                  <c:v>45808</c:v>
                </c:pt>
              </c:numCache>
            </c:numRef>
          </c:xVal>
          <c:yVal>
            <c:numRef>
              <c:f>'Km83+940'!$AG$11:$AG$322</c:f>
              <c:numCache>
                <c:formatCode>0</c:formatCode>
                <c:ptCount val="312"/>
                <c:pt idx="0">
                  <c:v>0</c:v>
                </c:pt>
                <c:pt idx="1">
                  <c:v>-4</c:v>
                </c:pt>
                <c:pt idx="2">
                  <c:v>-7</c:v>
                </c:pt>
                <c:pt idx="3">
                  <c:v>-15</c:v>
                </c:pt>
                <c:pt idx="4">
                  <c:v>-22</c:v>
                </c:pt>
                <c:pt idx="5">
                  <c:v>-31</c:v>
                </c:pt>
                <c:pt idx="6">
                  <c:v>-39</c:v>
                </c:pt>
                <c:pt idx="7">
                  <c:v>-47</c:v>
                </c:pt>
                <c:pt idx="8">
                  <c:v>-55</c:v>
                </c:pt>
                <c:pt idx="9">
                  <c:v>-62</c:v>
                </c:pt>
                <c:pt idx="10">
                  <c:v>-69</c:v>
                </c:pt>
                <c:pt idx="11">
                  <c:v>-75</c:v>
                </c:pt>
                <c:pt idx="12">
                  <c:v>-81</c:v>
                </c:pt>
                <c:pt idx="13">
                  <c:v>-86</c:v>
                </c:pt>
                <c:pt idx="14">
                  <c:v>-91</c:v>
                </c:pt>
                <c:pt idx="15">
                  <c:v>-100</c:v>
                </c:pt>
                <c:pt idx="16">
                  <c:v>-109</c:v>
                </c:pt>
                <c:pt idx="17">
                  <c:v>-118</c:v>
                </c:pt>
                <c:pt idx="18">
                  <c:v>-126</c:v>
                </c:pt>
                <c:pt idx="19">
                  <c:v>-135</c:v>
                </c:pt>
                <c:pt idx="20">
                  <c:v>-143</c:v>
                </c:pt>
                <c:pt idx="21">
                  <c:v>-152</c:v>
                </c:pt>
                <c:pt idx="22">
                  <c:v>-161</c:v>
                </c:pt>
                <c:pt idx="23">
                  <c:v>-170</c:v>
                </c:pt>
                <c:pt idx="24">
                  <c:v>-179</c:v>
                </c:pt>
                <c:pt idx="25">
                  <c:v>-188</c:v>
                </c:pt>
                <c:pt idx="26">
                  <c:v>-197</c:v>
                </c:pt>
                <c:pt idx="27">
                  <c:v>-206</c:v>
                </c:pt>
                <c:pt idx="28">
                  <c:v>-215</c:v>
                </c:pt>
                <c:pt idx="29">
                  <c:v>-224</c:v>
                </c:pt>
                <c:pt idx="30">
                  <c:v>-233</c:v>
                </c:pt>
                <c:pt idx="31">
                  <c:v>-241</c:v>
                </c:pt>
                <c:pt idx="32">
                  <c:v>-249</c:v>
                </c:pt>
                <c:pt idx="33">
                  <c:v>-257</c:v>
                </c:pt>
                <c:pt idx="34">
                  <c:v>-265</c:v>
                </c:pt>
                <c:pt idx="35">
                  <c:v>-273</c:v>
                </c:pt>
                <c:pt idx="36">
                  <c:v>-281</c:v>
                </c:pt>
                <c:pt idx="37">
                  <c:v>-288</c:v>
                </c:pt>
                <c:pt idx="38">
                  <c:v>-295</c:v>
                </c:pt>
                <c:pt idx="39">
                  <c:v>-302</c:v>
                </c:pt>
                <c:pt idx="40">
                  <c:v>-309</c:v>
                </c:pt>
                <c:pt idx="41">
                  <c:v>-316</c:v>
                </c:pt>
                <c:pt idx="42">
                  <c:v>-323</c:v>
                </c:pt>
                <c:pt idx="43">
                  <c:v>-330</c:v>
                </c:pt>
                <c:pt idx="44">
                  <c:v>-337</c:v>
                </c:pt>
                <c:pt idx="45">
                  <c:v>-344</c:v>
                </c:pt>
                <c:pt idx="46">
                  <c:v>-351</c:v>
                </c:pt>
                <c:pt idx="47">
                  <c:v>-357</c:v>
                </c:pt>
                <c:pt idx="48">
                  <c:v>-363</c:v>
                </c:pt>
                <c:pt idx="49">
                  <c:v>-369</c:v>
                </c:pt>
                <c:pt idx="50">
                  <c:v>-375</c:v>
                </c:pt>
                <c:pt idx="51">
                  <c:v>-381</c:v>
                </c:pt>
                <c:pt idx="52">
                  <c:v>-386</c:v>
                </c:pt>
                <c:pt idx="53">
                  <c:v>-391</c:v>
                </c:pt>
                <c:pt idx="54">
                  <c:v>-396</c:v>
                </c:pt>
                <c:pt idx="55">
                  <c:v>-401</c:v>
                </c:pt>
                <c:pt idx="56">
                  <c:v>-406</c:v>
                </c:pt>
                <c:pt idx="57">
                  <c:v>-411</c:v>
                </c:pt>
                <c:pt idx="58">
                  <c:v>-416</c:v>
                </c:pt>
                <c:pt idx="59">
                  <c:v>-421</c:v>
                </c:pt>
                <c:pt idx="60">
                  <c:v>-426</c:v>
                </c:pt>
                <c:pt idx="61">
                  <c:v>-431</c:v>
                </c:pt>
                <c:pt idx="62">
                  <c:v>-436</c:v>
                </c:pt>
                <c:pt idx="63">
                  <c:v>-440</c:v>
                </c:pt>
                <c:pt idx="64">
                  <c:v>-444</c:v>
                </c:pt>
                <c:pt idx="65">
                  <c:v>-448</c:v>
                </c:pt>
                <c:pt idx="66">
                  <c:v>-452</c:v>
                </c:pt>
                <c:pt idx="67">
                  <c:v>-456</c:v>
                </c:pt>
                <c:pt idx="68">
                  <c:v>-459</c:v>
                </c:pt>
                <c:pt idx="69">
                  <c:v>-462</c:v>
                </c:pt>
                <c:pt idx="70">
                  <c:v>-465</c:v>
                </c:pt>
                <c:pt idx="71">
                  <c:v>-468</c:v>
                </c:pt>
                <c:pt idx="72">
                  <c:v>-471</c:v>
                </c:pt>
                <c:pt idx="73">
                  <c:v>-473</c:v>
                </c:pt>
                <c:pt idx="74">
                  <c:v>-475</c:v>
                </c:pt>
                <c:pt idx="75">
                  <c:v>-477</c:v>
                </c:pt>
                <c:pt idx="76">
                  <c:v>-479</c:v>
                </c:pt>
                <c:pt idx="77">
                  <c:v>-481</c:v>
                </c:pt>
                <c:pt idx="78">
                  <c:v>-483</c:v>
                </c:pt>
                <c:pt idx="79">
                  <c:v>-485</c:v>
                </c:pt>
                <c:pt idx="80">
                  <c:v>-486</c:v>
                </c:pt>
                <c:pt idx="81">
                  <c:v>-487</c:v>
                </c:pt>
                <c:pt idx="82">
                  <c:v>-487</c:v>
                </c:pt>
                <c:pt idx="83">
                  <c:v>-488</c:v>
                </c:pt>
                <c:pt idx="84">
                  <c:v>-488</c:v>
                </c:pt>
                <c:pt idx="85">
                  <c:v>-489</c:v>
                </c:pt>
                <c:pt idx="86">
                  <c:v>-490</c:v>
                </c:pt>
                <c:pt idx="87">
                  <c:v>-490</c:v>
                </c:pt>
                <c:pt idx="88">
                  <c:v>-491</c:v>
                </c:pt>
                <c:pt idx="89">
                  <c:v>-492</c:v>
                </c:pt>
                <c:pt idx="90">
                  <c:v>-492</c:v>
                </c:pt>
                <c:pt idx="91">
                  <c:v>-493</c:v>
                </c:pt>
                <c:pt idx="92">
                  <c:v>-493</c:v>
                </c:pt>
                <c:pt idx="93">
                  <c:v>-493</c:v>
                </c:pt>
                <c:pt idx="94">
                  <c:v>-494</c:v>
                </c:pt>
                <c:pt idx="95">
                  <c:v>-494</c:v>
                </c:pt>
                <c:pt idx="96">
                  <c:v>-494</c:v>
                </c:pt>
                <c:pt idx="97">
                  <c:v>-495</c:v>
                </c:pt>
                <c:pt idx="98">
                  <c:v>-495</c:v>
                </c:pt>
                <c:pt idx="99">
                  <c:v>-496</c:v>
                </c:pt>
                <c:pt idx="100">
                  <c:v>-496</c:v>
                </c:pt>
                <c:pt idx="101">
                  <c:v>-497</c:v>
                </c:pt>
                <c:pt idx="102">
                  <c:v>-497</c:v>
                </c:pt>
                <c:pt idx="103">
                  <c:v>-498</c:v>
                </c:pt>
                <c:pt idx="104">
                  <c:v>-501</c:v>
                </c:pt>
                <c:pt idx="105">
                  <c:v>-502</c:v>
                </c:pt>
                <c:pt idx="106">
                  <c:v>-502</c:v>
                </c:pt>
                <c:pt idx="107">
                  <c:v>-502</c:v>
                </c:pt>
                <c:pt idx="108">
                  <c:v>-502</c:v>
                </c:pt>
                <c:pt idx="109">
                  <c:v>-503</c:v>
                </c:pt>
                <c:pt idx="110">
                  <c:v>-503</c:v>
                </c:pt>
                <c:pt idx="111">
                  <c:v>-504</c:v>
                </c:pt>
                <c:pt idx="112">
                  <c:v>-504</c:v>
                </c:pt>
                <c:pt idx="113">
                  <c:v>-505</c:v>
                </c:pt>
                <c:pt idx="114">
                  <c:v>-506</c:v>
                </c:pt>
                <c:pt idx="115">
                  <c:v>-506</c:v>
                </c:pt>
                <c:pt idx="116">
                  <c:v>-509</c:v>
                </c:pt>
                <c:pt idx="117">
                  <c:v>-510</c:v>
                </c:pt>
                <c:pt idx="118">
                  <c:v>-513</c:v>
                </c:pt>
                <c:pt idx="119">
                  <c:v>-514</c:v>
                </c:pt>
                <c:pt idx="120">
                  <c:v>-514</c:v>
                </c:pt>
                <c:pt idx="121">
                  <c:v>-518</c:v>
                </c:pt>
                <c:pt idx="122">
                  <c:v>-519</c:v>
                </c:pt>
                <c:pt idx="123">
                  <c:v>-519</c:v>
                </c:pt>
                <c:pt idx="124">
                  <c:v>-522</c:v>
                </c:pt>
                <c:pt idx="125">
                  <c:v>-523</c:v>
                </c:pt>
                <c:pt idx="126">
                  <c:v>-523</c:v>
                </c:pt>
                <c:pt idx="127">
                  <c:v>-526</c:v>
                </c:pt>
                <c:pt idx="128">
                  <c:v>-526</c:v>
                </c:pt>
                <c:pt idx="129">
                  <c:v>-527</c:v>
                </c:pt>
                <c:pt idx="130">
                  <c:v>-527</c:v>
                </c:pt>
                <c:pt idx="131">
                  <c:v>-528</c:v>
                </c:pt>
                <c:pt idx="132">
                  <c:v>-528</c:v>
                </c:pt>
                <c:pt idx="133">
                  <c:v>-529</c:v>
                </c:pt>
                <c:pt idx="134">
                  <c:v>-529</c:v>
                </c:pt>
                <c:pt idx="135">
                  <c:v>-532</c:v>
                </c:pt>
                <c:pt idx="136">
                  <c:v>-532</c:v>
                </c:pt>
                <c:pt idx="137">
                  <c:v>-535</c:v>
                </c:pt>
                <c:pt idx="138">
                  <c:v>-536</c:v>
                </c:pt>
                <c:pt idx="139">
                  <c:v>-536</c:v>
                </c:pt>
                <c:pt idx="140">
                  <c:v>-536</c:v>
                </c:pt>
                <c:pt idx="141">
                  <c:v>-536</c:v>
                </c:pt>
                <c:pt idx="142">
                  <c:v>-536</c:v>
                </c:pt>
                <c:pt idx="143">
                  <c:v>-538</c:v>
                </c:pt>
                <c:pt idx="144">
                  <c:v>-538</c:v>
                </c:pt>
                <c:pt idx="145">
                  <c:v>-541</c:v>
                </c:pt>
                <c:pt idx="146">
                  <c:v>-541</c:v>
                </c:pt>
                <c:pt idx="147">
                  <c:v>-542</c:v>
                </c:pt>
                <c:pt idx="148">
                  <c:v>-545</c:v>
                </c:pt>
                <c:pt idx="149">
                  <c:v>-546</c:v>
                </c:pt>
                <c:pt idx="150">
                  <c:v>-547</c:v>
                </c:pt>
                <c:pt idx="151">
                  <c:v>-547</c:v>
                </c:pt>
                <c:pt idx="152">
                  <c:v>-548</c:v>
                </c:pt>
                <c:pt idx="153">
                  <c:v>-551</c:v>
                </c:pt>
                <c:pt idx="154">
                  <c:v>-554</c:v>
                </c:pt>
                <c:pt idx="155">
                  <c:v>-555</c:v>
                </c:pt>
                <c:pt idx="156">
                  <c:v>-557</c:v>
                </c:pt>
                <c:pt idx="157">
                  <c:v>-557</c:v>
                </c:pt>
                <c:pt idx="158">
                  <c:v>-558</c:v>
                </c:pt>
                <c:pt idx="159">
                  <c:v>-558</c:v>
                </c:pt>
                <c:pt idx="160">
                  <c:v>-559</c:v>
                </c:pt>
                <c:pt idx="161">
                  <c:v>-563</c:v>
                </c:pt>
                <c:pt idx="162">
                  <c:v>-564</c:v>
                </c:pt>
                <c:pt idx="163">
                  <c:v>-564</c:v>
                </c:pt>
                <c:pt idx="164">
                  <c:v>-565</c:v>
                </c:pt>
                <c:pt idx="165">
                  <c:v>-565</c:v>
                </c:pt>
                <c:pt idx="166">
                  <c:v>-568</c:v>
                </c:pt>
                <c:pt idx="167">
                  <c:v>-569</c:v>
                </c:pt>
                <c:pt idx="168">
                  <c:v>-569</c:v>
                </c:pt>
                <c:pt idx="169">
                  <c:v>-569</c:v>
                </c:pt>
                <c:pt idx="170">
                  <c:v>-571</c:v>
                </c:pt>
                <c:pt idx="171">
                  <c:v>-573</c:v>
                </c:pt>
                <c:pt idx="172">
                  <c:v>-582</c:v>
                </c:pt>
                <c:pt idx="173">
                  <c:v>-591</c:v>
                </c:pt>
                <c:pt idx="174">
                  <c:v>-600</c:v>
                </c:pt>
                <c:pt idx="175">
                  <c:v>-609</c:v>
                </c:pt>
                <c:pt idx="176">
                  <c:v>-617</c:v>
                </c:pt>
                <c:pt idx="177">
                  <c:v>-626</c:v>
                </c:pt>
                <c:pt idx="178">
                  <c:v>-634</c:v>
                </c:pt>
                <c:pt idx="179">
                  <c:v>-643</c:v>
                </c:pt>
                <c:pt idx="180">
                  <c:v>-652</c:v>
                </c:pt>
                <c:pt idx="181">
                  <c:v>-661</c:v>
                </c:pt>
                <c:pt idx="182">
                  <c:v>-669</c:v>
                </c:pt>
                <c:pt idx="183">
                  <c:v>-678</c:v>
                </c:pt>
                <c:pt idx="184">
                  <c:v>-687</c:v>
                </c:pt>
                <c:pt idx="185">
                  <c:v>-695</c:v>
                </c:pt>
                <c:pt idx="186">
                  <c:v>-703</c:v>
                </c:pt>
                <c:pt idx="187">
                  <c:v>-712</c:v>
                </c:pt>
                <c:pt idx="188">
                  <c:v>-720</c:v>
                </c:pt>
                <c:pt idx="189">
                  <c:v>-729</c:v>
                </c:pt>
                <c:pt idx="190">
                  <c:v>-738</c:v>
                </c:pt>
                <c:pt idx="191">
                  <c:v>-746</c:v>
                </c:pt>
                <c:pt idx="192">
                  <c:v>-755</c:v>
                </c:pt>
                <c:pt idx="193">
                  <c:v>-764</c:v>
                </c:pt>
                <c:pt idx="194">
                  <c:v>-773</c:v>
                </c:pt>
                <c:pt idx="195">
                  <c:v>-781</c:v>
                </c:pt>
                <c:pt idx="196">
                  <c:v>-789</c:v>
                </c:pt>
                <c:pt idx="197">
                  <c:v>-798</c:v>
                </c:pt>
                <c:pt idx="198">
                  <c:v>-806</c:v>
                </c:pt>
                <c:pt idx="199">
                  <c:v>-815</c:v>
                </c:pt>
                <c:pt idx="200">
                  <c:v>-823</c:v>
                </c:pt>
                <c:pt idx="201">
                  <c:v>-832</c:v>
                </c:pt>
                <c:pt idx="202">
                  <c:v>-841</c:v>
                </c:pt>
                <c:pt idx="203">
                  <c:v>-849</c:v>
                </c:pt>
                <c:pt idx="204">
                  <c:v>-857</c:v>
                </c:pt>
                <c:pt idx="205">
                  <c:v>-866</c:v>
                </c:pt>
                <c:pt idx="206">
                  <c:v>-875</c:v>
                </c:pt>
                <c:pt idx="207">
                  <c:v>-884</c:v>
                </c:pt>
                <c:pt idx="208">
                  <c:v>-892</c:v>
                </c:pt>
                <c:pt idx="209">
                  <c:v>-900</c:v>
                </c:pt>
                <c:pt idx="210">
                  <c:v>-909</c:v>
                </c:pt>
                <c:pt idx="211">
                  <c:v>-917</c:v>
                </c:pt>
                <c:pt idx="212">
                  <c:v>-925</c:v>
                </c:pt>
                <c:pt idx="213">
                  <c:v>-934</c:v>
                </c:pt>
                <c:pt idx="214">
                  <c:v>-942</c:v>
                </c:pt>
                <c:pt idx="215">
                  <c:v>-951</c:v>
                </c:pt>
                <c:pt idx="216">
                  <c:v>-958</c:v>
                </c:pt>
                <c:pt idx="217">
                  <c:v>-966</c:v>
                </c:pt>
                <c:pt idx="218">
                  <c:v>-975</c:v>
                </c:pt>
                <c:pt idx="219">
                  <c:v>-984</c:v>
                </c:pt>
                <c:pt idx="220">
                  <c:v>-992</c:v>
                </c:pt>
                <c:pt idx="221">
                  <c:v>-1001</c:v>
                </c:pt>
                <c:pt idx="222">
                  <c:v>-1008</c:v>
                </c:pt>
                <c:pt idx="223">
                  <c:v>-1015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15-4B98-A59F-F4F2CB2C5608}"/>
            </c:ext>
          </c:extLst>
        </c:ser>
        <c:ser>
          <c:idx val="3"/>
          <c:order val="3"/>
          <c:tx>
            <c:strRef>
              <c:f>'Km83+940'!$AH$9</c:f>
              <c:strCache>
                <c:ptCount val="1"/>
                <c:pt idx="0">
                  <c:v>Phải</c:v>
                </c:pt>
              </c:strCache>
            </c:strRef>
          </c:tx>
          <c:marker>
            <c:symbol val="x"/>
            <c:size val="2"/>
            <c:spPr>
              <a:solidFill>
                <a:srgbClr val="800000"/>
              </a:solidFill>
              <a:ln w="12700">
                <a:solidFill>
                  <a:srgbClr val="800000"/>
                </a:solidFill>
                <a:prstDash val="solid"/>
              </a:ln>
            </c:spPr>
          </c:marker>
          <c:xVal>
            <c:numRef>
              <c:f>'Km83+940'!$B$11:$B$321</c:f>
              <c:numCache>
                <c:formatCode>[$-1010000]d/m/yyyy;@</c:formatCode>
                <c:ptCount val="311"/>
                <c:pt idx="0">
                  <c:v>45585</c:v>
                </c:pt>
                <c:pt idx="1">
                  <c:v>45586</c:v>
                </c:pt>
                <c:pt idx="2">
                  <c:v>45587</c:v>
                </c:pt>
                <c:pt idx="3">
                  <c:v>45588</c:v>
                </c:pt>
                <c:pt idx="4">
                  <c:v>45589</c:v>
                </c:pt>
                <c:pt idx="5">
                  <c:v>45590</c:v>
                </c:pt>
                <c:pt idx="6">
                  <c:v>45591</c:v>
                </c:pt>
                <c:pt idx="7">
                  <c:v>45592</c:v>
                </c:pt>
                <c:pt idx="8">
                  <c:v>45593</c:v>
                </c:pt>
                <c:pt idx="9">
                  <c:v>45594</c:v>
                </c:pt>
                <c:pt idx="10">
                  <c:v>45595</c:v>
                </c:pt>
                <c:pt idx="11">
                  <c:v>45596</c:v>
                </c:pt>
                <c:pt idx="12">
                  <c:v>45597</c:v>
                </c:pt>
                <c:pt idx="13">
                  <c:v>45598</c:v>
                </c:pt>
                <c:pt idx="14">
                  <c:v>45599</c:v>
                </c:pt>
                <c:pt idx="15">
                  <c:v>45600</c:v>
                </c:pt>
                <c:pt idx="16">
                  <c:v>45601</c:v>
                </c:pt>
                <c:pt idx="17">
                  <c:v>45602</c:v>
                </c:pt>
                <c:pt idx="18">
                  <c:v>45603</c:v>
                </c:pt>
                <c:pt idx="19">
                  <c:v>45604</c:v>
                </c:pt>
                <c:pt idx="20">
                  <c:v>45605</c:v>
                </c:pt>
                <c:pt idx="21">
                  <c:v>45606</c:v>
                </c:pt>
                <c:pt idx="22">
                  <c:v>45607</c:v>
                </c:pt>
                <c:pt idx="23">
                  <c:v>45608</c:v>
                </c:pt>
                <c:pt idx="24">
                  <c:v>45609</c:v>
                </c:pt>
                <c:pt idx="25">
                  <c:v>45610</c:v>
                </c:pt>
                <c:pt idx="26">
                  <c:v>45611</c:v>
                </c:pt>
                <c:pt idx="27">
                  <c:v>45612</c:v>
                </c:pt>
                <c:pt idx="28">
                  <c:v>45613</c:v>
                </c:pt>
                <c:pt idx="29">
                  <c:v>45614</c:v>
                </c:pt>
                <c:pt idx="30">
                  <c:v>45615</c:v>
                </c:pt>
                <c:pt idx="31">
                  <c:v>45616</c:v>
                </c:pt>
                <c:pt idx="32">
                  <c:v>45617</c:v>
                </c:pt>
                <c:pt idx="33">
                  <c:v>45618</c:v>
                </c:pt>
                <c:pt idx="34">
                  <c:v>45619</c:v>
                </c:pt>
                <c:pt idx="35">
                  <c:v>45620</c:v>
                </c:pt>
                <c:pt idx="36">
                  <c:v>45621</c:v>
                </c:pt>
                <c:pt idx="37">
                  <c:v>45622</c:v>
                </c:pt>
                <c:pt idx="38">
                  <c:v>45623</c:v>
                </c:pt>
                <c:pt idx="39">
                  <c:v>45624</c:v>
                </c:pt>
                <c:pt idx="40">
                  <c:v>45625</c:v>
                </c:pt>
                <c:pt idx="41">
                  <c:v>45626</c:v>
                </c:pt>
                <c:pt idx="42">
                  <c:v>45627</c:v>
                </c:pt>
                <c:pt idx="43">
                  <c:v>45628</c:v>
                </c:pt>
                <c:pt idx="44">
                  <c:v>45629</c:v>
                </c:pt>
                <c:pt idx="45">
                  <c:v>45630</c:v>
                </c:pt>
                <c:pt idx="46">
                  <c:v>45631</c:v>
                </c:pt>
                <c:pt idx="47">
                  <c:v>45632</c:v>
                </c:pt>
                <c:pt idx="48">
                  <c:v>45633</c:v>
                </c:pt>
                <c:pt idx="49">
                  <c:v>45634</c:v>
                </c:pt>
                <c:pt idx="50">
                  <c:v>45635</c:v>
                </c:pt>
                <c:pt idx="51">
                  <c:v>45636</c:v>
                </c:pt>
                <c:pt idx="52">
                  <c:v>45637</c:v>
                </c:pt>
                <c:pt idx="53">
                  <c:v>45638</c:v>
                </c:pt>
                <c:pt idx="54">
                  <c:v>45639</c:v>
                </c:pt>
                <c:pt idx="55">
                  <c:v>45640</c:v>
                </c:pt>
                <c:pt idx="56">
                  <c:v>45641</c:v>
                </c:pt>
                <c:pt idx="57">
                  <c:v>45642</c:v>
                </c:pt>
                <c:pt idx="58">
                  <c:v>45643</c:v>
                </c:pt>
                <c:pt idx="59">
                  <c:v>45644</c:v>
                </c:pt>
                <c:pt idx="60">
                  <c:v>45645</c:v>
                </c:pt>
                <c:pt idx="61">
                  <c:v>45646</c:v>
                </c:pt>
                <c:pt idx="62">
                  <c:v>45647</c:v>
                </c:pt>
                <c:pt idx="63">
                  <c:v>45648</c:v>
                </c:pt>
                <c:pt idx="64">
                  <c:v>45649</c:v>
                </c:pt>
                <c:pt idx="65">
                  <c:v>45650</c:v>
                </c:pt>
                <c:pt idx="66">
                  <c:v>45651</c:v>
                </c:pt>
                <c:pt idx="67">
                  <c:v>45652</c:v>
                </c:pt>
                <c:pt idx="68">
                  <c:v>45653</c:v>
                </c:pt>
                <c:pt idx="69">
                  <c:v>45654</c:v>
                </c:pt>
                <c:pt idx="70">
                  <c:v>45655</c:v>
                </c:pt>
                <c:pt idx="71">
                  <c:v>45656</c:v>
                </c:pt>
                <c:pt idx="72">
                  <c:v>45657</c:v>
                </c:pt>
                <c:pt idx="73">
                  <c:v>45658</c:v>
                </c:pt>
                <c:pt idx="74">
                  <c:v>45659</c:v>
                </c:pt>
                <c:pt idx="75">
                  <c:v>45660</c:v>
                </c:pt>
                <c:pt idx="76">
                  <c:v>45661</c:v>
                </c:pt>
                <c:pt idx="77">
                  <c:v>45662</c:v>
                </c:pt>
                <c:pt idx="78">
                  <c:v>45663</c:v>
                </c:pt>
                <c:pt idx="79">
                  <c:v>45664</c:v>
                </c:pt>
                <c:pt idx="80">
                  <c:v>45665</c:v>
                </c:pt>
                <c:pt idx="81">
                  <c:v>45666</c:v>
                </c:pt>
                <c:pt idx="82">
                  <c:v>45667</c:v>
                </c:pt>
                <c:pt idx="83">
                  <c:v>45668</c:v>
                </c:pt>
                <c:pt idx="84">
                  <c:v>45669</c:v>
                </c:pt>
                <c:pt idx="85">
                  <c:v>45670</c:v>
                </c:pt>
                <c:pt idx="86">
                  <c:v>45671</c:v>
                </c:pt>
                <c:pt idx="87">
                  <c:v>45672</c:v>
                </c:pt>
                <c:pt idx="88">
                  <c:v>45673</c:v>
                </c:pt>
                <c:pt idx="89">
                  <c:v>45674</c:v>
                </c:pt>
                <c:pt idx="90">
                  <c:v>45675</c:v>
                </c:pt>
                <c:pt idx="91">
                  <c:v>45676</c:v>
                </c:pt>
                <c:pt idx="92">
                  <c:v>45677</c:v>
                </c:pt>
                <c:pt idx="93">
                  <c:v>45678</c:v>
                </c:pt>
                <c:pt idx="94">
                  <c:v>45679</c:v>
                </c:pt>
                <c:pt idx="95">
                  <c:v>45680</c:v>
                </c:pt>
                <c:pt idx="96">
                  <c:v>45681</c:v>
                </c:pt>
                <c:pt idx="97">
                  <c:v>45682</c:v>
                </c:pt>
                <c:pt idx="98">
                  <c:v>45683</c:v>
                </c:pt>
                <c:pt idx="99">
                  <c:v>45684</c:v>
                </c:pt>
                <c:pt idx="100">
                  <c:v>45685</c:v>
                </c:pt>
                <c:pt idx="101">
                  <c:v>45686</c:v>
                </c:pt>
                <c:pt idx="102">
                  <c:v>45687</c:v>
                </c:pt>
                <c:pt idx="103">
                  <c:v>45688</c:v>
                </c:pt>
                <c:pt idx="104">
                  <c:v>45689</c:v>
                </c:pt>
                <c:pt idx="105">
                  <c:v>45690</c:v>
                </c:pt>
                <c:pt idx="106">
                  <c:v>45691</c:v>
                </c:pt>
                <c:pt idx="107">
                  <c:v>45692</c:v>
                </c:pt>
                <c:pt idx="108">
                  <c:v>45693</c:v>
                </c:pt>
                <c:pt idx="109">
                  <c:v>45694</c:v>
                </c:pt>
                <c:pt idx="110">
                  <c:v>45695</c:v>
                </c:pt>
                <c:pt idx="111">
                  <c:v>45696</c:v>
                </c:pt>
                <c:pt idx="112">
                  <c:v>45697</c:v>
                </c:pt>
                <c:pt idx="113">
                  <c:v>45698</c:v>
                </c:pt>
                <c:pt idx="114">
                  <c:v>45699</c:v>
                </c:pt>
                <c:pt idx="115">
                  <c:v>45700</c:v>
                </c:pt>
                <c:pt idx="116">
                  <c:v>45701</c:v>
                </c:pt>
                <c:pt idx="117">
                  <c:v>45702</c:v>
                </c:pt>
                <c:pt idx="118">
                  <c:v>45703</c:v>
                </c:pt>
                <c:pt idx="119">
                  <c:v>45704</c:v>
                </c:pt>
                <c:pt idx="120">
                  <c:v>45705</c:v>
                </c:pt>
                <c:pt idx="121">
                  <c:v>45706</c:v>
                </c:pt>
                <c:pt idx="122">
                  <c:v>45707</c:v>
                </c:pt>
                <c:pt idx="123">
                  <c:v>45708</c:v>
                </c:pt>
                <c:pt idx="124">
                  <c:v>45709</c:v>
                </c:pt>
                <c:pt idx="125">
                  <c:v>45710</c:v>
                </c:pt>
                <c:pt idx="126">
                  <c:v>45711</c:v>
                </c:pt>
                <c:pt idx="127">
                  <c:v>45712</c:v>
                </c:pt>
                <c:pt idx="128">
                  <c:v>45713</c:v>
                </c:pt>
                <c:pt idx="129">
                  <c:v>45714</c:v>
                </c:pt>
                <c:pt idx="130">
                  <c:v>45715</c:v>
                </c:pt>
                <c:pt idx="131">
                  <c:v>45716</c:v>
                </c:pt>
                <c:pt idx="132">
                  <c:v>45717</c:v>
                </c:pt>
                <c:pt idx="133">
                  <c:v>45718</c:v>
                </c:pt>
                <c:pt idx="134">
                  <c:v>45719</c:v>
                </c:pt>
                <c:pt idx="135">
                  <c:v>45720</c:v>
                </c:pt>
                <c:pt idx="136">
                  <c:v>45721</c:v>
                </c:pt>
                <c:pt idx="137">
                  <c:v>45722</c:v>
                </c:pt>
                <c:pt idx="138">
                  <c:v>45723</c:v>
                </c:pt>
                <c:pt idx="139">
                  <c:v>45724</c:v>
                </c:pt>
                <c:pt idx="140">
                  <c:v>45725</c:v>
                </c:pt>
                <c:pt idx="141">
                  <c:v>45726</c:v>
                </c:pt>
                <c:pt idx="142">
                  <c:v>45727</c:v>
                </c:pt>
                <c:pt idx="143">
                  <c:v>45728</c:v>
                </c:pt>
                <c:pt idx="144">
                  <c:v>45729</c:v>
                </c:pt>
                <c:pt idx="145">
                  <c:v>45730</c:v>
                </c:pt>
                <c:pt idx="146">
                  <c:v>45731</c:v>
                </c:pt>
                <c:pt idx="147">
                  <c:v>45732</c:v>
                </c:pt>
                <c:pt idx="148">
                  <c:v>45733</c:v>
                </c:pt>
                <c:pt idx="149">
                  <c:v>45734</c:v>
                </c:pt>
                <c:pt idx="150">
                  <c:v>45735</c:v>
                </c:pt>
                <c:pt idx="151">
                  <c:v>45736</c:v>
                </c:pt>
                <c:pt idx="152">
                  <c:v>45737</c:v>
                </c:pt>
                <c:pt idx="153">
                  <c:v>45738</c:v>
                </c:pt>
                <c:pt idx="154">
                  <c:v>45739</c:v>
                </c:pt>
                <c:pt idx="155">
                  <c:v>45740</c:v>
                </c:pt>
                <c:pt idx="156">
                  <c:v>45741</c:v>
                </c:pt>
                <c:pt idx="157">
                  <c:v>45742</c:v>
                </c:pt>
                <c:pt idx="158">
                  <c:v>45743</c:v>
                </c:pt>
                <c:pt idx="159">
                  <c:v>45744</c:v>
                </c:pt>
                <c:pt idx="160">
                  <c:v>45745</c:v>
                </c:pt>
                <c:pt idx="161">
                  <c:v>45746</c:v>
                </c:pt>
                <c:pt idx="162">
                  <c:v>45747</c:v>
                </c:pt>
                <c:pt idx="163">
                  <c:v>45748</c:v>
                </c:pt>
                <c:pt idx="164">
                  <c:v>45749</c:v>
                </c:pt>
                <c:pt idx="165">
                  <c:v>45750</c:v>
                </c:pt>
                <c:pt idx="166">
                  <c:v>45751</c:v>
                </c:pt>
                <c:pt idx="167">
                  <c:v>45752</c:v>
                </c:pt>
                <c:pt idx="168">
                  <c:v>45753</c:v>
                </c:pt>
                <c:pt idx="169">
                  <c:v>45754</c:v>
                </c:pt>
                <c:pt idx="170">
                  <c:v>45755</c:v>
                </c:pt>
                <c:pt idx="171">
                  <c:v>45756</c:v>
                </c:pt>
                <c:pt idx="172">
                  <c:v>45757</c:v>
                </c:pt>
                <c:pt idx="173">
                  <c:v>45758</c:v>
                </c:pt>
                <c:pt idx="174">
                  <c:v>45759</c:v>
                </c:pt>
                <c:pt idx="175">
                  <c:v>45760</c:v>
                </c:pt>
                <c:pt idx="176">
                  <c:v>45761</c:v>
                </c:pt>
                <c:pt idx="177">
                  <c:v>45762</c:v>
                </c:pt>
                <c:pt idx="178">
                  <c:v>45763</c:v>
                </c:pt>
                <c:pt idx="179">
                  <c:v>45764</c:v>
                </c:pt>
                <c:pt idx="180">
                  <c:v>45765</c:v>
                </c:pt>
                <c:pt idx="181">
                  <c:v>45766</c:v>
                </c:pt>
                <c:pt idx="182">
                  <c:v>45767</c:v>
                </c:pt>
                <c:pt idx="183">
                  <c:v>45768</c:v>
                </c:pt>
                <c:pt idx="184">
                  <c:v>45769</c:v>
                </c:pt>
                <c:pt idx="185">
                  <c:v>45770</c:v>
                </c:pt>
                <c:pt idx="186">
                  <c:v>45771</c:v>
                </c:pt>
                <c:pt idx="187">
                  <c:v>45772</c:v>
                </c:pt>
                <c:pt idx="188">
                  <c:v>45773</c:v>
                </c:pt>
                <c:pt idx="189">
                  <c:v>45774</c:v>
                </c:pt>
                <c:pt idx="190">
                  <c:v>45775</c:v>
                </c:pt>
                <c:pt idx="191">
                  <c:v>45776</c:v>
                </c:pt>
                <c:pt idx="192">
                  <c:v>45777</c:v>
                </c:pt>
                <c:pt idx="193">
                  <c:v>45778</c:v>
                </c:pt>
                <c:pt idx="194">
                  <c:v>45779</c:v>
                </c:pt>
                <c:pt idx="195">
                  <c:v>45780</c:v>
                </c:pt>
                <c:pt idx="196">
                  <c:v>45781</c:v>
                </c:pt>
                <c:pt idx="197">
                  <c:v>45782</c:v>
                </c:pt>
                <c:pt idx="198">
                  <c:v>45783</c:v>
                </c:pt>
                <c:pt idx="199">
                  <c:v>45784</c:v>
                </c:pt>
                <c:pt idx="200">
                  <c:v>45785</c:v>
                </c:pt>
                <c:pt idx="201">
                  <c:v>45786</c:v>
                </c:pt>
                <c:pt idx="202">
                  <c:v>45787</c:v>
                </c:pt>
                <c:pt idx="203">
                  <c:v>45788</c:v>
                </c:pt>
                <c:pt idx="204">
                  <c:v>45789</c:v>
                </c:pt>
                <c:pt idx="205">
                  <c:v>45790</c:v>
                </c:pt>
                <c:pt idx="206">
                  <c:v>45791</c:v>
                </c:pt>
                <c:pt idx="207">
                  <c:v>45792</c:v>
                </c:pt>
                <c:pt idx="208">
                  <c:v>45793</c:v>
                </c:pt>
                <c:pt idx="209">
                  <c:v>45794</c:v>
                </c:pt>
                <c:pt idx="210">
                  <c:v>45795</c:v>
                </c:pt>
                <c:pt idx="211">
                  <c:v>45796</c:v>
                </c:pt>
                <c:pt idx="212">
                  <c:v>45797</c:v>
                </c:pt>
                <c:pt idx="213">
                  <c:v>45798</c:v>
                </c:pt>
                <c:pt idx="214">
                  <c:v>45799</c:v>
                </c:pt>
                <c:pt idx="215">
                  <c:v>45800</c:v>
                </c:pt>
                <c:pt idx="216">
                  <c:v>45801</c:v>
                </c:pt>
                <c:pt idx="217">
                  <c:v>45802</c:v>
                </c:pt>
                <c:pt idx="218">
                  <c:v>45803</c:v>
                </c:pt>
                <c:pt idx="219">
                  <c:v>45804</c:v>
                </c:pt>
                <c:pt idx="220">
                  <c:v>45805</c:v>
                </c:pt>
                <c:pt idx="221">
                  <c:v>45806</c:v>
                </c:pt>
                <c:pt idx="222">
                  <c:v>45807</c:v>
                </c:pt>
                <c:pt idx="223">
                  <c:v>45808</c:v>
                </c:pt>
              </c:numCache>
            </c:numRef>
          </c:xVal>
          <c:yVal>
            <c:numRef>
              <c:f>'Km83+940'!$AH$11:$AH$322</c:f>
              <c:numCache>
                <c:formatCode>0</c:formatCode>
                <c:ptCount val="312"/>
                <c:pt idx="0">
                  <c:v>0</c:v>
                </c:pt>
                <c:pt idx="1">
                  <c:v>-5</c:v>
                </c:pt>
                <c:pt idx="2">
                  <c:v>-10</c:v>
                </c:pt>
                <c:pt idx="3">
                  <c:v>-15</c:v>
                </c:pt>
                <c:pt idx="4">
                  <c:v>-19</c:v>
                </c:pt>
                <c:pt idx="5">
                  <c:v>-28</c:v>
                </c:pt>
                <c:pt idx="6">
                  <c:v>-37</c:v>
                </c:pt>
                <c:pt idx="7">
                  <c:v>-45</c:v>
                </c:pt>
                <c:pt idx="8">
                  <c:v>-52</c:v>
                </c:pt>
                <c:pt idx="9">
                  <c:v>-61</c:v>
                </c:pt>
                <c:pt idx="10">
                  <c:v>-70</c:v>
                </c:pt>
                <c:pt idx="11">
                  <c:v>-78</c:v>
                </c:pt>
                <c:pt idx="12">
                  <c:v>-85</c:v>
                </c:pt>
                <c:pt idx="13">
                  <c:v>-90</c:v>
                </c:pt>
                <c:pt idx="14">
                  <c:v>-99</c:v>
                </c:pt>
                <c:pt idx="15">
                  <c:v>-106</c:v>
                </c:pt>
                <c:pt idx="16">
                  <c:v>-112</c:v>
                </c:pt>
                <c:pt idx="17">
                  <c:v>-118</c:v>
                </c:pt>
                <c:pt idx="18">
                  <c:v>-124</c:v>
                </c:pt>
                <c:pt idx="19">
                  <c:v>-131</c:v>
                </c:pt>
                <c:pt idx="20">
                  <c:v>-137</c:v>
                </c:pt>
                <c:pt idx="21">
                  <c:v>-142</c:v>
                </c:pt>
                <c:pt idx="22">
                  <c:v>-147</c:v>
                </c:pt>
                <c:pt idx="23">
                  <c:v>-153</c:v>
                </c:pt>
                <c:pt idx="24">
                  <c:v>-158</c:v>
                </c:pt>
                <c:pt idx="25">
                  <c:v>-163</c:v>
                </c:pt>
                <c:pt idx="26">
                  <c:v>-168</c:v>
                </c:pt>
                <c:pt idx="27">
                  <c:v>-173</c:v>
                </c:pt>
                <c:pt idx="28">
                  <c:v>-177</c:v>
                </c:pt>
                <c:pt idx="29">
                  <c:v>-182</c:v>
                </c:pt>
                <c:pt idx="30">
                  <c:v>-188</c:v>
                </c:pt>
                <c:pt idx="31">
                  <c:v>-193</c:v>
                </c:pt>
                <c:pt idx="32">
                  <c:v>-198</c:v>
                </c:pt>
                <c:pt idx="33">
                  <c:v>-202</c:v>
                </c:pt>
                <c:pt idx="34">
                  <c:v>-207</c:v>
                </c:pt>
                <c:pt idx="35">
                  <c:v>-211</c:v>
                </c:pt>
                <c:pt idx="36">
                  <c:v>-215</c:v>
                </c:pt>
                <c:pt idx="37">
                  <c:v>-218</c:v>
                </c:pt>
                <c:pt idx="38">
                  <c:v>-221</c:v>
                </c:pt>
                <c:pt idx="39">
                  <c:v>-224</c:v>
                </c:pt>
                <c:pt idx="40">
                  <c:v>-226</c:v>
                </c:pt>
                <c:pt idx="41">
                  <c:v>-228</c:v>
                </c:pt>
                <c:pt idx="42">
                  <c:v>-230</c:v>
                </c:pt>
                <c:pt idx="43">
                  <c:v>-232</c:v>
                </c:pt>
                <c:pt idx="44">
                  <c:v>-233</c:v>
                </c:pt>
                <c:pt idx="45">
                  <c:v>-234</c:v>
                </c:pt>
                <c:pt idx="46">
                  <c:v>-235</c:v>
                </c:pt>
                <c:pt idx="47">
                  <c:v>-236</c:v>
                </c:pt>
                <c:pt idx="48">
                  <c:v>-237</c:v>
                </c:pt>
                <c:pt idx="49">
                  <c:v>-238</c:v>
                </c:pt>
                <c:pt idx="50">
                  <c:v>-239</c:v>
                </c:pt>
                <c:pt idx="51">
                  <c:v>-239</c:v>
                </c:pt>
                <c:pt idx="52">
                  <c:v>-239</c:v>
                </c:pt>
                <c:pt idx="53">
                  <c:v>-241</c:v>
                </c:pt>
                <c:pt idx="54">
                  <c:v>-241</c:v>
                </c:pt>
                <c:pt idx="55">
                  <c:v>-244</c:v>
                </c:pt>
                <c:pt idx="56">
                  <c:v>-244</c:v>
                </c:pt>
                <c:pt idx="57">
                  <c:v>-247</c:v>
                </c:pt>
                <c:pt idx="58">
                  <c:v>-247</c:v>
                </c:pt>
                <c:pt idx="59">
                  <c:v>-249</c:v>
                </c:pt>
                <c:pt idx="60">
                  <c:v>-249</c:v>
                </c:pt>
                <c:pt idx="61">
                  <c:v>-252</c:v>
                </c:pt>
                <c:pt idx="62">
                  <c:v>-253</c:v>
                </c:pt>
                <c:pt idx="63">
                  <c:v>-253</c:v>
                </c:pt>
                <c:pt idx="64">
                  <c:v>-255</c:v>
                </c:pt>
                <c:pt idx="65">
                  <c:v>-255</c:v>
                </c:pt>
                <c:pt idx="66">
                  <c:v>-258</c:v>
                </c:pt>
                <c:pt idx="67">
                  <c:v>-258</c:v>
                </c:pt>
                <c:pt idx="68">
                  <c:v>-258</c:v>
                </c:pt>
                <c:pt idx="69">
                  <c:v>-261</c:v>
                </c:pt>
                <c:pt idx="70">
                  <c:v>-264</c:v>
                </c:pt>
                <c:pt idx="71">
                  <c:v>-266</c:v>
                </c:pt>
                <c:pt idx="72">
                  <c:v>-266</c:v>
                </c:pt>
                <c:pt idx="73">
                  <c:v>-266</c:v>
                </c:pt>
                <c:pt idx="74">
                  <c:v>-267</c:v>
                </c:pt>
                <c:pt idx="75">
                  <c:v>-268</c:v>
                </c:pt>
                <c:pt idx="76">
                  <c:v>-268</c:v>
                </c:pt>
                <c:pt idx="77">
                  <c:v>-269</c:v>
                </c:pt>
                <c:pt idx="78">
                  <c:v>-272</c:v>
                </c:pt>
                <c:pt idx="79">
                  <c:v>-273</c:v>
                </c:pt>
                <c:pt idx="80">
                  <c:v>-275</c:v>
                </c:pt>
                <c:pt idx="81">
                  <c:v>-277</c:v>
                </c:pt>
                <c:pt idx="82">
                  <c:v>-278</c:v>
                </c:pt>
                <c:pt idx="83">
                  <c:v>-278</c:v>
                </c:pt>
                <c:pt idx="84">
                  <c:v>-281</c:v>
                </c:pt>
                <c:pt idx="85">
                  <c:v>-281</c:v>
                </c:pt>
                <c:pt idx="86">
                  <c:v>-281</c:v>
                </c:pt>
                <c:pt idx="87">
                  <c:v>-281</c:v>
                </c:pt>
                <c:pt idx="88">
                  <c:v>-282</c:v>
                </c:pt>
                <c:pt idx="89">
                  <c:v>-282</c:v>
                </c:pt>
                <c:pt idx="90">
                  <c:v>-282</c:v>
                </c:pt>
                <c:pt idx="91">
                  <c:v>-282</c:v>
                </c:pt>
                <c:pt idx="92">
                  <c:v>-284</c:v>
                </c:pt>
                <c:pt idx="93">
                  <c:v>-284</c:v>
                </c:pt>
                <c:pt idx="94">
                  <c:v>-284</c:v>
                </c:pt>
                <c:pt idx="95">
                  <c:v>-287</c:v>
                </c:pt>
                <c:pt idx="96">
                  <c:v>-287</c:v>
                </c:pt>
                <c:pt idx="97">
                  <c:v>-287</c:v>
                </c:pt>
                <c:pt idx="98">
                  <c:v>-287</c:v>
                </c:pt>
                <c:pt idx="99">
                  <c:v>-287</c:v>
                </c:pt>
                <c:pt idx="100">
                  <c:v>-288</c:v>
                </c:pt>
                <c:pt idx="101">
                  <c:v>-290</c:v>
                </c:pt>
                <c:pt idx="102">
                  <c:v>-290</c:v>
                </c:pt>
                <c:pt idx="103">
                  <c:v>-291</c:v>
                </c:pt>
                <c:pt idx="104">
                  <c:v>-291</c:v>
                </c:pt>
                <c:pt idx="105">
                  <c:v>-291</c:v>
                </c:pt>
                <c:pt idx="106">
                  <c:v>-293</c:v>
                </c:pt>
                <c:pt idx="107">
                  <c:v>-297</c:v>
                </c:pt>
                <c:pt idx="108">
                  <c:v>-299</c:v>
                </c:pt>
                <c:pt idx="109">
                  <c:v>-299</c:v>
                </c:pt>
                <c:pt idx="110">
                  <c:v>-299</c:v>
                </c:pt>
                <c:pt idx="111">
                  <c:v>-301</c:v>
                </c:pt>
                <c:pt idx="112">
                  <c:v>-301</c:v>
                </c:pt>
                <c:pt idx="113">
                  <c:v>-301</c:v>
                </c:pt>
                <c:pt idx="114">
                  <c:v>-301</c:v>
                </c:pt>
                <c:pt idx="115">
                  <c:v>-301</c:v>
                </c:pt>
                <c:pt idx="116">
                  <c:v>-301</c:v>
                </c:pt>
                <c:pt idx="117">
                  <c:v>-301</c:v>
                </c:pt>
                <c:pt idx="118">
                  <c:v>-301</c:v>
                </c:pt>
                <c:pt idx="119">
                  <c:v>-301</c:v>
                </c:pt>
                <c:pt idx="120">
                  <c:v>-303</c:v>
                </c:pt>
                <c:pt idx="121">
                  <c:v>-303</c:v>
                </c:pt>
                <c:pt idx="122">
                  <c:v>-306</c:v>
                </c:pt>
                <c:pt idx="123">
                  <c:v>-306</c:v>
                </c:pt>
                <c:pt idx="124">
                  <c:v>-306</c:v>
                </c:pt>
                <c:pt idx="125">
                  <c:v>-307</c:v>
                </c:pt>
                <c:pt idx="126">
                  <c:v>-308</c:v>
                </c:pt>
                <c:pt idx="127">
                  <c:v>-308</c:v>
                </c:pt>
                <c:pt idx="128">
                  <c:v>-310</c:v>
                </c:pt>
                <c:pt idx="129">
                  <c:v>-310</c:v>
                </c:pt>
                <c:pt idx="130">
                  <c:v>-314</c:v>
                </c:pt>
                <c:pt idx="131">
                  <c:v>-314</c:v>
                </c:pt>
                <c:pt idx="132">
                  <c:v>-314</c:v>
                </c:pt>
                <c:pt idx="133">
                  <c:v>-314</c:v>
                </c:pt>
                <c:pt idx="134">
                  <c:v>-316</c:v>
                </c:pt>
                <c:pt idx="135">
                  <c:v>-316</c:v>
                </c:pt>
                <c:pt idx="136">
                  <c:v>-316</c:v>
                </c:pt>
                <c:pt idx="137">
                  <c:v>-316</c:v>
                </c:pt>
                <c:pt idx="138">
                  <c:v>-316</c:v>
                </c:pt>
                <c:pt idx="139">
                  <c:v>-318</c:v>
                </c:pt>
                <c:pt idx="140">
                  <c:v>-318</c:v>
                </c:pt>
                <c:pt idx="141">
                  <c:v>-318</c:v>
                </c:pt>
                <c:pt idx="142">
                  <c:v>-318</c:v>
                </c:pt>
                <c:pt idx="143">
                  <c:v>-318</c:v>
                </c:pt>
                <c:pt idx="144">
                  <c:v>-321</c:v>
                </c:pt>
                <c:pt idx="145">
                  <c:v>-321</c:v>
                </c:pt>
                <c:pt idx="146">
                  <c:v>-321</c:v>
                </c:pt>
                <c:pt idx="147">
                  <c:v>-321</c:v>
                </c:pt>
                <c:pt idx="148">
                  <c:v>-321</c:v>
                </c:pt>
                <c:pt idx="149">
                  <c:v>-323</c:v>
                </c:pt>
                <c:pt idx="150">
                  <c:v>-323</c:v>
                </c:pt>
                <c:pt idx="151">
                  <c:v>-324</c:v>
                </c:pt>
                <c:pt idx="152">
                  <c:v>-325</c:v>
                </c:pt>
                <c:pt idx="153">
                  <c:v>-325</c:v>
                </c:pt>
                <c:pt idx="154">
                  <c:v>-327</c:v>
                </c:pt>
                <c:pt idx="155">
                  <c:v>-327</c:v>
                </c:pt>
                <c:pt idx="156">
                  <c:v>-327</c:v>
                </c:pt>
                <c:pt idx="157">
                  <c:v>-327</c:v>
                </c:pt>
                <c:pt idx="158">
                  <c:v>-327</c:v>
                </c:pt>
                <c:pt idx="159">
                  <c:v>-327</c:v>
                </c:pt>
                <c:pt idx="160">
                  <c:v>-327</c:v>
                </c:pt>
                <c:pt idx="161">
                  <c:v>-329</c:v>
                </c:pt>
                <c:pt idx="162">
                  <c:v>-329</c:v>
                </c:pt>
                <c:pt idx="163">
                  <c:v>-329</c:v>
                </c:pt>
                <c:pt idx="164">
                  <c:v>-330</c:v>
                </c:pt>
                <c:pt idx="165">
                  <c:v>-331</c:v>
                </c:pt>
                <c:pt idx="166">
                  <c:v>-331</c:v>
                </c:pt>
                <c:pt idx="167">
                  <c:v>-332</c:v>
                </c:pt>
                <c:pt idx="168">
                  <c:v>-332</c:v>
                </c:pt>
                <c:pt idx="169">
                  <c:v>-333</c:v>
                </c:pt>
                <c:pt idx="170">
                  <c:v>-335</c:v>
                </c:pt>
                <c:pt idx="171">
                  <c:v>-337</c:v>
                </c:pt>
                <c:pt idx="172">
                  <c:v>-346</c:v>
                </c:pt>
                <c:pt idx="173">
                  <c:v>-355</c:v>
                </c:pt>
                <c:pt idx="174">
                  <c:v>-364</c:v>
                </c:pt>
                <c:pt idx="175">
                  <c:v>-373</c:v>
                </c:pt>
                <c:pt idx="176">
                  <c:v>-381</c:v>
                </c:pt>
                <c:pt idx="177">
                  <c:v>-390</c:v>
                </c:pt>
                <c:pt idx="178">
                  <c:v>-398</c:v>
                </c:pt>
                <c:pt idx="179">
                  <c:v>-406</c:v>
                </c:pt>
                <c:pt idx="180">
                  <c:v>-415</c:v>
                </c:pt>
                <c:pt idx="181">
                  <c:v>-423</c:v>
                </c:pt>
                <c:pt idx="182">
                  <c:v>-431</c:v>
                </c:pt>
                <c:pt idx="183">
                  <c:v>-440</c:v>
                </c:pt>
                <c:pt idx="184">
                  <c:v>-449</c:v>
                </c:pt>
                <c:pt idx="185">
                  <c:v>-457</c:v>
                </c:pt>
                <c:pt idx="186">
                  <c:v>-465</c:v>
                </c:pt>
                <c:pt idx="187">
                  <c:v>-472</c:v>
                </c:pt>
                <c:pt idx="188">
                  <c:v>-480</c:v>
                </c:pt>
                <c:pt idx="189">
                  <c:v>-489</c:v>
                </c:pt>
                <c:pt idx="190">
                  <c:v>-498</c:v>
                </c:pt>
                <c:pt idx="191">
                  <c:v>-506</c:v>
                </c:pt>
                <c:pt idx="192">
                  <c:v>-514</c:v>
                </c:pt>
                <c:pt idx="193">
                  <c:v>-522</c:v>
                </c:pt>
                <c:pt idx="194">
                  <c:v>-530</c:v>
                </c:pt>
                <c:pt idx="195">
                  <c:v>-538</c:v>
                </c:pt>
                <c:pt idx="196">
                  <c:v>-546</c:v>
                </c:pt>
                <c:pt idx="197">
                  <c:v>-555</c:v>
                </c:pt>
                <c:pt idx="198">
                  <c:v>-563</c:v>
                </c:pt>
                <c:pt idx="199">
                  <c:v>-572</c:v>
                </c:pt>
                <c:pt idx="200">
                  <c:v>-580</c:v>
                </c:pt>
                <c:pt idx="201">
                  <c:v>-587</c:v>
                </c:pt>
                <c:pt idx="202">
                  <c:v>-594</c:v>
                </c:pt>
                <c:pt idx="203">
                  <c:v>-602</c:v>
                </c:pt>
                <c:pt idx="204">
                  <c:v>-610</c:v>
                </c:pt>
                <c:pt idx="205">
                  <c:v>-619</c:v>
                </c:pt>
                <c:pt idx="206">
                  <c:v>-627</c:v>
                </c:pt>
                <c:pt idx="207">
                  <c:v>-636</c:v>
                </c:pt>
                <c:pt idx="208">
                  <c:v>-644</c:v>
                </c:pt>
                <c:pt idx="209">
                  <c:v>-653</c:v>
                </c:pt>
                <c:pt idx="210">
                  <c:v>-662</c:v>
                </c:pt>
                <c:pt idx="211">
                  <c:v>-670</c:v>
                </c:pt>
                <c:pt idx="212">
                  <c:v>-678</c:v>
                </c:pt>
                <c:pt idx="213">
                  <c:v>-687</c:v>
                </c:pt>
                <c:pt idx="214">
                  <c:v>-696</c:v>
                </c:pt>
                <c:pt idx="215">
                  <c:v>-705</c:v>
                </c:pt>
                <c:pt idx="216">
                  <c:v>-712</c:v>
                </c:pt>
                <c:pt idx="217">
                  <c:v>-720</c:v>
                </c:pt>
                <c:pt idx="218">
                  <c:v>-727</c:v>
                </c:pt>
                <c:pt idx="219">
                  <c:v>-736</c:v>
                </c:pt>
                <c:pt idx="220">
                  <c:v>-744</c:v>
                </c:pt>
                <c:pt idx="221">
                  <c:v>-751</c:v>
                </c:pt>
                <c:pt idx="222">
                  <c:v>-758</c:v>
                </c:pt>
                <c:pt idx="223">
                  <c:v>-765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15-4B98-A59F-F4F2CB2C5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475200"/>
        <c:axId val="586475776"/>
      </c:scatterChart>
      <c:scatterChart>
        <c:scatterStyle val="lineMarker"/>
        <c:varyColors val="0"/>
        <c:ser>
          <c:idx val="0"/>
          <c:order val="0"/>
          <c:tx>
            <c:strRef>
              <c:f>'Km83+940'!$AJ$8:$AJ$9</c:f>
              <c:strCache>
                <c:ptCount val="2"/>
                <c:pt idx="0">
                  <c:v>Cao độ nền đường</c:v>
                </c:pt>
              </c:strCache>
            </c:strRef>
          </c:tx>
          <c:marker>
            <c:symbol val="diamond"/>
            <c:size val="2"/>
            <c:spPr>
              <a:solidFill>
                <a:srgbClr val="000080"/>
              </a:solidFill>
              <a:ln w="12700">
                <a:solidFill>
                  <a:srgbClr val="000080"/>
                </a:solidFill>
                <a:prstDash val="solid"/>
              </a:ln>
            </c:spPr>
          </c:marker>
          <c:xVal>
            <c:numRef>
              <c:f>'Km83+940'!$B$11:$B$319</c:f>
              <c:numCache>
                <c:formatCode>[$-1010000]d/m/yyyy;@</c:formatCode>
                <c:ptCount val="309"/>
                <c:pt idx="0">
                  <c:v>45585</c:v>
                </c:pt>
                <c:pt idx="1">
                  <c:v>45586</c:v>
                </c:pt>
                <c:pt idx="2">
                  <c:v>45587</c:v>
                </c:pt>
                <c:pt idx="3">
                  <c:v>45588</c:v>
                </c:pt>
                <c:pt idx="4">
                  <c:v>45589</c:v>
                </c:pt>
                <c:pt idx="5">
                  <c:v>45590</c:v>
                </c:pt>
                <c:pt idx="6">
                  <c:v>45591</c:v>
                </c:pt>
                <c:pt idx="7">
                  <c:v>45592</c:v>
                </c:pt>
                <c:pt idx="8">
                  <c:v>45593</c:v>
                </c:pt>
                <c:pt idx="9">
                  <c:v>45594</c:v>
                </c:pt>
                <c:pt idx="10">
                  <c:v>45595</c:v>
                </c:pt>
                <c:pt idx="11">
                  <c:v>45596</c:v>
                </c:pt>
                <c:pt idx="12">
                  <c:v>45597</c:v>
                </c:pt>
                <c:pt idx="13">
                  <c:v>45598</c:v>
                </c:pt>
                <c:pt idx="14">
                  <c:v>45599</c:v>
                </c:pt>
                <c:pt idx="15">
                  <c:v>45600</c:v>
                </c:pt>
                <c:pt idx="16">
                  <c:v>45601</c:v>
                </c:pt>
                <c:pt idx="17">
                  <c:v>45602</c:v>
                </c:pt>
                <c:pt idx="18">
                  <c:v>45603</c:v>
                </c:pt>
                <c:pt idx="19">
                  <c:v>45604</c:v>
                </c:pt>
                <c:pt idx="20">
                  <c:v>45605</c:v>
                </c:pt>
                <c:pt idx="21">
                  <c:v>45606</c:v>
                </c:pt>
                <c:pt idx="22">
                  <c:v>45607</c:v>
                </c:pt>
                <c:pt idx="23">
                  <c:v>45608</c:v>
                </c:pt>
                <c:pt idx="24">
                  <c:v>45609</c:v>
                </c:pt>
                <c:pt idx="25">
                  <c:v>45610</c:v>
                </c:pt>
                <c:pt idx="26">
                  <c:v>45611</c:v>
                </c:pt>
                <c:pt idx="27">
                  <c:v>45612</c:v>
                </c:pt>
                <c:pt idx="28">
                  <c:v>45613</c:v>
                </c:pt>
                <c:pt idx="29">
                  <c:v>45614</c:v>
                </c:pt>
                <c:pt idx="30">
                  <c:v>45615</c:v>
                </c:pt>
                <c:pt idx="31">
                  <c:v>45616</c:v>
                </c:pt>
                <c:pt idx="32">
                  <c:v>45617</c:v>
                </c:pt>
                <c:pt idx="33">
                  <c:v>45618</c:v>
                </c:pt>
                <c:pt idx="34">
                  <c:v>45619</c:v>
                </c:pt>
                <c:pt idx="35">
                  <c:v>45620</c:v>
                </c:pt>
                <c:pt idx="36">
                  <c:v>45621</c:v>
                </c:pt>
                <c:pt idx="37">
                  <c:v>45622</c:v>
                </c:pt>
                <c:pt idx="38">
                  <c:v>45623</c:v>
                </c:pt>
                <c:pt idx="39">
                  <c:v>45624</c:v>
                </c:pt>
                <c:pt idx="40">
                  <c:v>45625</c:v>
                </c:pt>
                <c:pt idx="41">
                  <c:v>45626</c:v>
                </c:pt>
                <c:pt idx="42">
                  <c:v>45627</c:v>
                </c:pt>
                <c:pt idx="43">
                  <c:v>45628</c:v>
                </c:pt>
                <c:pt idx="44">
                  <c:v>45629</c:v>
                </c:pt>
                <c:pt idx="45">
                  <c:v>45630</c:v>
                </c:pt>
                <c:pt idx="46">
                  <c:v>45631</c:v>
                </c:pt>
                <c:pt idx="47">
                  <c:v>45632</c:v>
                </c:pt>
                <c:pt idx="48">
                  <c:v>45633</c:v>
                </c:pt>
                <c:pt idx="49">
                  <c:v>45634</c:v>
                </c:pt>
                <c:pt idx="50">
                  <c:v>45635</c:v>
                </c:pt>
                <c:pt idx="51">
                  <c:v>45636</c:v>
                </c:pt>
                <c:pt idx="52">
                  <c:v>45637</c:v>
                </c:pt>
                <c:pt idx="53">
                  <c:v>45638</c:v>
                </c:pt>
                <c:pt idx="54">
                  <c:v>45639</c:v>
                </c:pt>
                <c:pt idx="55">
                  <c:v>45640</c:v>
                </c:pt>
                <c:pt idx="56">
                  <c:v>45641</c:v>
                </c:pt>
                <c:pt idx="57">
                  <c:v>45642</c:v>
                </c:pt>
                <c:pt idx="58">
                  <c:v>45643</c:v>
                </c:pt>
                <c:pt idx="59">
                  <c:v>45644</c:v>
                </c:pt>
                <c:pt idx="60">
                  <c:v>45645</c:v>
                </c:pt>
                <c:pt idx="61">
                  <c:v>45646</c:v>
                </c:pt>
                <c:pt idx="62">
                  <c:v>45647</c:v>
                </c:pt>
                <c:pt idx="63">
                  <c:v>45648</c:v>
                </c:pt>
                <c:pt idx="64">
                  <c:v>45649</c:v>
                </c:pt>
                <c:pt idx="65">
                  <c:v>45650</c:v>
                </c:pt>
                <c:pt idx="66">
                  <c:v>45651</c:v>
                </c:pt>
                <c:pt idx="67">
                  <c:v>45652</c:v>
                </c:pt>
                <c:pt idx="68">
                  <c:v>45653</c:v>
                </c:pt>
                <c:pt idx="69">
                  <c:v>45654</c:v>
                </c:pt>
                <c:pt idx="70">
                  <c:v>45655</c:v>
                </c:pt>
                <c:pt idx="71">
                  <c:v>45656</c:v>
                </c:pt>
                <c:pt idx="72">
                  <c:v>45657</c:v>
                </c:pt>
                <c:pt idx="73">
                  <c:v>45658</c:v>
                </c:pt>
                <c:pt idx="74">
                  <c:v>45659</c:v>
                </c:pt>
                <c:pt idx="75">
                  <c:v>45660</c:v>
                </c:pt>
                <c:pt idx="76">
                  <c:v>45661</c:v>
                </c:pt>
                <c:pt idx="77">
                  <c:v>45662</c:v>
                </c:pt>
                <c:pt idx="78">
                  <c:v>45663</c:v>
                </c:pt>
                <c:pt idx="79">
                  <c:v>45664</c:v>
                </c:pt>
                <c:pt idx="80">
                  <c:v>45665</c:v>
                </c:pt>
                <c:pt idx="81">
                  <c:v>45666</c:v>
                </c:pt>
                <c:pt idx="82">
                  <c:v>45667</c:v>
                </c:pt>
                <c:pt idx="83">
                  <c:v>45668</c:v>
                </c:pt>
                <c:pt idx="84">
                  <c:v>45669</c:v>
                </c:pt>
                <c:pt idx="85">
                  <c:v>45670</c:v>
                </c:pt>
                <c:pt idx="86">
                  <c:v>45671</c:v>
                </c:pt>
                <c:pt idx="87">
                  <c:v>45672</c:v>
                </c:pt>
                <c:pt idx="88">
                  <c:v>45673</c:v>
                </c:pt>
                <c:pt idx="89">
                  <c:v>45674</c:v>
                </c:pt>
                <c:pt idx="90">
                  <c:v>45675</c:v>
                </c:pt>
                <c:pt idx="91">
                  <c:v>45676</c:v>
                </c:pt>
                <c:pt idx="92">
                  <c:v>45677</c:v>
                </c:pt>
                <c:pt idx="93">
                  <c:v>45678</c:v>
                </c:pt>
                <c:pt idx="94">
                  <c:v>45679</c:v>
                </c:pt>
                <c:pt idx="95">
                  <c:v>45680</c:v>
                </c:pt>
                <c:pt idx="96">
                  <c:v>45681</c:v>
                </c:pt>
                <c:pt idx="97">
                  <c:v>45682</c:v>
                </c:pt>
                <c:pt idx="98">
                  <c:v>45683</c:v>
                </c:pt>
                <c:pt idx="99">
                  <c:v>45684</c:v>
                </c:pt>
                <c:pt idx="100">
                  <c:v>45685</c:v>
                </c:pt>
                <c:pt idx="101">
                  <c:v>45686</c:v>
                </c:pt>
                <c:pt idx="102">
                  <c:v>45687</c:v>
                </c:pt>
                <c:pt idx="103">
                  <c:v>45688</c:v>
                </c:pt>
                <c:pt idx="104">
                  <c:v>45689</c:v>
                </c:pt>
                <c:pt idx="105">
                  <c:v>45690</c:v>
                </c:pt>
                <c:pt idx="106">
                  <c:v>45691</c:v>
                </c:pt>
                <c:pt idx="107">
                  <c:v>45692</c:v>
                </c:pt>
                <c:pt idx="108">
                  <c:v>45693</c:v>
                </c:pt>
                <c:pt idx="109">
                  <c:v>45694</c:v>
                </c:pt>
                <c:pt idx="110">
                  <c:v>45695</c:v>
                </c:pt>
                <c:pt idx="111">
                  <c:v>45696</c:v>
                </c:pt>
                <c:pt idx="112">
                  <c:v>45697</c:v>
                </c:pt>
                <c:pt idx="113">
                  <c:v>45698</c:v>
                </c:pt>
                <c:pt idx="114">
                  <c:v>45699</c:v>
                </c:pt>
                <c:pt idx="115">
                  <c:v>45700</c:v>
                </c:pt>
                <c:pt idx="116">
                  <c:v>45701</c:v>
                </c:pt>
                <c:pt idx="117">
                  <c:v>45702</c:v>
                </c:pt>
                <c:pt idx="118">
                  <c:v>45703</c:v>
                </c:pt>
                <c:pt idx="119">
                  <c:v>45704</c:v>
                </c:pt>
                <c:pt idx="120">
                  <c:v>45705</c:v>
                </c:pt>
                <c:pt idx="121">
                  <c:v>45706</c:v>
                </c:pt>
                <c:pt idx="122">
                  <c:v>45707</c:v>
                </c:pt>
                <c:pt idx="123">
                  <c:v>45708</c:v>
                </c:pt>
                <c:pt idx="124">
                  <c:v>45709</c:v>
                </c:pt>
                <c:pt idx="125">
                  <c:v>45710</c:v>
                </c:pt>
                <c:pt idx="126">
                  <c:v>45711</c:v>
                </c:pt>
                <c:pt idx="127">
                  <c:v>45712</c:v>
                </c:pt>
                <c:pt idx="128">
                  <c:v>45713</c:v>
                </c:pt>
                <c:pt idx="129">
                  <c:v>45714</c:v>
                </c:pt>
                <c:pt idx="130">
                  <c:v>45715</c:v>
                </c:pt>
                <c:pt idx="131">
                  <c:v>45716</c:v>
                </c:pt>
                <c:pt idx="132">
                  <c:v>45717</c:v>
                </c:pt>
                <c:pt idx="133">
                  <c:v>45718</c:v>
                </c:pt>
                <c:pt idx="134">
                  <c:v>45719</c:v>
                </c:pt>
                <c:pt idx="135">
                  <c:v>45720</c:v>
                </c:pt>
                <c:pt idx="136">
                  <c:v>45721</c:v>
                </c:pt>
                <c:pt idx="137">
                  <c:v>45722</c:v>
                </c:pt>
                <c:pt idx="138">
                  <c:v>45723</c:v>
                </c:pt>
                <c:pt idx="139">
                  <c:v>45724</c:v>
                </c:pt>
                <c:pt idx="140">
                  <c:v>45725</c:v>
                </c:pt>
                <c:pt idx="141">
                  <c:v>45726</c:v>
                </c:pt>
                <c:pt idx="142">
                  <c:v>45727</c:v>
                </c:pt>
                <c:pt idx="143">
                  <c:v>45728</c:v>
                </c:pt>
                <c:pt idx="144">
                  <c:v>45729</c:v>
                </c:pt>
                <c:pt idx="145">
                  <c:v>45730</c:v>
                </c:pt>
                <c:pt idx="146">
                  <c:v>45731</c:v>
                </c:pt>
                <c:pt idx="147">
                  <c:v>45732</c:v>
                </c:pt>
                <c:pt idx="148">
                  <c:v>45733</c:v>
                </c:pt>
                <c:pt idx="149">
                  <c:v>45734</c:v>
                </c:pt>
                <c:pt idx="150">
                  <c:v>45735</c:v>
                </c:pt>
                <c:pt idx="151">
                  <c:v>45736</c:v>
                </c:pt>
                <c:pt idx="152">
                  <c:v>45737</c:v>
                </c:pt>
                <c:pt idx="153">
                  <c:v>45738</c:v>
                </c:pt>
                <c:pt idx="154">
                  <c:v>45739</c:v>
                </c:pt>
                <c:pt idx="155">
                  <c:v>45740</c:v>
                </c:pt>
                <c:pt idx="156">
                  <c:v>45741</c:v>
                </c:pt>
                <c:pt idx="157">
                  <c:v>45742</c:v>
                </c:pt>
                <c:pt idx="158">
                  <c:v>45743</c:v>
                </c:pt>
                <c:pt idx="159">
                  <c:v>45744</c:v>
                </c:pt>
                <c:pt idx="160">
                  <c:v>45745</c:v>
                </c:pt>
                <c:pt idx="161">
                  <c:v>45746</c:v>
                </c:pt>
                <c:pt idx="162">
                  <c:v>45747</c:v>
                </c:pt>
                <c:pt idx="163">
                  <c:v>45748</c:v>
                </c:pt>
                <c:pt idx="164">
                  <c:v>45749</c:v>
                </c:pt>
                <c:pt idx="165">
                  <c:v>45750</c:v>
                </c:pt>
                <c:pt idx="166">
                  <c:v>45751</c:v>
                </c:pt>
                <c:pt idx="167">
                  <c:v>45752</c:v>
                </c:pt>
                <c:pt idx="168">
                  <c:v>45753</c:v>
                </c:pt>
                <c:pt idx="169">
                  <c:v>45754</c:v>
                </c:pt>
                <c:pt idx="170">
                  <c:v>45755</c:v>
                </c:pt>
                <c:pt idx="171">
                  <c:v>45756</c:v>
                </c:pt>
                <c:pt idx="172">
                  <c:v>45757</c:v>
                </c:pt>
                <c:pt idx="173">
                  <c:v>45758</c:v>
                </c:pt>
                <c:pt idx="174">
                  <c:v>45759</c:v>
                </c:pt>
                <c:pt idx="175">
                  <c:v>45760</c:v>
                </c:pt>
                <c:pt idx="176">
                  <c:v>45761</c:v>
                </c:pt>
                <c:pt idx="177">
                  <c:v>45762</c:v>
                </c:pt>
                <c:pt idx="178">
                  <c:v>45763</c:v>
                </c:pt>
                <c:pt idx="179">
                  <c:v>45764</c:v>
                </c:pt>
                <c:pt idx="180">
                  <c:v>45765</c:v>
                </c:pt>
                <c:pt idx="181">
                  <c:v>45766</c:v>
                </c:pt>
                <c:pt idx="182">
                  <c:v>45767</c:v>
                </c:pt>
                <c:pt idx="183">
                  <c:v>45768</c:v>
                </c:pt>
                <c:pt idx="184">
                  <c:v>45769</c:v>
                </c:pt>
                <c:pt idx="185">
                  <c:v>45770</c:v>
                </c:pt>
                <c:pt idx="186">
                  <c:v>45771</c:v>
                </c:pt>
                <c:pt idx="187">
                  <c:v>45772</c:v>
                </c:pt>
                <c:pt idx="188">
                  <c:v>45773</c:v>
                </c:pt>
                <c:pt idx="189">
                  <c:v>45774</c:v>
                </c:pt>
                <c:pt idx="190">
                  <c:v>45775</c:v>
                </c:pt>
                <c:pt idx="191">
                  <c:v>45776</c:v>
                </c:pt>
                <c:pt idx="192">
                  <c:v>45777</c:v>
                </c:pt>
                <c:pt idx="193">
                  <c:v>45778</c:v>
                </c:pt>
                <c:pt idx="194">
                  <c:v>45779</c:v>
                </c:pt>
                <c:pt idx="195">
                  <c:v>45780</c:v>
                </c:pt>
                <c:pt idx="196">
                  <c:v>45781</c:v>
                </c:pt>
                <c:pt idx="197">
                  <c:v>45782</c:v>
                </c:pt>
                <c:pt idx="198">
                  <c:v>45783</c:v>
                </c:pt>
                <c:pt idx="199">
                  <c:v>45784</c:v>
                </c:pt>
                <c:pt idx="200">
                  <c:v>45785</c:v>
                </c:pt>
                <c:pt idx="201">
                  <c:v>45786</c:v>
                </c:pt>
                <c:pt idx="202">
                  <c:v>45787</c:v>
                </c:pt>
                <c:pt idx="203">
                  <c:v>45788</c:v>
                </c:pt>
                <c:pt idx="204">
                  <c:v>45789</c:v>
                </c:pt>
                <c:pt idx="205">
                  <c:v>45790</c:v>
                </c:pt>
                <c:pt idx="206">
                  <c:v>45791</c:v>
                </c:pt>
                <c:pt idx="207">
                  <c:v>45792</c:v>
                </c:pt>
                <c:pt idx="208">
                  <c:v>45793</c:v>
                </c:pt>
                <c:pt idx="209">
                  <c:v>45794</c:v>
                </c:pt>
                <c:pt idx="210">
                  <c:v>45795</c:v>
                </c:pt>
                <c:pt idx="211">
                  <c:v>45796</c:v>
                </c:pt>
                <c:pt idx="212">
                  <c:v>45797</c:v>
                </c:pt>
                <c:pt idx="213">
                  <c:v>45798</c:v>
                </c:pt>
                <c:pt idx="214">
                  <c:v>45799</c:v>
                </c:pt>
                <c:pt idx="215">
                  <c:v>45800</c:v>
                </c:pt>
                <c:pt idx="216">
                  <c:v>45801</c:v>
                </c:pt>
                <c:pt idx="217">
                  <c:v>45802</c:v>
                </c:pt>
                <c:pt idx="218">
                  <c:v>45803</c:v>
                </c:pt>
                <c:pt idx="219">
                  <c:v>45804</c:v>
                </c:pt>
                <c:pt idx="220">
                  <c:v>45805</c:v>
                </c:pt>
                <c:pt idx="221">
                  <c:v>45806</c:v>
                </c:pt>
                <c:pt idx="222">
                  <c:v>45807</c:v>
                </c:pt>
                <c:pt idx="223">
                  <c:v>45808</c:v>
                </c:pt>
              </c:numCache>
            </c:numRef>
          </c:xVal>
          <c:yVal>
            <c:numRef>
              <c:f>'Km83+940'!$AJ$11:$AJ$319</c:f>
              <c:numCache>
                <c:formatCode>0.000</c:formatCode>
                <c:ptCount val="309"/>
                <c:pt idx="0">
                  <c:v>0.56699999999999995</c:v>
                </c:pt>
                <c:pt idx="1">
                  <c:v>0.86299999999999999</c:v>
                </c:pt>
                <c:pt idx="2">
                  <c:v>0.86</c:v>
                </c:pt>
                <c:pt idx="3">
                  <c:v>0.85199999999999998</c:v>
                </c:pt>
                <c:pt idx="4">
                  <c:v>0.84499999999999997</c:v>
                </c:pt>
                <c:pt idx="5">
                  <c:v>0.83599999999999997</c:v>
                </c:pt>
                <c:pt idx="6">
                  <c:v>1.1279999999999999</c:v>
                </c:pt>
                <c:pt idx="7">
                  <c:v>1.1199999999999999</c:v>
                </c:pt>
                <c:pt idx="8">
                  <c:v>1.1119999999999999</c:v>
                </c:pt>
                <c:pt idx="9">
                  <c:v>1.105</c:v>
                </c:pt>
                <c:pt idx="10">
                  <c:v>1.0980000000000001</c:v>
                </c:pt>
                <c:pt idx="11">
                  <c:v>1.3920000000000001</c:v>
                </c:pt>
                <c:pt idx="12">
                  <c:v>1.3860000000000001</c:v>
                </c:pt>
                <c:pt idx="13">
                  <c:v>1.3810000000000002</c:v>
                </c:pt>
                <c:pt idx="14">
                  <c:v>1.3760000000000003</c:v>
                </c:pt>
                <c:pt idx="15">
                  <c:v>1.6670000000000005</c:v>
                </c:pt>
                <c:pt idx="16">
                  <c:v>1.6580000000000006</c:v>
                </c:pt>
                <c:pt idx="17">
                  <c:v>1.6490000000000007</c:v>
                </c:pt>
                <c:pt idx="18">
                  <c:v>1.6410000000000007</c:v>
                </c:pt>
                <c:pt idx="19">
                  <c:v>1.6320000000000008</c:v>
                </c:pt>
                <c:pt idx="20">
                  <c:v>1.6240000000000008</c:v>
                </c:pt>
                <c:pt idx="21">
                  <c:v>1.6150000000000009</c:v>
                </c:pt>
                <c:pt idx="22">
                  <c:v>1.606000000000001</c:v>
                </c:pt>
                <c:pt idx="23">
                  <c:v>1.5970000000000011</c:v>
                </c:pt>
                <c:pt idx="24">
                  <c:v>1.5880000000000012</c:v>
                </c:pt>
                <c:pt idx="25">
                  <c:v>1.5790000000000013</c:v>
                </c:pt>
                <c:pt idx="26">
                  <c:v>1.5700000000000014</c:v>
                </c:pt>
                <c:pt idx="27">
                  <c:v>1.5610000000000015</c:v>
                </c:pt>
                <c:pt idx="28">
                  <c:v>1.5520000000000016</c:v>
                </c:pt>
                <c:pt idx="29">
                  <c:v>1.5430000000000017</c:v>
                </c:pt>
                <c:pt idx="30">
                  <c:v>1.5340000000000018</c:v>
                </c:pt>
                <c:pt idx="31">
                  <c:v>1.5260000000000018</c:v>
                </c:pt>
                <c:pt idx="32">
                  <c:v>1.5180000000000018</c:v>
                </c:pt>
                <c:pt idx="33">
                  <c:v>1.5100000000000018</c:v>
                </c:pt>
                <c:pt idx="34">
                  <c:v>1.5020000000000018</c:v>
                </c:pt>
                <c:pt idx="35">
                  <c:v>1.4940000000000018</c:v>
                </c:pt>
                <c:pt idx="36">
                  <c:v>1.4860000000000018</c:v>
                </c:pt>
                <c:pt idx="37">
                  <c:v>1.4790000000000019</c:v>
                </c:pt>
                <c:pt idx="38">
                  <c:v>1.472000000000002</c:v>
                </c:pt>
                <c:pt idx="39">
                  <c:v>1.4650000000000021</c:v>
                </c:pt>
                <c:pt idx="40">
                  <c:v>1.4580000000000022</c:v>
                </c:pt>
                <c:pt idx="41">
                  <c:v>1.4510000000000023</c:v>
                </c:pt>
                <c:pt idx="42">
                  <c:v>1.4440000000000024</c:v>
                </c:pt>
                <c:pt idx="43">
                  <c:v>1.4370000000000025</c:v>
                </c:pt>
                <c:pt idx="44">
                  <c:v>1.4300000000000026</c:v>
                </c:pt>
                <c:pt idx="45">
                  <c:v>1.4230000000000027</c:v>
                </c:pt>
                <c:pt idx="46">
                  <c:v>1.4160000000000028</c:v>
                </c:pt>
                <c:pt idx="47">
                  <c:v>1.4100000000000028</c:v>
                </c:pt>
                <c:pt idx="48">
                  <c:v>1.4040000000000028</c:v>
                </c:pt>
                <c:pt idx="49">
                  <c:v>1.3980000000000028</c:v>
                </c:pt>
                <c:pt idx="50">
                  <c:v>1.3920000000000028</c:v>
                </c:pt>
                <c:pt idx="51">
                  <c:v>1.3860000000000028</c:v>
                </c:pt>
                <c:pt idx="52">
                  <c:v>1.3810000000000029</c:v>
                </c:pt>
                <c:pt idx="53">
                  <c:v>1.376000000000003</c:v>
                </c:pt>
                <c:pt idx="54">
                  <c:v>1.3710000000000031</c:v>
                </c:pt>
                <c:pt idx="55">
                  <c:v>1.3660000000000032</c:v>
                </c:pt>
                <c:pt idx="56">
                  <c:v>1.3610000000000033</c:v>
                </c:pt>
                <c:pt idx="57">
                  <c:v>1.3560000000000034</c:v>
                </c:pt>
                <c:pt idx="58">
                  <c:v>1.3510000000000035</c:v>
                </c:pt>
                <c:pt idx="59">
                  <c:v>1.3460000000000036</c:v>
                </c:pt>
                <c:pt idx="60">
                  <c:v>1.3410000000000037</c:v>
                </c:pt>
                <c:pt idx="61">
                  <c:v>1.3360000000000039</c:v>
                </c:pt>
                <c:pt idx="62">
                  <c:v>1.331000000000004</c:v>
                </c:pt>
                <c:pt idx="63">
                  <c:v>1.327000000000004</c:v>
                </c:pt>
                <c:pt idx="64">
                  <c:v>1.323000000000004</c:v>
                </c:pt>
                <c:pt idx="65">
                  <c:v>1.3190000000000039</c:v>
                </c:pt>
                <c:pt idx="66">
                  <c:v>1.3150000000000039</c:v>
                </c:pt>
                <c:pt idx="67">
                  <c:v>1.3110000000000039</c:v>
                </c:pt>
                <c:pt idx="68">
                  <c:v>1.308000000000004</c:v>
                </c:pt>
                <c:pt idx="69">
                  <c:v>1.3050000000000042</c:v>
                </c:pt>
                <c:pt idx="70">
                  <c:v>1.3020000000000043</c:v>
                </c:pt>
                <c:pt idx="71">
                  <c:v>1.2990000000000044</c:v>
                </c:pt>
                <c:pt idx="72">
                  <c:v>1.2960000000000045</c:v>
                </c:pt>
                <c:pt idx="73">
                  <c:v>1.2940000000000045</c:v>
                </c:pt>
                <c:pt idx="74">
                  <c:v>1.2920000000000045</c:v>
                </c:pt>
                <c:pt idx="75">
                  <c:v>1.2900000000000045</c:v>
                </c:pt>
                <c:pt idx="76">
                  <c:v>1.2880000000000045</c:v>
                </c:pt>
                <c:pt idx="77">
                  <c:v>1.2860000000000045</c:v>
                </c:pt>
                <c:pt idx="78">
                  <c:v>1.2840000000000045</c:v>
                </c:pt>
                <c:pt idx="79">
                  <c:v>1.2820000000000045</c:v>
                </c:pt>
                <c:pt idx="80">
                  <c:v>1.2810000000000046</c:v>
                </c:pt>
                <c:pt idx="81">
                  <c:v>1.2800000000000047</c:v>
                </c:pt>
                <c:pt idx="82">
                  <c:v>1.2800000000000047</c:v>
                </c:pt>
                <c:pt idx="83">
                  <c:v>1.2790000000000048</c:v>
                </c:pt>
                <c:pt idx="84">
                  <c:v>1.2790000000000048</c:v>
                </c:pt>
                <c:pt idx="85">
                  <c:v>1.2780000000000049</c:v>
                </c:pt>
                <c:pt idx="86">
                  <c:v>1.277000000000005</c:v>
                </c:pt>
                <c:pt idx="87">
                  <c:v>1.277000000000005</c:v>
                </c:pt>
                <c:pt idx="88">
                  <c:v>1.2760000000000051</c:v>
                </c:pt>
                <c:pt idx="89">
                  <c:v>1.2750000000000052</c:v>
                </c:pt>
                <c:pt idx="90">
                  <c:v>1.2750000000000052</c:v>
                </c:pt>
                <c:pt idx="91">
                  <c:v>1.2740000000000054</c:v>
                </c:pt>
                <c:pt idx="92">
                  <c:v>1.2740000000000054</c:v>
                </c:pt>
                <c:pt idx="93">
                  <c:v>1.2740000000000054</c:v>
                </c:pt>
                <c:pt idx="94">
                  <c:v>1.2730000000000055</c:v>
                </c:pt>
                <c:pt idx="95">
                  <c:v>1.2730000000000055</c:v>
                </c:pt>
                <c:pt idx="96">
                  <c:v>1.2730000000000055</c:v>
                </c:pt>
                <c:pt idx="97">
                  <c:v>1.2720000000000056</c:v>
                </c:pt>
                <c:pt idx="98">
                  <c:v>1.2720000000000056</c:v>
                </c:pt>
                <c:pt idx="99">
                  <c:v>1.2710000000000057</c:v>
                </c:pt>
                <c:pt idx="100">
                  <c:v>1.2710000000000057</c:v>
                </c:pt>
                <c:pt idx="101">
                  <c:v>1.2700000000000058</c:v>
                </c:pt>
                <c:pt idx="102">
                  <c:v>1.2700000000000058</c:v>
                </c:pt>
                <c:pt idx="103">
                  <c:v>1.2690000000000059</c:v>
                </c:pt>
                <c:pt idx="104">
                  <c:v>1.266000000000006</c:v>
                </c:pt>
                <c:pt idx="105">
                  <c:v>1.2650000000000061</c:v>
                </c:pt>
                <c:pt idx="106">
                  <c:v>1.2650000000000061</c:v>
                </c:pt>
                <c:pt idx="107">
                  <c:v>1.2650000000000061</c:v>
                </c:pt>
                <c:pt idx="108">
                  <c:v>1.2650000000000061</c:v>
                </c:pt>
                <c:pt idx="109">
                  <c:v>1.2640000000000062</c:v>
                </c:pt>
                <c:pt idx="110">
                  <c:v>1.2640000000000062</c:v>
                </c:pt>
                <c:pt idx="111">
                  <c:v>1.2630000000000063</c:v>
                </c:pt>
                <c:pt idx="112">
                  <c:v>1.2630000000000063</c:v>
                </c:pt>
                <c:pt idx="113">
                  <c:v>1.2620000000000064</c:v>
                </c:pt>
                <c:pt idx="114">
                  <c:v>1.2610000000000066</c:v>
                </c:pt>
                <c:pt idx="115">
                  <c:v>1.2610000000000066</c:v>
                </c:pt>
                <c:pt idx="116">
                  <c:v>1.2580000000000067</c:v>
                </c:pt>
                <c:pt idx="117">
                  <c:v>1.2570000000000068</c:v>
                </c:pt>
                <c:pt idx="118">
                  <c:v>1.2540000000000069</c:v>
                </c:pt>
                <c:pt idx="119">
                  <c:v>1.253000000000007</c:v>
                </c:pt>
                <c:pt idx="120">
                  <c:v>1.253000000000007</c:v>
                </c:pt>
                <c:pt idx="121">
                  <c:v>1.249000000000007</c:v>
                </c:pt>
                <c:pt idx="122">
                  <c:v>1.2480000000000071</c:v>
                </c:pt>
                <c:pt idx="123">
                  <c:v>1.2480000000000071</c:v>
                </c:pt>
                <c:pt idx="124">
                  <c:v>1.2450000000000072</c:v>
                </c:pt>
                <c:pt idx="125">
                  <c:v>1.2440000000000073</c:v>
                </c:pt>
                <c:pt idx="126">
                  <c:v>1.2440000000000073</c:v>
                </c:pt>
                <c:pt idx="127">
                  <c:v>1.2410000000000074</c:v>
                </c:pt>
                <c:pt idx="128">
                  <c:v>1.2410000000000074</c:v>
                </c:pt>
                <c:pt idx="129">
                  <c:v>1.2400000000000075</c:v>
                </c:pt>
                <c:pt idx="130">
                  <c:v>1.2400000000000075</c:v>
                </c:pt>
                <c:pt idx="131">
                  <c:v>1.2390000000000077</c:v>
                </c:pt>
                <c:pt idx="132">
                  <c:v>1.2390000000000077</c:v>
                </c:pt>
                <c:pt idx="133">
                  <c:v>1.2380000000000078</c:v>
                </c:pt>
                <c:pt idx="134">
                  <c:v>1.2380000000000078</c:v>
                </c:pt>
                <c:pt idx="135">
                  <c:v>1.2350000000000079</c:v>
                </c:pt>
                <c:pt idx="136">
                  <c:v>1.2350000000000079</c:v>
                </c:pt>
                <c:pt idx="137">
                  <c:v>1.232000000000008</c:v>
                </c:pt>
                <c:pt idx="138">
                  <c:v>1.2310000000000081</c:v>
                </c:pt>
                <c:pt idx="139">
                  <c:v>1.2310000000000081</c:v>
                </c:pt>
                <c:pt idx="140">
                  <c:v>1.2310000000000081</c:v>
                </c:pt>
                <c:pt idx="141">
                  <c:v>1.2310000000000081</c:v>
                </c:pt>
                <c:pt idx="142">
                  <c:v>1.2310000000000081</c:v>
                </c:pt>
                <c:pt idx="143">
                  <c:v>1.2290000000000081</c:v>
                </c:pt>
                <c:pt idx="144">
                  <c:v>1.2290000000000081</c:v>
                </c:pt>
                <c:pt idx="145">
                  <c:v>1.2260000000000082</c:v>
                </c:pt>
                <c:pt idx="146">
                  <c:v>1.2260000000000082</c:v>
                </c:pt>
                <c:pt idx="147">
                  <c:v>1.2250000000000083</c:v>
                </c:pt>
                <c:pt idx="148">
                  <c:v>1.2220000000000084</c:v>
                </c:pt>
                <c:pt idx="149">
                  <c:v>1.2210000000000085</c:v>
                </c:pt>
                <c:pt idx="150">
                  <c:v>1.2200000000000086</c:v>
                </c:pt>
                <c:pt idx="151">
                  <c:v>1.2200000000000086</c:v>
                </c:pt>
                <c:pt idx="152">
                  <c:v>1.2190000000000087</c:v>
                </c:pt>
                <c:pt idx="153">
                  <c:v>1.2160000000000089</c:v>
                </c:pt>
                <c:pt idx="154">
                  <c:v>1.213000000000009</c:v>
                </c:pt>
                <c:pt idx="155">
                  <c:v>1.2120000000000091</c:v>
                </c:pt>
                <c:pt idx="156">
                  <c:v>1.2100000000000091</c:v>
                </c:pt>
                <c:pt idx="157">
                  <c:v>1.2100000000000091</c:v>
                </c:pt>
                <c:pt idx="158">
                  <c:v>1.2090000000000092</c:v>
                </c:pt>
                <c:pt idx="159">
                  <c:v>1.2090000000000092</c:v>
                </c:pt>
                <c:pt idx="160">
                  <c:v>1.2080000000000093</c:v>
                </c:pt>
                <c:pt idx="161">
                  <c:v>1.2040000000000093</c:v>
                </c:pt>
                <c:pt idx="162">
                  <c:v>1.2030000000000094</c:v>
                </c:pt>
                <c:pt idx="163">
                  <c:v>1.2030000000000094</c:v>
                </c:pt>
                <c:pt idx="164">
                  <c:v>1.2020000000000095</c:v>
                </c:pt>
                <c:pt idx="165">
                  <c:v>1.2020000000000095</c:v>
                </c:pt>
                <c:pt idx="166">
                  <c:v>1.1990000000000096</c:v>
                </c:pt>
                <c:pt idx="167">
                  <c:v>1.1980000000000097</c:v>
                </c:pt>
                <c:pt idx="168">
                  <c:v>1.1980000000000097</c:v>
                </c:pt>
                <c:pt idx="169">
                  <c:v>1.1980000000000097</c:v>
                </c:pt>
                <c:pt idx="170">
                  <c:v>1.1960000000000097</c:v>
                </c:pt>
                <c:pt idx="171">
                  <c:v>1.1940000000000097</c:v>
                </c:pt>
                <c:pt idx="172">
                  <c:v>1.1850000000000098</c:v>
                </c:pt>
                <c:pt idx="173">
                  <c:v>1.1760000000000099</c:v>
                </c:pt>
                <c:pt idx="174">
                  <c:v>1.16700000000001</c:v>
                </c:pt>
                <c:pt idx="175">
                  <c:v>1.1580000000000101</c:v>
                </c:pt>
                <c:pt idx="176">
                  <c:v>1.1500000000000101</c:v>
                </c:pt>
                <c:pt idx="177">
                  <c:v>1.1410000000000102</c:v>
                </c:pt>
                <c:pt idx="178">
                  <c:v>1.1330000000000102</c:v>
                </c:pt>
                <c:pt idx="179">
                  <c:v>1.1240000000000103</c:v>
                </c:pt>
                <c:pt idx="180">
                  <c:v>1.1150000000000104</c:v>
                </c:pt>
                <c:pt idx="181">
                  <c:v>1.1060000000000105</c:v>
                </c:pt>
                <c:pt idx="182">
                  <c:v>1.0980000000000105</c:v>
                </c:pt>
                <c:pt idx="183">
                  <c:v>1.0890000000000106</c:v>
                </c:pt>
                <c:pt idx="184">
                  <c:v>1.0800000000000107</c:v>
                </c:pt>
                <c:pt idx="185">
                  <c:v>1.0720000000000107</c:v>
                </c:pt>
                <c:pt idx="186">
                  <c:v>1.0640000000000107</c:v>
                </c:pt>
                <c:pt idx="187">
                  <c:v>1.0550000000000108</c:v>
                </c:pt>
                <c:pt idx="188">
                  <c:v>1.0470000000000108</c:v>
                </c:pt>
                <c:pt idx="189">
                  <c:v>1.0380000000000109</c:v>
                </c:pt>
                <c:pt idx="190">
                  <c:v>1.029000000000011</c:v>
                </c:pt>
                <c:pt idx="191">
                  <c:v>1.021000000000011</c:v>
                </c:pt>
                <c:pt idx="192">
                  <c:v>1.0120000000000111</c:v>
                </c:pt>
                <c:pt idx="193">
                  <c:v>1.0030000000000112</c:v>
                </c:pt>
                <c:pt idx="194">
                  <c:v>0.99400000000001121</c:v>
                </c:pt>
                <c:pt idx="195">
                  <c:v>0.9860000000000112</c:v>
                </c:pt>
                <c:pt idx="196">
                  <c:v>0.97800000000001119</c:v>
                </c:pt>
                <c:pt idx="197">
                  <c:v>0.96900000000001119</c:v>
                </c:pt>
                <c:pt idx="198">
                  <c:v>0.96100000000001118</c:v>
                </c:pt>
                <c:pt idx="199">
                  <c:v>0.95200000000001117</c:v>
                </c:pt>
                <c:pt idx="200">
                  <c:v>0.94400000000001116</c:v>
                </c:pt>
                <c:pt idx="201">
                  <c:v>0.93500000000001116</c:v>
                </c:pt>
                <c:pt idx="202">
                  <c:v>0.92600000000001115</c:v>
                </c:pt>
                <c:pt idx="203">
                  <c:v>0.91800000000001114</c:v>
                </c:pt>
                <c:pt idx="204">
                  <c:v>0.91000000000001113</c:v>
                </c:pt>
                <c:pt idx="205">
                  <c:v>0.90100000000001113</c:v>
                </c:pt>
                <c:pt idx="206">
                  <c:v>0.89200000000001112</c:v>
                </c:pt>
                <c:pt idx="207">
                  <c:v>0.88300000000001111</c:v>
                </c:pt>
                <c:pt idx="208">
                  <c:v>0.8750000000000111</c:v>
                </c:pt>
                <c:pt idx="209">
                  <c:v>0.8670000000000111</c:v>
                </c:pt>
                <c:pt idx="210">
                  <c:v>0.85800000000001109</c:v>
                </c:pt>
                <c:pt idx="211">
                  <c:v>0.85000000000001108</c:v>
                </c:pt>
                <c:pt idx="212">
                  <c:v>0.84200000000001107</c:v>
                </c:pt>
                <c:pt idx="213">
                  <c:v>0.83300000000001106</c:v>
                </c:pt>
                <c:pt idx="214">
                  <c:v>0.82500000000001106</c:v>
                </c:pt>
                <c:pt idx="215">
                  <c:v>0.81600000000001105</c:v>
                </c:pt>
                <c:pt idx="216">
                  <c:v>0.80900000000001104</c:v>
                </c:pt>
                <c:pt idx="217">
                  <c:v>0.80100000000001104</c:v>
                </c:pt>
                <c:pt idx="218">
                  <c:v>0.79200000000001103</c:v>
                </c:pt>
                <c:pt idx="219">
                  <c:v>0.78300000000001102</c:v>
                </c:pt>
                <c:pt idx="220">
                  <c:v>0.77500000000001101</c:v>
                </c:pt>
                <c:pt idx="221">
                  <c:v>0.76600000000001101</c:v>
                </c:pt>
                <c:pt idx="222">
                  <c:v>0.759000000000011</c:v>
                </c:pt>
                <c:pt idx="223">
                  <c:v>0.75200000000001099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15-4B98-A59F-F4F2CB2C5608}"/>
            </c:ext>
          </c:extLst>
        </c:ser>
        <c:ser>
          <c:idx val="4"/>
          <c:order val="4"/>
          <c:tx>
            <c:strRef>
              <c:f>'Km83+940'!$AL$8:$AL$9</c:f>
              <c:strCache>
                <c:ptCount val="2"/>
                <c:pt idx="0">
                  <c:v>Chiều dày đắp</c:v>
                </c:pt>
              </c:strCache>
            </c:strRef>
          </c:tx>
          <c:marker>
            <c:symbol val="star"/>
            <c:size val="2"/>
            <c:spPr>
              <a:noFill/>
              <a:ln w="12700">
                <a:solidFill>
                  <a:srgbClr val="800080"/>
                </a:solidFill>
                <a:prstDash val="solid"/>
              </a:ln>
            </c:spPr>
          </c:marker>
          <c:xVal>
            <c:numRef>
              <c:f>'Km83+940'!$B$11:$B$330</c:f>
              <c:numCache>
                <c:formatCode>[$-1010000]d/m/yyyy;@</c:formatCode>
                <c:ptCount val="320"/>
                <c:pt idx="0">
                  <c:v>45585</c:v>
                </c:pt>
                <c:pt idx="1">
                  <c:v>45586</c:v>
                </c:pt>
                <c:pt idx="2">
                  <c:v>45587</c:v>
                </c:pt>
                <c:pt idx="3">
                  <c:v>45588</c:v>
                </c:pt>
                <c:pt idx="4">
                  <c:v>45589</c:v>
                </c:pt>
                <c:pt idx="5">
                  <c:v>45590</c:v>
                </c:pt>
                <c:pt idx="6">
                  <c:v>45591</c:v>
                </c:pt>
                <c:pt idx="7">
                  <c:v>45592</c:v>
                </c:pt>
                <c:pt idx="8">
                  <c:v>45593</c:v>
                </c:pt>
                <c:pt idx="9">
                  <c:v>45594</c:v>
                </c:pt>
                <c:pt idx="10">
                  <c:v>45595</c:v>
                </c:pt>
                <c:pt idx="11">
                  <c:v>45596</c:v>
                </c:pt>
                <c:pt idx="12">
                  <c:v>45597</c:v>
                </c:pt>
                <c:pt idx="13">
                  <c:v>45598</c:v>
                </c:pt>
                <c:pt idx="14">
                  <c:v>45599</c:v>
                </c:pt>
                <c:pt idx="15">
                  <c:v>45600</c:v>
                </c:pt>
                <c:pt idx="16">
                  <c:v>45601</c:v>
                </c:pt>
                <c:pt idx="17">
                  <c:v>45602</c:v>
                </c:pt>
                <c:pt idx="18">
                  <c:v>45603</c:v>
                </c:pt>
                <c:pt idx="19">
                  <c:v>45604</c:v>
                </c:pt>
                <c:pt idx="20">
                  <c:v>45605</c:v>
                </c:pt>
                <c:pt idx="21">
                  <c:v>45606</c:v>
                </c:pt>
                <c:pt idx="22">
                  <c:v>45607</c:v>
                </c:pt>
                <c:pt idx="23">
                  <c:v>45608</c:v>
                </c:pt>
                <c:pt idx="24">
                  <c:v>45609</c:v>
                </c:pt>
                <c:pt idx="25">
                  <c:v>45610</c:v>
                </c:pt>
                <c:pt idx="26">
                  <c:v>45611</c:v>
                </c:pt>
                <c:pt idx="27">
                  <c:v>45612</c:v>
                </c:pt>
                <c:pt idx="28">
                  <c:v>45613</c:v>
                </c:pt>
                <c:pt idx="29">
                  <c:v>45614</c:v>
                </c:pt>
                <c:pt idx="30">
                  <c:v>45615</c:v>
                </c:pt>
                <c:pt idx="31">
                  <c:v>45616</c:v>
                </c:pt>
                <c:pt idx="32">
                  <c:v>45617</c:v>
                </c:pt>
                <c:pt idx="33">
                  <c:v>45618</c:v>
                </c:pt>
                <c:pt idx="34">
                  <c:v>45619</c:v>
                </c:pt>
                <c:pt idx="35">
                  <c:v>45620</c:v>
                </c:pt>
                <c:pt idx="36">
                  <c:v>45621</c:v>
                </c:pt>
                <c:pt idx="37">
                  <c:v>45622</c:v>
                </c:pt>
                <c:pt idx="38">
                  <c:v>45623</c:v>
                </c:pt>
                <c:pt idx="39">
                  <c:v>45624</c:v>
                </c:pt>
                <c:pt idx="40">
                  <c:v>45625</c:v>
                </c:pt>
                <c:pt idx="41">
                  <c:v>45626</c:v>
                </c:pt>
                <c:pt idx="42">
                  <c:v>45627</c:v>
                </c:pt>
                <c:pt idx="43">
                  <c:v>45628</c:v>
                </c:pt>
                <c:pt idx="44">
                  <c:v>45629</c:v>
                </c:pt>
                <c:pt idx="45">
                  <c:v>45630</c:v>
                </c:pt>
                <c:pt idx="46">
                  <c:v>45631</c:v>
                </c:pt>
                <c:pt idx="47">
                  <c:v>45632</c:v>
                </c:pt>
                <c:pt idx="48">
                  <c:v>45633</c:v>
                </c:pt>
                <c:pt idx="49">
                  <c:v>45634</c:v>
                </c:pt>
                <c:pt idx="50">
                  <c:v>45635</c:v>
                </c:pt>
                <c:pt idx="51">
                  <c:v>45636</c:v>
                </c:pt>
                <c:pt idx="52">
                  <c:v>45637</c:v>
                </c:pt>
                <c:pt idx="53">
                  <c:v>45638</c:v>
                </c:pt>
                <c:pt idx="54">
                  <c:v>45639</c:v>
                </c:pt>
                <c:pt idx="55">
                  <c:v>45640</c:v>
                </c:pt>
                <c:pt idx="56">
                  <c:v>45641</c:v>
                </c:pt>
                <c:pt idx="57">
                  <c:v>45642</c:v>
                </c:pt>
                <c:pt idx="58">
                  <c:v>45643</c:v>
                </c:pt>
                <c:pt idx="59">
                  <c:v>45644</c:v>
                </c:pt>
                <c:pt idx="60">
                  <c:v>45645</c:v>
                </c:pt>
                <c:pt idx="61">
                  <c:v>45646</c:v>
                </c:pt>
                <c:pt idx="62">
                  <c:v>45647</c:v>
                </c:pt>
                <c:pt idx="63">
                  <c:v>45648</c:v>
                </c:pt>
                <c:pt idx="64">
                  <c:v>45649</c:v>
                </c:pt>
                <c:pt idx="65">
                  <c:v>45650</c:v>
                </c:pt>
                <c:pt idx="66">
                  <c:v>45651</c:v>
                </c:pt>
                <c:pt idx="67">
                  <c:v>45652</c:v>
                </c:pt>
                <c:pt idx="68">
                  <c:v>45653</c:v>
                </c:pt>
                <c:pt idx="69">
                  <c:v>45654</c:v>
                </c:pt>
                <c:pt idx="70">
                  <c:v>45655</c:v>
                </c:pt>
                <c:pt idx="71">
                  <c:v>45656</c:v>
                </c:pt>
                <c:pt idx="72">
                  <c:v>45657</c:v>
                </c:pt>
                <c:pt idx="73">
                  <c:v>45658</c:v>
                </c:pt>
                <c:pt idx="74">
                  <c:v>45659</c:v>
                </c:pt>
                <c:pt idx="75">
                  <c:v>45660</c:v>
                </c:pt>
                <c:pt idx="76">
                  <c:v>45661</c:v>
                </c:pt>
                <c:pt idx="77">
                  <c:v>45662</c:v>
                </c:pt>
                <c:pt idx="78">
                  <c:v>45663</c:v>
                </c:pt>
                <c:pt idx="79">
                  <c:v>45664</c:v>
                </c:pt>
                <c:pt idx="80">
                  <c:v>45665</c:v>
                </c:pt>
                <c:pt idx="81">
                  <c:v>45666</c:v>
                </c:pt>
                <c:pt idx="82">
                  <c:v>45667</c:v>
                </c:pt>
                <c:pt idx="83">
                  <c:v>45668</c:v>
                </c:pt>
                <c:pt idx="84">
                  <c:v>45669</c:v>
                </c:pt>
                <c:pt idx="85">
                  <c:v>45670</c:v>
                </c:pt>
                <c:pt idx="86">
                  <c:v>45671</c:v>
                </c:pt>
                <c:pt idx="87">
                  <c:v>45672</c:v>
                </c:pt>
                <c:pt idx="88">
                  <c:v>45673</c:v>
                </c:pt>
                <c:pt idx="89">
                  <c:v>45674</c:v>
                </c:pt>
                <c:pt idx="90">
                  <c:v>45675</c:v>
                </c:pt>
                <c:pt idx="91">
                  <c:v>45676</c:v>
                </c:pt>
                <c:pt idx="92">
                  <c:v>45677</c:v>
                </c:pt>
                <c:pt idx="93">
                  <c:v>45678</c:v>
                </c:pt>
                <c:pt idx="94">
                  <c:v>45679</c:v>
                </c:pt>
                <c:pt idx="95">
                  <c:v>45680</c:v>
                </c:pt>
                <c:pt idx="96">
                  <c:v>45681</c:v>
                </c:pt>
                <c:pt idx="97">
                  <c:v>45682</c:v>
                </c:pt>
                <c:pt idx="98">
                  <c:v>45683</c:v>
                </c:pt>
                <c:pt idx="99">
                  <c:v>45684</c:v>
                </c:pt>
                <c:pt idx="100">
                  <c:v>45685</c:v>
                </c:pt>
                <c:pt idx="101">
                  <c:v>45686</c:v>
                </c:pt>
                <c:pt idx="102">
                  <c:v>45687</c:v>
                </c:pt>
                <c:pt idx="103">
                  <c:v>45688</c:v>
                </c:pt>
                <c:pt idx="104">
                  <c:v>45689</c:v>
                </c:pt>
                <c:pt idx="105">
                  <c:v>45690</c:v>
                </c:pt>
                <c:pt idx="106">
                  <c:v>45691</c:v>
                </c:pt>
                <c:pt idx="107">
                  <c:v>45692</c:v>
                </c:pt>
                <c:pt idx="108">
                  <c:v>45693</c:v>
                </c:pt>
                <c:pt idx="109">
                  <c:v>45694</c:v>
                </c:pt>
                <c:pt idx="110">
                  <c:v>45695</c:v>
                </c:pt>
                <c:pt idx="111">
                  <c:v>45696</c:v>
                </c:pt>
                <c:pt idx="112">
                  <c:v>45697</c:v>
                </c:pt>
                <c:pt idx="113">
                  <c:v>45698</c:v>
                </c:pt>
                <c:pt idx="114">
                  <c:v>45699</c:v>
                </c:pt>
                <c:pt idx="115">
                  <c:v>45700</c:v>
                </c:pt>
                <c:pt idx="116">
                  <c:v>45701</c:v>
                </c:pt>
                <c:pt idx="117">
                  <c:v>45702</c:v>
                </c:pt>
                <c:pt idx="118">
                  <c:v>45703</c:v>
                </c:pt>
                <c:pt idx="119">
                  <c:v>45704</c:v>
                </c:pt>
                <c:pt idx="120">
                  <c:v>45705</c:v>
                </c:pt>
                <c:pt idx="121">
                  <c:v>45706</c:v>
                </c:pt>
                <c:pt idx="122">
                  <c:v>45707</c:v>
                </c:pt>
                <c:pt idx="123">
                  <c:v>45708</c:v>
                </c:pt>
                <c:pt idx="124">
                  <c:v>45709</c:v>
                </c:pt>
                <c:pt idx="125">
                  <c:v>45710</c:v>
                </c:pt>
                <c:pt idx="126">
                  <c:v>45711</c:v>
                </c:pt>
                <c:pt idx="127">
                  <c:v>45712</c:v>
                </c:pt>
                <c:pt idx="128">
                  <c:v>45713</c:v>
                </c:pt>
                <c:pt idx="129">
                  <c:v>45714</c:v>
                </c:pt>
                <c:pt idx="130">
                  <c:v>45715</c:v>
                </c:pt>
                <c:pt idx="131">
                  <c:v>45716</c:v>
                </c:pt>
                <c:pt idx="132">
                  <c:v>45717</c:v>
                </c:pt>
                <c:pt idx="133">
                  <c:v>45718</c:v>
                </c:pt>
                <c:pt idx="134">
                  <c:v>45719</c:v>
                </c:pt>
                <c:pt idx="135">
                  <c:v>45720</c:v>
                </c:pt>
                <c:pt idx="136">
                  <c:v>45721</c:v>
                </c:pt>
                <c:pt idx="137">
                  <c:v>45722</c:v>
                </c:pt>
                <c:pt idx="138">
                  <c:v>45723</c:v>
                </c:pt>
                <c:pt idx="139">
                  <c:v>45724</c:v>
                </c:pt>
                <c:pt idx="140">
                  <c:v>45725</c:v>
                </c:pt>
                <c:pt idx="141">
                  <c:v>45726</c:v>
                </c:pt>
                <c:pt idx="142">
                  <c:v>45727</c:v>
                </c:pt>
                <c:pt idx="143">
                  <c:v>45728</c:v>
                </c:pt>
                <c:pt idx="144">
                  <c:v>45729</c:v>
                </c:pt>
                <c:pt idx="145">
                  <c:v>45730</c:v>
                </c:pt>
                <c:pt idx="146">
                  <c:v>45731</c:v>
                </c:pt>
                <c:pt idx="147">
                  <c:v>45732</c:v>
                </c:pt>
                <c:pt idx="148">
                  <c:v>45733</c:v>
                </c:pt>
                <c:pt idx="149">
                  <c:v>45734</c:v>
                </c:pt>
                <c:pt idx="150">
                  <c:v>45735</c:v>
                </c:pt>
                <c:pt idx="151">
                  <c:v>45736</c:v>
                </c:pt>
                <c:pt idx="152">
                  <c:v>45737</c:v>
                </c:pt>
                <c:pt idx="153">
                  <c:v>45738</c:v>
                </c:pt>
                <c:pt idx="154">
                  <c:v>45739</c:v>
                </c:pt>
                <c:pt idx="155">
                  <c:v>45740</c:v>
                </c:pt>
                <c:pt idx="156">
                  <c:v>45741</c:v>
                </c:pt>
                <c:pt idx="157">
                  <c:v>45742</c:v>
                </c:pt>
                <c:pt idx="158">
                  <c:v>45743</c:v>
                </c:pt>
                <c:pt idx="159">
                  <c:v>45744</c:v>
                </c:pt>
                <c:pt idx="160">
                  <c:v>45745</c:v>
                </c:pt>
                <c:pt idx="161">
                  <c:v>45746</c:v>
                </c:pt>
                <c:pt idx="162">
                  <c:v>45747</c:v>
                </c:pt>
                <c:pt idx="163">
                  <c:v>45748</c:v>
                </c:pt>
                <c:pt idx="164">
                  <c:v>45749</c:v>
                </c:pt>
                <c:pt idx="165">
                  <c:v>45750</c:v>
                </c:pt>
                <c:pt idx="166">
                  <c:v>45751</c:v>
                </c:pt>
                <c:pt idx="167">
                  <c:v>45752</c:v>
                </c:pt>
                <c:pt idx="168">
                  <c:v>45753</c:v>
                </c:pt>
                <c:pt idx="169">
                  <c:v>45754</c:v>
                </c:pt>
                <c:pt idx="170">
                  <c:v>45755</c:v>
                </c:pt>
                <c:pt idx="171">
                  <c:v>45756</c:v>
                </c:pt>
                <c:pt idx="172">
                  <c:v>45757</c:v>
                </c:pt>
                <c:pt idx="173">
                  <c:v>45758</c:v>
                </c:pt>
                <c:pt idx="174">
                  <c:v>45759</c:v>
                </c:pt>
                <c:pt idx="175">
                  <c:v>45760</c:v>
                </c:pt>
                <c:pt idx="176">
                  <c:v>45761</c:v>
                </c:pt>
                <c:pt idx="177">
                  <c:v>45762</c:v>
                </c:pt>
                <c:pt idx="178">
                  <c:v>45763</c:v>
                </c:pt>
                <c:pt idx="179">
                  <c:v>45764</c:v>
                </c:pt>
                <c:pt idx="180">
                  <c:v>45765</c:v>
                </c:pt>
                <c:pt idx="181">
                  <c:v>45766</c:v>
                </c:pt>
                <c:pt idx="182">
                  <c:v>45767</c:v>
                </c:pt>
                <c:pt idx="183">
                  <c:v>45768</c:v>
                </c:pt>
                <c:pt idx="184">
                  <c:v>45769</c:v>
                </c:pt>
                <c:pt idx="185">
                  <c:v>45770</c:v>
                </c:pt>
                <c:pt idx="186">
                  <c:v>45771</c:v>
                </c:pt>
                <c:pt idx="187">
                  <c:v>45772</c:v>
                </c:pt>
                <c:pt idx="188">
                  <c:v>45773</c:v>
                </c:pt>
                <c:pt idx="189">
                  <c:v>45774</c:v>
                </c:pt>
                <c:pt idx="190">
                  <c:v>45775</c:v>
                </c:pt>
                <c:pt idx="191">
                  <c:v>45776</c:v>
                </c:pt>
                <c:pt idx="192">
                  <c:v>45777</c:v>
                </c:pt>
                <c:pt idx="193">
                  <c:v>45778</c:v>
                </c:pt>
                <c:pt idx="194">
                  <c:v>45779</c:v>
                </c:pt>
                <c:pt idx="195">
                  <c:v>45780</c:v>
                </c:pt>
                <c:pt idx="196">
                  <c:v>45781</c:v>
                </c:pt>
                <c:pt idx="197">
                  <c:v>45782</c:v>
                </c:pt>
                <c:pt idx="198">
                  <c:v>45783</c:v>
                </c:pt>
                <c:pt idx="199">
                  <c:v>45784</c:v>
                </c:pt>
                <c:pt idx="200">
                  <c:v>45785</c:v>
                </c:pt>
                <c:pt idx="201">
                  <c:v>45786</c:v>
                </c:pt>
                <c:pt idx="202">
                  <c:v>45787</c:v>
                </c:pt>
                <c:pt idx="203">
                  <c:v>45788</c:v>
                </c:pt>
                <c:pt idx="204">
                  <c:v>45789</c:v>
                </c:pt>
                <c:pt idx="205">
                  <c:v>45790</c:v>
                </c:pt>
                <c:pt idx="206">
                  <c:v>45791</c:v>
                </c:pt>
                <c:pt idx="207">
                  <c:v>45792</c:v>
                </c:pt>
                <c:pt idx="208">
                  <c:v>45793</c:v>
                </c:pt>
                <c:pt idx="209">
                  <c:v>45794</c:v>
                </c:pt>
                <c:pt idx="210">
                  <c:v>45795</c:v>
                </c:pt>
                <c:pt idx="211">
                  <c:v>45796</c:v>
                </c:pt>
                <c:pt idx="212">
                  <c:v>45797</c:v>
                </c:pt>
                <c:pt idx="213">
                  <c:v>45798</c:v>
                </c:pt>
                <c:pt idx="214">
                  <c:v>45799</c:v>
                </c:pt>
                <c:pt idx="215">
                  <c:v>45800</c:v>
                </c:pt>
                <c:pt idx="216">
                  <c:v>45801</c:v>
                </c:pt>
                <c:pt idx="217">
                  <c:v>45802</c:v>
                </c:pt>
                <c:pt idx="218">
                  <c:v>45803</c:v>
                </c:pt>
                <c:pt idx="219">
                  <c:v>45804</c:v>
                </c:pt>
                <c:pt idx="220">
                  <c:v>45805</c:v>
                </c:pt>
                <c:pt idx="221">
                  <c:v>45806</c:v>
                </c:pt>
                <c:pt idx="222">
                  <c:v>45807</c:v>
                </c:pt>
                <c:pt idx="223">
                  <c:v>45808</c:v>
                </c:pt>
              </c:numCache>
            </c:numRef>
          </c:xVal>
          <c:yVal>
            <c:numRef>
              <c:f>'Km83+940'!$AL$11:$AL$341</c:f>
              <c:numCache>
                <c:formatCode>0.00</c:formatCode>
                <c:ptCount val="331"/>
                <c:pt idx="0">
                  <c:v>0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0.89999999999999991</c:v>
                </c:pt>
                <c:pt idx="12">
                  <c:v>0.89999999999999991</c:v>
                </c:pt>
                <c:pt idx="13">
                  <c:v>0.89999999999999991</c:v>
                </c:pt>
                <c:pt idx="14">
                  <c:v>0.89999999999999991</c:v>
                </c:pt>
                <c:pt idx="15">
                  <c:v>1.2</c:v>
                </c:pt>
                <c:pt idx="16">
                  <c:v>1.2</c:v>
                </c:pt>
                <c:pt idx="17">
                  <c:v>1.2</c:v>
                </c:pt>
                <c:pt idx="18">
                  <c:v>1.2</c:v>
                </c:pt>
                <c:pt idx="19">
                  <c:v>1.2</c:v>
                </c:pt>
                <c:pt idx="20">
                  <c:v>1.2</c:v>
                </c:pt>
                <c:pt idx="21">
                  <c:v>1.2</c:v>
                </c:pt>
                <c:pt idx="22">
                  <c:v>1.2</c:v>
                </c:pt>
                <c:pt idx="23">
                  <c:v>1.2</c:v>
                </c:pt>
                <c:pt idx="24">
                  <c:v>1.2</c:v>
                </c:pt>
                <c:pt idx="25">
                  <c:v>1.2</c:v>
                </c:pt>
                <c:pt idx="26">
                  <c:v>1.2</c:v>
                </c:pt>
                <c:pt idx="27">
                  <c:v>1.2</c:v>
                </c:pt>
                <c:pt idx="28">
                  <c:v>1.2</c:v>
                </c:pt>
                <c:pt idx="29">
                  <c:v>1.2</c:v>
                </c:pt>
                <c:pt idx="30">
                  <c:v>1.2</c:v>
                </c:pt>
                <c:pt idx="31">
                  <c:v>1.2</c:v>
                </c:pt>
                <c:pt idx="32">
                  <c:v>1.2</c:v>
                </c:pt>
                <c:pt idx="33">
                  <c:v>1.2</c:v>
                </c:pt>
                <c:pt idx="34">
                  <c:v>1.2</c:v>
                </c:pt>
                <c:pt idx="35">
                  <c:v>1.2</c:v>
                </c:pt>
                <c:pt idx="36">
                  <c:v>1.2</c:v>
                </c:pt>
                <c:pt idx="37">
                  <c:v>1.2</c:v>
                </c:pt>
                <c:pt idx="38">
                  <c:v>1.2</c:v>
                </c:pt>
                <c:pt idx="39">
                  <c:v>1.2</c:v>
                </c:pt>
                <c:pt idx="40">
                  <c:v>1.2</c:v>
                </c:pt>
                <c:pt idx="41">
                  <c:v>1.2</c:v>
                </c:pt>
                <c:pt idx="42">
                  <c:v>1.2</c:v>
                </c:pt>
                <c:pt idx="43">
                  <c:v>1.2</c:v>
                </c:pt>
                <c:pt idx="44">
                  <c:v>1.2</c:v>
                </c:pt>
                <c:pt idx="45">
                  <c:v>1.2</c:v>
                </c:pt>
                <c:pt idx="46">
                  <c:v>1.2</c:v>
                </c:pt>
                <c:pt idx="47">
                  <c:v>1.2</c:v>
                </c:pt>
                <c:pt idx="48">
                  <c:v>1.2</c:v>
                </c:pt>
                <c:pt idx="49">
                  <c:v>1.2</c:v>
                </c:pt>
                <c:pt idx="50">
                  <c:v>1.2</c:v>
                </c:pt>
                <c:pt idx="51">
                  <c:v>1.2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1.2</c:v>
                </c:pt>
                <c:pt idx="56">
                  <c:v>1.2</c:v>
                </c:pt>
                <c:pt idx="57">
                  <c:v>1.2</c:v>
                </c:pt>
                <c:pt idx="58">
                  <c:v>1.2</c:v>
                </c:pt>
                <c:pt idx="59">
                  <c:v>1.2</c:v>
                </c:pt>
                <c:pt idx="60">
                  <c:v>1.2</c:v>
                </c:pt>
                <c:pt idx="61">
                  <c:v>1.2</c:v>
                </c:pt>
                <c:pt idx="62">
                  <c:v>1.2</c:v>
                </c:pt>
                <c:pt idx="63">
                  <c:v>1.2</c:v>
                </c:pt>
                <c:pt idx="64">
                  <c:v>1.2</c:v>
                </c:pt>
                <c:pt idx="65">
                  <c:v>1.2</c:v>
                </c:pt>
                <c:pt idx="66">
                  <c:v>1.2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</c:v>
                </c:pt>
                <c:pt idx="73">
                  <c:v>1.2</c:v>
                </c:pt>
                <c:pt idx="74">
                  <c:v>1.2</c:v>
                </c:pt>
                <c:pt idx="75">
                  <c:v>1.2</c:v>
                </c:pt>
                <c:pt idx="76">
                  <c:v>1.2</c:v>
                </c:pt>
                <c:pt idx="77">
                  <c:v>1.2</c:v>
                </c:pt>
                <c:pt idx="78">
                  <c:v>1.2</c:v>
                </c:pt>
                <c:pt idx="79">
                  <c:v>1.2</c:v>
                </c:pt>
                <c:pt idx="80">
                  <c:v>1.2</c:v>
                </c:pt>
                <c:pt idx="81">
                  <c:v>1.2</c:v>
                </c:pt>
                <c:pt idx="82">
                  <c:v>1.2</c:v>
                </c:pt>
                <c:pt idx="83">
                  <c:v>1.2</c:v>
                </c:pt>
                <c:pt idx="84">
                  <c:v>1.2</c:v>
                </c:pt>
                <c:pt idx="85">
                  <c:v>1.2</c:v>
                </c:pt>
                <c:pt idx="86">
                  <c:v>1.2</c:v>
                </c:pt>
                <c:pt idx="87">
                  <c:v>1.2</c:v>
                </c:pt>
                <c:pt idx="88">
                  <c:v>1.2</c:v>
                </c:pt>
                <c:pt idx="89">
                  <c:v>1.2</c:v>
                </c:pt>
                <c:pt idx="90">
                  <c:v>1.2</c:v>
                </c:pt>
                <c:pt idx="91">
                  <c:v>1.2</c:v>
                </c:pt>
                <c:pt idx="92">
                  <c:v>1.2</c:v>
                </c:pt>
                <c:pt idx="93">
                  <c:v>1.2</c:v>
                </c:pt>
                <c:pt idx="94">
                  <c:v>1.2</c:v>
                </c:pt>
                <c:pt idx="95">
                  <c:v>1.2</c:v>
                </c:pt>
                <c:pt idx="96">
                  <c:v>1.2</c:v>
                </c:pt>
                <c:pt idx="97">
                  <c:v>1.2</c:v>
                </c:pt>
                <c:pt idx="98">
                  <c:v>1.2</c:v>
                </c:pt>
                <c:pt idx="99">
                  <c:v>1.2</c:v>
                </c:pt>
                <c:pt idx="100">
                  <c:v>1.2</c:v>
                </c:pt>
                <c:pt idx="101">
                  <c:v>1.2</c:v>
                </c:pt>
                <c:pt idx="102">
                  <c:v>1.2</c:v>
                </c:pt>
                <c:pt idx="103">
                  <c:v>1.2</c:v>
                </c:pt>
                <c:pt idx="104">
                  <c:v>1.2</c:v>
                </c:pt>
                <c:pt idx="105">
                  <c:v>1.2</c:v>
                </c:pt>
                <c:pt idx="106">
                  <c:v>1.2</c:v>
                </c:pt>
                <c:pt idx="107">
                  <c:v>1.2</c:v>
                </c:pt>
                <c:pt idx="108">
                  <c:v>1.2</c:v>
                </c:pt>
                <c:pt idx="109">
                  <c:v>1.2</c:v>
                </c:pt>
                <c:pt idx="110">
                  <c:v>1.2</c:v>
                </c:pt>
                <c:pt idx="111">
                  <c:v>1.2</c:v>
                </c:pt>
                <c:pt idx="112">
                  <c:v>1.2</c:v>
                </c:pt>
                <c:pt idx="113">
                  <c:v>1.2</c:v>
                </c:pt>
                <c:pt idx="114">
                  <c:v>1.2</c:v>
                </c:pt>
                <c:pt idx="115">
                  <c:v>1.2</c:v>
                </c:pt>
                <c:pt idx="116">
                  <c:v>1.2</c:v>
                </c:pt>
                <c:pt idx="117">
                  <c:v>1.2</c:v>
                </c:pt>
                <c:pt idx="118">
                  <c:v>1.2</c:v>
                </c:pt>
                <c:pt idx="119">
                  <c:v>1.2</c:v>
                </c:pt>
                <c:pt idx="120">
                  <c:v>1.2</c:v>
                </c:pt>
                <c:pt idx="121">
                  <c:v>1.2</c:v>
                </c:pt>
                <c:pt idx="122">
                  <c:v>1.2</c:v>
                </c:pt>
                <c:pt idx="123">
                  <c:v>1.2</c:v>
                </c:pt>
                <c:pt idx="124">
                  <c:v>1.2</c:v>
                </c:pt>
                <c:pt idx="125">
                  <c:v>1.2</c:v>
                </c:pt>
                <c:pt idx="126">
                  <c:v>1.2</c:v>
                </c:pt>
                <c:pt idx="127">
                  <c:v>1.2</c:v>
                </c:pt>
                <c:pt idx="128">
                  <c:v>1.2</c:v>
                </c:pt>
                <c:pt idx="129">
                  <c:v>1.2</c:v>
                </c:pt>
                <c:pt idx="130">
                  <c:v>1.2</c:v>
                </c:pt>
                <c:pt idx="131">
                  <c:v>1.2</c:v>
                </c:pt>
                <c:pt idx="132">
                  <c:v>1.2</c:v>
                </c:pt>
                <c:pt idx="133">
                  <c:v>1.2</c:v>
                </c:pt>
                <c:pt idx="134">
                  <c:v>1.2</c:v>
                </c:pt>
                <c:pt idx="135">
                  <c:v>1.2</c:v>
                </c:pt>
                <c:pt idx="136">
                  <c:v>1.2</c:v>
                </c:pt>
                <c:pt idx="137">
                  <c:v>1.2</c:v>
                </c:pt>
                <c:pt idx="138">
                  <c:v>1.2</c:v>
                </c:pt>
                <c:pt idx="139">
                  <c:v>1.2</c:v>
                </c:pt>
                <c:pt idx="140">
                  <c:v>1.2</c:v>
                </c:pt>
                <c:pt idx="141">
                  <c:v>1.2</c:v>
                </c:pt>
                <c:pt idx="142">
                  <c:v>1.2</c:v>
                </c:pt>
                <c:pt idx="143">
                  <c:v>1.2</c:v>
                </c:pt>
                <c:pt idx="144">
                  <c:v>1.2</c:v>
                </c:pt>
                <c:pt idx="145">
                  <c:v>1.2</c:v>
                </c:pt>
                <c:pt idx="146">
                  <c:v>1.2</c:v>
                </c:pt>
                <c:pt idx="147">
                  <c:v>1.2</c:v>
                </c:pt>
                <c:pt idx="148">
                  <c:v>1.2</c:v>
                </c:pt>
                <c:pt idx="149">
                  <c:v>1.2</c:v>
                </c:pt>
                <c:pt idx="150">
                  <c:v>1.2</c:v>
                </c:pt>
                <c:pt idx="151">
                  <c:v>1.2</c:v>
                </c:pt>
                <c:pt idx="152">
                  <c:v>1.2</c:v>
                </c:pt>
                <c:pt idx="153">
                  <c:v>1.2</c:v>
                </c:pt>
                <c:pt idx="154">
                  <c:v>1.2</c:v>
                </c:pt>
                <c:pt idx="155">
                  <c:v>1.2</c:v>
                </c:pt>
                <c:pt idx="156">
                  <c:v>1.2</c:v>
                </c:pt>
                <c:pt idx="157">
                  <c:v>1.2</c:v>
                </c:pt>
                <c:pt idx="158">
                  <c:v>1.2</c:v>
                </c:pt>
                <c:pt idx="159">
                  <c:v>1.2</c:v>
                </c:pt>
                <c:pt idx="160">
                  <c:v>1.2</c:v>
                </c:pt>
                <c:pt idx="161">
                  <c:v>1.2</c:v>
                </c:pt>
                <c:pt idx="162">
                  <c:v>1.2</c:v>
                </c:pt>
                <c:pt idx="163">
                  <c:v>1.2</c:v>
                </c:pt>
                <c:pt idx="164">
                  <c:v>1.2</c:v>
                </c:pt>
                <c:pt idx="165">
                  <c:v>1.2</c:v>
                </c:pt>
                <c:pt idx="166">
                  <c:v>1.2</c:v>
                </c:pt>
                <c:pt idx="167">
                  <c:v>1.2</c:v>
                </c:pt>
                <c:pt idx="168">
                  <c:v>1.2</c:v>
                </c:pt>
                <c:pt idx="169">
                  <c:v>1.2</c:v>
                </c:pt>
                <c:pt idx="170">
                  <c:v>1.2</c:v>
                </c:pt>
                <c:pt idx="171">
                  <c:v>1.2</c:v>
                </c:pt>
                <c:pt idx="172">
                  <c:v>1.2</c:v>
                </c:pt>
                <c:pt idx="173">
                  <c:v>1.2</c:v>
                </c:pt>
                <c:pt idx="174">
                  <c:v>1.2</c:v>
                </c:pt>
                <c:pt idx="175">
                  <c:v>1.2</c:v>
                </c:pt>
                <c:pt idx="176">
                  <c:v>1.2</c:v>
                </c:pt>
                <c:pt idx="177">
                  <c:v>1.2</c:v>
                </c:pt>
                <c:pt idx="178">
                  <c:v>1.2</c:v>
                </c:pt>
                <c:pt idx="179">
                  <c:v>1.2</c:v>
                </c:pt>
                <c:pt idx="180">
                  <c:v>1.2</c:v>
                </c:pt>
                <c:pt idx="181">
                  <c:v>1.2</c:v>
                </c:pt>
                <c:pt idx="182">
                  <c:v>1.2</c:v>
                </c:pt>
                <c:pt idx="183">
                  <c:v>1.2</c:v>
                </c:pt>
                <c:pt idx="184">
                  <c:v>1.2</c:v>
                </c:pt>
                <c:pt idx="185">
                  <c:v>1.2</c:v>
                </c:pt>
                <c:pt idx="186">
                  <c:v>1.2</c:v>
                </c:pt>
                <c:pt idx="187">
                  <c:v>1.2</c:v>
                </c:pt>
                <c:pt idx="188">
                  <c:v>1.2</c:v>
                </c:pt>
                <c:pt idx="189">
                  <c:v>1.2</c:v>
                </c:pt>
                <c:pt idx="190">
                  <c:v>1.2</c:v>
                </c:pt>
                <c:pt idx="191">
                  <c:v>1.2</c:v>
                </c:pt>
                <c:pt idx="192">
                  <c:v>1.2</c:v>
                </c:pt>
                <c:pt idx="193">
                  <c:v>1.2</c:v>
                </c:pt>
                <c:pt idx="194">
                  <c:v>1.2</c:v>
                </c:pt>
                <c:pt idx="195">
                  <c:v>1.2</c:v>
                </c:pt>
                <c:pt idx="196">
                  <c:v>1.2</c:v>
                </c:pt>
                <c:pt idx="197">
                  <c:v>1.2</c:v>
                </c:pt>
                <c:pt idx="198">
                  <c:v>1.2</c:v>
                </c:pt>
                <c:pt idx="199">
                  <c:v>1.2</c:v>
                </c:pt>
                <c:pt idx="200">
                  <c:v>1.2</c:v>
                </c:pt>
                <c:pt idx="201">
                  <c:v>1.2</c:v>
                </c:pt>
                <c:pt idx="202">
                  <c:v>1.2</c:v>
                </c:pt>
                <c:pt idx="203">
                  <c:v>1.2</c:v>
                </c:pt>
                <c:pt idx="204">
                  <c:v>1.2</c:v>
                </c:pt>
                <c:pt idx="205">
                  <c:v>1.2</c:v>
                </c:pt>
                <c:pt idx="206">
                  <c:v>1.2</c:v>
                </c:pt>
                <c:pt idx="207">
                  <c:v>1.2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415-4B98-A59F-F4F2CB2C5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476352"/>
        <c:axId val="586476928"/>
      </c:scatterChart>
      <c:valAx>
        <c:axId val="586475200"/>
        <c:scaling>
          <c:orientation val="minMax"/>
          <c:max val="45807"/>
          <c:min val="45585"/>
        </c:scaling>
        <c:delete val="0"/>
        <c:axPos val="b"/>
        <c:numFmt formatCode="dd/mm/yyyy;@" sourceLinked="0"/>
        <c:majorTickMark val="out"/>
        <c:minorTickMark val="none"/>
        <c:tickLblPos val="low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586475776"/>
        <c:crossesAt val="-1800"/>
        <c:crossBetween val="midCat"/>
        <c:majorUnit val="31"/>
      </c:valAx>
      <c:valAx>
        <c:axId val="586475776"/>
        <c:scaling>
          <c:orientation val="minMax"/>
          <c:max val="1800"/>
          <c:min val="-1800"/>
        </c:scaling>
        <c:delete val="0"/>
        <c:axPos val="l"/>
        <c:majorGridlines>
          <c:spPr>
            <a:ln w="3175">
              <a:solidFill>
                <a:schemeClr val="tx1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3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Độ lún（mm）</a:t>
                </a:r>
              </a:p>
            </c:rich>
          </c:tx>
          <c:layout>
            <c:manualLayout>
              <c:xMode val="edge"/>
              <c:yMode val="edge"/>
              <c:x val="1.7880170123771136E-2"/>
              <c:y val="0.34426600140328995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586475200"/>
        <c:crosses val="autoZero"/>
        <c:crossBetween val="midCat"/>
        <c:majorUnit val="200"/>
      </c:valAx>
      <c:valAx>
        <c:axId val="586476352"/>
        <c:scaling>
          <c:orientation val="minMax"/>
        </c:scaling>
        <c:delete val="1"/>
        <c:axPos val="t"/>
        <c:numFmt formatCode="[$-1010000]d/m/yyyy;@" sourceLinked="1"/>
        <c:majorTickMark val="out"/>
        <c:minorTickMark val="none"/>
        <c:tickLblPos val="nextTo"/>
        <c:crossAx val="586476928"/>
        <c:crossesAt val="0"/>
        <c:crossBetween val="midCat"/>
      </c:valAx>
      <c:valAx>
        <c:axId val="586476928"/>
        <c:scaling>
          <c:orientation val="minMax"/>
          <c:max val="6"/>
          <c:min val="-6"/>
        </c:scaling>
        <c:delete val="0"/>
        <c:axPos val="r"/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vi-VN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Chiều dày/cao độ đắp (m</a:t>
                </a:r>
                <a:r>
                  <a:rPr lang="vi-VN" sz="1000" b="0" i="0" u="none" strike="noStrike" baseline="0">
                    <a:solidFill>
                      <a:srgbClr val="000000"/>
                    </a:solidFill>
                    <a:ea typeface="宋体"/>
                  </a:rPr>
                  <a:t>）</a:t>
                </a:r>
              </a:p>
            </c:rich>
          </c:tx>
          <c:layout>
            <c:manualLayout>
              <c:xMode val="edge"/>
              <c:yMode val="edge"/>
              <c:x val="0.96166207126160286"/>
              <c:y val="0.24613445596528155"/>
            </c:manualLayout>
          </c:layout>
          <c:overlay val="0"/>
          <c:spPr>
            <a:noFill/>
            <a:ln w="25400">
              <a:noFill/>
            </a:ln>
          </c:spPr>
        </c:title>
        <c:numFmt formatCode="##.0#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586476352"/>
        <c:crosses val="max"/>
        <c:crossBetween val="midCat"/>
        <c:majorUnit val="1"/>
        <c:minorUnit val="1"/>
      </c:valAx>
      <c:spPr>
        <a:ln w="6350" cmpd="sng"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8.2956525764775524E-2"/>
          <c:y val="0.87384201208293577"/>
          <c:w val="0.82376524838877152"/>
          <c:h val="0.10335434939004758"/>
        </c:manualLayout>
      </c:layout>
      <c:overlay val="0"/>
      <c:spPr>
        <a:solidFill>
          <a:srgbClr val="FFFFFF"/>
        </a:solidFill>
        <a:ln w="6350" cap="flat">
          <a:solidFill>
            <a:srgbClr val="000000"/>
          </a:solidFill>
          <a:prstDash val="solid"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8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 orientation="landscape" horizontalDpi="1200" verticalDpi="12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 sz="1500"/>
              <a:t>Biểu</a:t>
            </a:r>
            <a:r>
              <a:rPr lang="en-US" sz="1500" baseline="0"/>
              <a:t> đồ </a:t>
            </a:r>
            <a:r>
              <a:rPr lang="en-US" sz="1500"/>
              <a:t>Bàn quan trắc lún-Lý trình: Km83+720</a:t>
            </a:r>
          </a:p>
        </c:rich>
      </c:tx>
      <c:layout>
        <c:manualLayout>
          <c:xMode val="edge"/>
          <c:yMode val="edge"/>
          <c:x val="0.39979352028130694"/>
          <c:y val="4.3462874572937134E-2"/>
        </c:manualLayout>
      </c:layout>
      <c:overlay val="0"/>
      <c:spPr>
        <a:solidFill>
          <a:srgbClr val="FFFFFF"/>
        </a:solidFill>
        <a:ln w="6350">
          <a:solidFill>
            <a:srgbClr val="000000"/>
          </a:solidFill>
          <a:prstDash val="solid"/>
        </a:ln>
        <a:effectLst>
          <a:outerShdw sx="1000" sy="1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7.4589286974132543E-2"/>
          <c:y val="0.13662332142282568"/>
          <c:w val="0.83566878980891657"/>
          <c:h val="0.69972640034865863"/>
        </c:manualLayout>
      </c:layout>
      <c:scatterChart>
        <c:scatterStyle val="lineMarker"/>
        <c:varyColors val="0"/>
        <c:ser>
          <c:idx val="1"/>
          <c:order val="1"/>
          <c:tx>
            <c:strRef>
              <c:f>'Km83+980'!$AF$9</c:f>
              <c:strCache>
                <c:ptCount val="1"/>
                <c:pt idx="0">
                  <c:v>Trái</c:v>
                </c:pt>
              </c:strCache>
            </c:strRef>
          </c:tx>
          <c:marker>
            <c:symbol val="circle"/>
            <c:size val="2"/>
            <c:spPr>
              <a:solidFill>
                <a:srgbClr val="FF00FF"/>
              </a:solidFill>
              <a:ln w="12700">
                <a:solidFill>
                  <a:srgbClr val="FF00FF"/>
                </a:solidFill>
                <a:prstDash val="solid"/>
              </a:ln>
            </c:spPr>
          </c:marker>
          <c:xVal>
            <c:numRef>
              <c:f>'Km83+980'!$B$11:$B$336</c:f>
              <c:numCache>
                <c:formatCode>[$-1010000]d/m/yyyy;@</c:formatCode>
                <c:ptCount val="326"/>
                <c:pt idx="0">
                  <c:v>45585</c:v>
                </c:pt>
                <c:pt idx="1">
                  <c:v>45586</c:v>
                </c:pt>
                <c:pt idx="2">
                  <c:v>45587</c:v>
                </c:pt>
                <c:pt idx="3">
                  <c:v>45588</c:v>
                </c:pt>
                <c:pt idx="4">
                  <c:v>45589</c:v>
                </c:pt>
                <c:pt idx="5">
                  <c:v>45590</c:v>
                </c:pt>
                <c:pt idx="6">
                  <c:v>45591</c:v>
                </c:pt>
                <c:pt idx="7">
                  <c:v>45592</c:v>
                </c:pt>
                <c:pt idx="8">
                  <c:v>45593</c:v>
                </c:pt>
                <c:pt idx="9">
                  <c:v>45594</c:v>
                </c:pt>
                <c:pt idx="10">
                  <c:v>45595</c:v>
                </c:pt>
                <c:pt idx="11">
                  <c:v>45596</c:v>
                </c:pt>
                <c:pt idx="12">
                  <c:v>45597</c:v>
                </c:pt>
                <c:pt idx="13">
                  <c:v>45598</c:v>
                </c:pt>
                <c:pt idx="14">
                  <c:v>45599</c:v>
                </c:pt>
                <c:pt idx="15">
                  <c:v>45600</c:v>
                </c:pt>
                <c:pt idx="16">
                  <c:v>45601</c:v>
                </c:pt>
                <c:pt idx="17">
                  <c:v>45602</c:v>
                </c:pt>
                <c:pt idx="18">
                  <c:v>45603</c:v>
                </c:pt>
                <c:pt idx="19">
                  <c:v>45604</c:v>
                </c:pt>
                <c:pt idx="20">
                  <c:v>45605</c:v>
                </c:pt>
                <c:pt idx="21">
                  <c:v>45606</c:v>
                </c:pt>
                <c:pt idx="22">
                  <c:v>45607</c:v>
                </c:pt>
                <c:pt idx="23">
                  <c:v>45608</c:v>
                </c:pt>
                <c:pt idx="24">
                  <c:v>45609</c:v>
                </c:pt>
                <c:pt idx="25">
                  <c:v>45610</c:v>
                </c:pt>
                <c:pt idx="26">
                  <c:v>45611</c:v>
                </c:pt>
                <c:pt idx="27">
                  <c:v>45612</c:v>
                </c:pt>
                <c:pt idx="28">
                  <c:v>45613</c:v>
                </c:pt>
                <c:pt idx="29">
                  <c:v>45614</c:v>
                </c:pt>
                <c:pt idx="30">
                  <c:v>45615</c:v>
                </c:pt>
                <c:pt idx="31">
                  <c:v>45616</c:v>
                </c:pt>
                <c:pt idx="32">
                  <c:v>45617</c:v>
                </c:pt>
                <c:pt idx="33">
                  <c:v>45618</c:v>
                </c:pt>
                <c:pt idx="34">
                  <c:v>45619</c:v>
                </c:pt>
                <c:pt idx="35">
                  <c:v>45620</c:v>
                </c:pt>
                <c:pt idx="36">
                  <c:v>45621</c:v>
                </c:pt>
                <c:pt idx="37">
                  <c:v>45622</c:v>
                </c:pt>
                <c:pt idx="38">
                  <c:v>45623</c:v>
                </c:pt>
                <c:pt idx="39">
                  <c:v>45624</c:v>
                </c:pt>
                <c:pt idx="40">
                  <c:v>45625</c:v>
                </c:pt>
                <c:pt idx="41">
                  <c:v>45626</c:v>
                </c:pt>
                <c:pt idx="42">
                  <c:v>45627</c:v>
                </c:pt>
                <c:pt idx="43">
                  <c:v>45628</c:v>
                </c:pt>
                <c:pt idx="44">
                  <c:v>45629</c:v>
                </c:pt>
                <c:pt idx="45">
                  <c:v>45630</c:v>
                </c:pt>
                <c:pt idx="46">
                  <c:v>45631</c:v>
                </c:pt>
                <c:pt idx="47">
                  <c:v>45632</c:v>
                </c:pt>
                <c:pt idx="48">
                  <c:v>45633</c:v>
                </c:pt>
                <c:pt idx="49">
                  <c:v>45634</c:v>
                </c:pt>
                <c:pt idx="50">
                  <c:v>45635</c:v>
                </c:pt>
                <c:pt idx="51">
                  <c:v>45636</c:v>
                </c:pt>
                <c:pt idx="52">
                  <c:v>45637</c:v>
                </c:pt>
                <c:pt idx="53">
                  <c:v>45638</c:v>
                </c:pt>
                <c:pt idx="54">
                  <c:v>45639</c:v>
                </c:pt>
                <c:pt idx="55">
                  <c:v>45640</c:v>
                </c:pt>
                <c:pt idx="56">
                  <c:v>45641</c:v>
                </c:pt>
                <c:pt idx="57">
                  <c:v>45642</c:v>
                </c:pt>
                <c:pt idx="58">
                  <c:v>45643</c:v>
                </c:pt>
                <c:pt idx="59">
                  <c:v>45644</c:v>
                </c:pt>
                <c:pt idx="60">
                  <c:v>45645</c:v>
                </c:pt>
                <c:pt idx="61">
                  <c:v>45646</c:v>
                </c:pt>
                <c:pt idx="62">
                  <c:v>45647</c:v>
                </c:pt>
                <c:pt idx="63">
                  <c:v>45648</c:v>
                </c:pt>
                <c:pt idx="64">
                  <c:v>45649</c:v>
                </c:pt>
                <c:pt idx="65">
                  <c:v>45650</c:v>
                </c:pt>
                <c:pt idx="66">
                  <c:v>45651</c:v>
                </c:pt>
                <c:pt idx="67">
                  <c:v>45652</c:v>
                </c:pt>
                <c:pt idx="68">
                  <c:v>45653</c:v>
                </c:pt>
                <c:pt idx="69">
                  <c:v>45654</c:v>
                </c:pt>
                <c:pt idx="70">
                  <c:v>45655</c:v>
                </c:pt>
                <c:pt idx="71">
                  <c:v>45656</c:v>
                </c:pt>
                <c:pt idx="72">
                  <c:v>45657</c:v>
                </c:pt>
                <c:pt idx="73">
                  <c:v>45658</c:v>
                </c:pt>
                <c:pt idx="74">
                  <c:v>45659</c:v>
                </c:pt>
                <c:pt idx="75">
                  <c:v>45660</c:v>
                </c:pt>
                <c:pt idx="76">
                  <c:v>45661</c:v>
                </c:pt>
                <c:pt idx="77">
                  <c:v>45662</c:v>
                </c:pt>
                <c:pt idx="78">
                  <c:v>45663</c:v>
                </c:pt>
                <c:pt idx="79">
                  <c:v>45664</c:v>
                </c:pt>
                <c:pt idx="80">
                  <c:v>45665</c:v>
                </c:pt>
                <c:pt idx="81">
                  <c:v>45666</c:v>
                </c:pt>
                <c:pt idx="82">
                  <c:v>45667</c:v>
                </c:pt>
                <c:pt idx="83">
                  <c:v>45668</c:v>
                </c:pt>
                <c:pt idx="84">
                  <c:v>45669</c:v>
                </c:pt>
                <c:pt idx="85">
                  <c:v>45670</c:v>
                </c:pt>
                <c:pt idx="86">
                  <c:v>45671</c:v>
                </c:pt>
                <c:pt idx="87">
                  <c:v>45672</c:v>
                </c:pt>
                <c:pt idx="88">
                  <c:v>45673</c:v>
                </c:pt>
                <c:pt idx="89">
                  <c:v>45674</c:v>
                </c:pt>
                <c:pt idx="90">
                  <c:v>45675</c:v>
                </c:pt>
                <c:pt idx="91">
                  <c:v>45676</c:v>
                </c:pt>
                <c:pt idx="92">
                  <c:v>45677</c:v>
                </c:pt>
                <c:pt idx="93">
                  <c:v>45678</c:v>
                </c:pt>
                <c:pt idx="94">
                  <c:v>45679</c:v>
                </c:pt>
                <c:pt idx="95">
                  <c:v>45680</c:v>
                </c:pt>
                <c:pt idx="96">
                  <c:v>45681</c:v>
                </c:pt>
                <c:pt idx="97">
                  <c:v>45682</c:v>
                </c:pt>
                <c:pt idx="98">
                  <c:v>45683</c:v>
                </c:pt>
                <c:pt idx="99">
                  <c:v>45684</c:v>
                </c:pt>
                <c:pt idx="100">
                  <c:v>45685</c:v>
                </c:pt>
                <c:pt idx="101">
                  <c:v>45686</c:v>
                </c:pt>
                <c:pt idx="102">
                  <c:v>45687</c:v>
                </c:pt>
                <c:pt idx="103">
                  <c:v>45688</c:v>
                </c:pt>
                <c:pt idx="104">
                  <c:v>45689</c:v>
                </c:pt>
                <c:pt idx="105">
                  <c:v>45690</c:v>
                </c:pt>
                <c:pt idx="106">
                  <c:v>45691</c:v>
                </c:pt>
                <c:pt idx="107">
                  <c:v>45692</c:v>
                </c:pt>
                <c:pt idx="108">
                  <c:v>45693</c:v>
                </c:pt>
                <c:pt idx="109">
                  <c:v>45694</c:v>
                </c:pt>
                <c:pt idx="110">
                  <c:v>45695</c:v>
                </c:pt>
                <c:pt idx="111">
                  <c:v>45696</c:v>
                </c:pt>
                <c:pt idx="112">
                  <c:v>45697</c:v>
                </c:pt>
                <c:pt idx="113">
                  <c:v>45698</c:v>
                </c:pt>
                <c:pt idx="114">
                  <c:v>45699</c:v>
                </c:pt>
                <c:pt idx="115">
                  <c:v>45700</c:v>
                </c:pt>
                <c:pt idx="116">
                  <c:v>45701</c:v>
                </c:pt>
                <c:pt idx="117">
                  <c:v>45702</c:v>
                </c:pt>
                <c:pt idx="118">
                  <c:v>45703</c:v>
                </c:pt>
                <c:pt idx="119">
                  <c:v>45704</c:v>
                </c:pt>
                <c:pt idx="120">
                  <c:v>45705</c:v>
                </c:pt>
                <c:pt idx="121">
                  <c:v>45706</c:v>
                </c:pt>
                <c:pt idx="122">
                  <c:v>45707</c:v>
                </c:pt>
                <c:pt idx="123">
                  <c:v>45708</c:v>
                </c:pt>
                <c:pt idx="124">
                  <c:v>45709</c:v>
                </c:pt>
                <c:pt idx="125">
                  <c:v>45710</c:v>
                </c:pt>
                <c:pt idx="126">
                  <c:v>45711</c:v>
                </c:pt>
                <c:pt idx="127">
                  <c:v>45712</c:v>
                </c:pt>
                <c:pt idx="128">
                  <c:v>45713</c:v>
                </c:pt>
                <c:pt idx="129">
                  <c:v>45714</c:v>
                </c:pt>
                <c:pt idx="130">
                  <c:v>45715</c:v>
                </c:pt>
                <c:pt idx="131">
                  <c:v>45716</c:v>
                </c:pt>
                <c:pt idx="132">
                  <c:v>45717</c:v>
                </c:pt>
                <c:pt idx="133">
                  <c:v>45718</c:v>
                </c:pt>
                <c:pt idx="134">
                  <c:v>45719</c:v>
                </c:pt>
                <c:pt idx="135">
                  <c:v>45720</c:v>
                </c:pt>
                <c:pt idx="136">
                  <c:v>45721</c:v>
                </c:pt>
                <c:pt idx="137">
                  <c:v>45722</c:v>
                </c:pt>
                <c:pt idx="138">
                  <c:v>45723</c:v>
                </c:pt>
                <c:pt idx="139">
                  <c:v>45724</c:v>
                </c:pt>
                <c:pt idx="140">
                  <c:v>45725</c:v>
                </c:pt>
                <c:pt idx="141">
                  <c:v>45726</c:v>
                </c:pt>
                <c:pt idx="142">
                  <c:v>45727</c:v>
                </c:pt>
                <c:pt idx="143">
                  <c:v>45728</c:v>
                </c:pt>
                <c:pt idx="144">
                  <c:v>45729</c:v>
                </c:pt>
                <c:pt idx="145">
                  <c:v>45730</c:v>
                </c:pt>
                <c:pt idx="146">
                  <c:v>45731</c:v>
                </c:pt>
                <c:pt idx="147">
                  <c:v>45732</c:v>
                </c:pt>
                <c:pt idx="148">
                  <c:v>45733</c:v>
                </c:pt>
                <c:pt idx="149">
                  <c:v>45734</c:v>
                </c:pt>
                <c:pt idx="150">
                  <c:v>45735</c:v>
                </c:pt>
                <c:pt idx="151">
                  <c:v>45736</c:v>
                </c:pt>
                <c:pt idx="152">
                  <c:v>45737</c:v>
                </c:pt>
                <c:pt idx="153">
                  <c:v>45738</c:v>
                </c:pt>
                <c:pt idx="154">
                  <c:v>45739</c:v>
                </c:pt>
                <c:pt idx="155">
                  <c:v>45740</c:v>
                </c:pt>
                <c:pt idx="156">
                  <c:v>45741</c:v>
                </c:pt>
                <c:pt idx="157">
                  <c:v>45742</c:v>
                </c:pt>
                <c:pt idx="158">
                  <c:v>45743</c:v>
                </c:pt>
                <c:pt idx="159">
                  <c:v>45744</c:v>
                </c:pt>
                <c:pt idx="160">
                  <c:v>45745</c:v>
                </c:pt>
                <c:pt idx="161">
                  <c:v>45746</c:v>
                </c:pt>
                <c:pt idx="162">
                  <c:v>45747</c:v>
                </c:pt>
                <c:pt idx="163">
                  <c:v>45748</c:v>
                </c:pt>
                <c:pt idx="164">
                  <c:v>45749</c:v>
                </c:pt>
                <c:pt idx="165">
                  <c:v>45750</c:v>
                </c:pt>
                <c:pt idx="166">
                  <c:v>45751</c:v>
                </c:pt>
                <c:pt idx="167">
                  <c:v>45752</c:v>
                </c:pt>
                <c:pt idx="168">
                  <c:v>45753</c:v>
                </c:pt>
                <c:pt idx="169">
                  <c:v>45754</c:v>
                </c:pt>
                <c:pt idx="170">
                  <c:v>45755</c:v>
                </c:pt>
                <c:pt idx="171">
                  <c:v>45756</c:v>
                </c:pt>
                <c:pt idx="172">
                  <c:v>45757</c:v>
                </c:pt>
                <c:pt idx="173">
                  <c:v>45758</c:v>
                </c:pt>
                <c:pt idx="174">
                  <c:v>45759</c:v>
                </c:pt>
                <c:pt idx="175">
                  <c:v>45760</c:v>
                </c:pt>
                <c:pt idx="176">
                  <c:v>45761</c:v>
                </c:pt>
                <c:pt idx="177">
                  <c:v>45762</c:v>
                </c:pt>
                <c:pt idx="178">
                  <c:v>45763</c:v>
                </c:pt>
                <c:pt idx="179">
                  <c:v>45764</c:v>
                </c:pt>
                <c:pt idx="180">
                  <c:v>45765</c:v>
                </c:pt>
                <c:pt idx="181">
                  <c:v>45766</c:v>
                </c:pt>
                <c:pt idx="182">
                  <c:v>45767</c:v>
                </c:pt>
                <c:pt idx="183">
                  <c:v>45768</c:v>
                </c:pt>
                <c:pt idx="184">
                  <c:v>45769</c:v>
                </c:pt>
                <c:pt idx="185">
                  <c:v>45770</c:v>
                </c:pt>
                <c:pt idx="186">
                  <c:v>45771</c:v>
                </c:pt>
                <c:pt idx="187">
                  <c:v>45772</c:v>
                </c:pt>
                <c:pt idx="188">
                  <c:v>45773</c:v>
                </c:pt>
                <c:pt idx="189">
                  <c:v>45774</c:v>
                </c:pt>
                <c:pt idx="190">
                  <c:v>45775</c:v>
                </c:pt>
                <c:pt idx="191">
                  <c:v>45776</c:v>
                </c:pt>
                <c:pt idx="192">
                  <c:v>45777</c:v>
                </c:pt>
                <c:pt idx="193">
                  <c:v>45778</c:v>
                </c:pt>
                <c:pt idx="194">
                  <c:v>45779</c:v>
                </c:pt>
                <c:pt idx="195">
                  <c:v>45780</c:v>
                </c:pt>
                <c:pt idx="196">
                  <c:v>45781</c:v>
                </c:pt>
                <c:pt idx="197">
                  <c:v>45782</c:v>
                </c:pt>
                <c:pt idx="198">
                  <c:v>45783</c:v>
                </c:pt>
                <c:pt idx="199">
                  <c:v>45784</c:v>
                </c:pt>
                <c:pt idx="200">
                  <c:v>45785</c:v>
                </c:pt>
                <c:pt idx="201">
                  <c:v>45786</c:v>
                </c:pt>
                <c:pt idx="202">
                  <c:v>45787</c:v>
                </c:pt>
                <c:pt idx="203">
                  <c:v>45788</c:v>
                </c:pt>
                <c:pt idx="204">
                  <c:v>45789</c:v>
                </c:pt>
                <c:pt idx="205">
                  <c:v>45790</c:v>
                </c:pt>
                <c:pt idx="206">
                  <c:v>45791</c:v>
                </c:pt>
                <c:pt idx="207">
                  <c:v>45792</c:v>
                </c:pt>
                <c:pt idx="208">
                  <c:v>45793</c:v>
                </c:pt>
                <c:pt idx="209">
                  <c:v>45794</c:v>
                </c:pt>
                <c:pt idx="210">
                  <c:v>45795</c:v>
                </c:pt>
                <c:pt idx="211">
                  <c:v>45796</c:v>
                </c:pt>
                <c:pt idx="212">
                  <c:v>45797</c:v>
                </c:pt>
                <c:pt idx="213">
                  <c:v>45798</c:v>
                </c:pt>
                <c:pt idx="214">
                  <c:v>45799</c:v>
                </c:pt>
                <c:pt idx="215">
                  <c:v>45800</c:v>
                </c:pt>
                <c:pt idx="216">
                  <c:v>45801</c:v>
                </c:pt>
                <c:pt idx="217">
                  <c:v>45802</c:v>
                </c:pt>
                <c:pt idx="218">
                  <c:v>45803</c:v>
                </c:pt>
                <c:pt idx="219">
                  <c:v>45804</c:v>
                </c:pt>
                <c:pt idx="220">
                  <c:v>45805</c:v>
                </c:pt>
                <c:pt idx="221">
                  <c:v>45806</c:v>
                </c:pt>
                <c:pt idx="222">
                  <c:v>45807</c:v>
                </c:pt>
                <c:pt idx="223">
                  <c:v>45808</c:v>
                </c:pt>
              </c:numCache>
            </c:numRef>
          </c:xVal>
          <c:yVal>
            <c:numRef>
              <c:f>'Km83+980'!$AF$11:$AF$460</c:f>
              <c:numCache>
                <c:formatCode>0</c:formatCode>
                <c:ptCount val="450"/>
                <c:pt idx="0">
                  <c:v>0</c:v>
                </c:pt>
                <c:pt idx="1">
                  <c:v>-4</c:v>
                </c:pt>
                <c:pt idx="2">
                  <c:v>-8</c:v>
                </c:pt>
                <c:pt idx="3">
                  <c:v>-15</c:v>
                </c:pt>
                <c:pt idx="4">
                  <c:v>-21</c:v>
                </c:pt>
                <c:pt idx="5">
                  <c:v>-30</c:v>
                </c:pt>
                <c:pt idx="6">
                  <c:v>-39</c:v>
                </c:pt>
                <c:pt idx="7">
                  <c:v>-47</c:v>
                </c:pt>
                <c:pt idx="8">
                  <c:v>-54</c:v>
                </c:pt>
                <c:pt idx="9">
                  <c:v>-63</c:v>
                </c:pt>
                <c:pt idx="10">
                  <c:v>-72</c:v>
                </c:pt>
                <c:pt idx="11">
                  <c:v>-80</c:v>
                </c:pt>
                <c:pt idx="12">
                  <c:v>-87</c:v>
                </c:pt>
                <c:pt idx="13">
                  <c:v>-92</c:v>
                </c:pt>
                <c:pt idx="14">
                  <c:v>-101</c:v>
                </c:pt>
                <c:pt idx="15">
                  <c:v>-110</c:v>
                </c:pt>
                <c:pt idx="16">
                  <c:v>-119</c:v>
                </c:pt>
                <c:pt idx="17">
                  <c:v>-128</c:v>
                </c:pt>
                <c:pt idx="18">
                  <c:v>-136</c:v>
                </c:pt>
                <c:pt idx="19">
                  <c:v>-145</c:v>
                </c:pt>
                <c:pt idx="20">
                  <c:v>-152</c:v>
                </c:pt>
                <c:pt idx="21">
                  <c:v>-161</c:v>
                </c:pt>
                <c:pt idx="22">
                  <c:v>-169</c:v>
                </c:pt>
                <c:pt idx="23">
                  <c:v>-178</c:v>
                </c:pt>
                <c:pt idx="24">
                  <c:v>-187</c:v>
                </c:pt>
                <c:pt idx="25">
                  <c:v>-196</c:v>
                </c:pt>
                <c:pt idx="26">
                  <c:v>-205</c:v>
                </c:pt>
                <c:pt idx="27">
                  <c:v>-214</c:v>
                </c:pt>
                <c:pt idx="28">
                  <c:v>-222</c:v>
                </c:pt>
                <c:pt idx="29">
                  <c:v>-230</c:v>
                </c:pt>
                <c:pt idx="30">
                  <c:v>-238</c:v>
                </c:pt>
                <c:pt idx="31">
                  <c:v>-247</c:v>
                </c:pt>
                <c:pt idx="32">
                  <c:v>-255</c:v>
                </c:pt>
                <c:pt idx="33">
                  <c:v>-262</c:v>
                </c:pt>
                <c:pt idx="34">
                  <c:v>-269</c:v>
                </c:pt>
                <c:pt idx="35">
                  <c:v>-277</c:v>
                </c:pt>
                <c:pt idx="36">
                  <c:v>-284</c:v>
                </c:pt>
                <c:pt idx="37">
                  <c:v>-291</c:v>
                </c:pt>
                <c:pt idx="38">
                  <c:v>-298</c:v>
                </c:pt>
                <c:pt idx="39">
                  <c:v>-306</c:v>
                </c:pt>
                <c:pt idx="40">
                  <c:v>-313</c:v>
                </c:pt>
                <c:pt idx="41">
                  <c:v>-320</c:v>
                </c:pt>
                <c:pt idx="42">
                  <c:v>-326</c:v>
                </c:pt>
                <c:pt idx="43">
                  <c:v>-332</c:v>
                </c:pt>
                <c:pt idx="44">
                  <c:v>-339</c:v>
                </c:pt>
                <c:pt idx="45">
                  <c:v>-345</c:v>
                </c:pt>
                <c:pt idx="46">
                  <c:v>-351</c:v>
                </c:pt>
                <c:pt idx="47">
                  <c:v>-357</c:v>
                </c:pt>
                <c:pt idx="48">
                  <c:v>-362</c:v>
                </c:pt>
                <c:pt idx="49">
                  <c:v>-367</c:v>
                </c:pt>
                <c:pt idx="50">
                  <c:v>-373</c:v>
                </c:pt>
                <c:pt idx="51">
                  <c:v>-378</c:v>
                </c:pt>
                <c:pt idx="52">
                  <c:v>-384</c:v>
                </c:pt>
                <c:pt idx="53">
                  <c:v>-389</c:v>
                </c:pt>
                <c:pt idx="54">
                  <c:v>-393</c:v>
                </c:pt>
                <c:pt idx="55">
                  <c:v>-397</c:v>
                </c:pt>
                <c:pt idx="56">
                  <c:v>-401</c:v>
                </c:pt>
                <c:pt idx="57">
                  <c:v>-406</c:v>
                </c:pt>
                <c:pt idx="58">
                  <c:v>-410</c:v>
                </c:pt>
                <c:pt idx="59">
                  <c:v>-415</c:v>
                </c:pt>
                <c:pt idx="60">
                  <c:v>-418</c:v>
                </c:pt>
                <c:pt idx="61">
                  <c:v>-421</c:v>
                </c:pt>
                <c:pt idx="62">
                  <c:v>-424</c:v>
                </c:pt>
                <c:pt idx="63">
                  <c:v>-427</c:v>
                </c:pt>
                <c:pt idx="64">
                  <c:v>-429</c:v>
                </c:pt>
                <c:pt idx="65">
                  <c:v>-431</c:v>
                </c:pt>
                <c:pt idx="66">
                  <c:v>-433</c:v>
                </c:pt>
                <c:pt idx="67">
                  <c:v>-434</c:v>
                </c:pt>
                <c:pt idx="68">
                  <c:v>-435</c:v>
                </c:pt>
                <c:pt idx="69">
                  <c:v>-436</c:v>
                </c:pt>
                <c:pt idx="70">
                  <c:v>-437</c:v>
                </c:pt>
                <c:pt idx="71">
                  <c:v>-438</c:v>
                </c:pt>
                <c:pt idx="72">
                  <c:v>-441</c:v>
                </c:pt>
                <c:pt idx="73">
                  <c:v>-441</c:v>
                </c:pt>
                <c:pt idx="74">
                  <c:v>-442</c:v>
                </c:pt>
                <c:pt idx="75">
                  <c:v>-443</c:v>
                </c:pt>
                <c:pt idx="76">
                  <c:v>-446</c:v>
                </c:pt>
                <c:pt idx="77">
                  <c:v>-447</c:v>
                </c:pt>
                <c:pt idx="78">
                  <c:v>-447</c:v>
                </c:pt>
                <c:pt idx="79">
                  <c:v>-448</c:v>
                </c:pt>
                <c:pt idx="80">
                  <c:v>-450</c:v>
                </c:pt>
                <c:pt idx="81">
                  <c:v>-452</c:v>
                </c:pt>
                <c:pt idx="82">
                  <c:v>-453</c:v>
                </c:pt>
                <c:pt idx="83">
                  <c:v>-456</c:v>
                </c:pt>
                <c:pt idx="84">
                  <c:v>-456</c:v>
                </c:pt>
                <c:pt idx="85">
                  <c:v>-456</c:v>
                </c:pt>
                <c:pt idx="86">
                  <c:v>-456</c:v>
                </c:pt>
                <c:pt idx="87">
                  <c:v>-456</c:v>
                </c:pt>
                <c:pt idx="88">
                  <c:v>-460</c:v>
                </c:pt>
                <c:pt idx="89">
                  <c:v>-460</c:v>
                </c:pt>
                <c:pt idx="90">
                  <c:v>-460</c:v>
                </c:pt>
                <c:pt idx="91">
                  <c:v>-460</c:v>
                </c:pt>
                <c:pt idx="92">
                  <c:v>-464</c:v>
                </c:pt>
                <c:pt idx="93">
                  <c:v>-464</c:v>
                </c:pt>
                <c:pt idx="94">
                  <c:v>-464</c:v>
                </c:pt>
                <c:pt idx="95">
                  <c:v>-464</c:v>
                </c:pt>
                <c:pt idx="96">
                  <c:v>-467</c:v>
                </c:pt>
                <c:pt idx="97">
                  <c:v>-467</c:v>
                </c:pt>
                <c:pt idx="98">
                  <c:v>-467</c:v>
                </c:pt>
                <c:pt idx="99">
                  <c:v>-470</c:v>
                </c:pt>
                <c:pt idx="100">
                  <c:v>-471</c:v>
                </c:pt>
                <c:pt idx="101">
                  <c:v>-475</c:v>
                </c:pt>
                <c:pt idx="102">
                  <c:v>-475</c:v>
                </c:pt>
                <c:pt idx="103">
                  <c:v>-476</c:v>
                </c:pt>
                <c:pt idx="104">
                  <c:v>-476</c:v>
                </c:pt>
                <c:pt idx="105">
                  <c:v>-477</c:v>
                </c:pt>
                <c:pt idx="106">
                  <c:v>-481</c:v>
                </c:pt>
                <c:pt idx="107">
                  <c:v>-481</c:v>
                </c:pt>
                <c:pt idx="108">
                  <c:v>-485</c:v>
                </c:pt>
                <c:pt idx="109">
                  <c:v>-485</c:v>
                </c:pt>
                <c:pt idx="110">
                  <c:v>-485</c:v>
                </c:pt>
                <c:pt idx="111">
                  <c:v>-489</c:v>
                </c:pt>
                <c:pt idx="112">
                  <c:v>-489</c:v>
                </c:pt>
                <c:pt idx="113">
                  <c:v>-489</c:v>
                </c:pt>
                <c:pt idx="114">
                  <c:v>-493</c:v>
                </c:pt>
                <c:pt idx="115">
                  <c:v>-493</c:v>
                </c:pt>
                <c:pt idx="116">
                  <c:v>-493</c:v>
                </c:pt>
                <c:pt idx="117">
                  <c:v>-496</c:v>
                </c:pt>
                <c:pt idx="118">
                  <c:v>-496</c:v>
                </c:pt>
                <c:pt idx="119">
                  <c:v>-496</c:v>
                </c:pt>
                <c:pt idx="120">
                  <c:v>-500</c:v>
                </c:pt>
                <c:pt idx="121">
                  <c:v>-500</c:v>
                </c:pt>
                <c:pt idx="122">
                  <c:v>-504</c:v>
                </c:pt>
                <c:pt idx="123">
                  <c:v>-504</c:v>
                </c:pt>
                <c:pt idx="124">
                  <c:v>-504</c:v>
                </c:pt>
                <c:pt idx="125">
                  <c:v>-505</c:v>
                </c:pt>
                <c:pt idx="126">
                  <c:v>-506</c:v>
                </c:pt>
                <c:pt idx="127">
                  <c:v>-506</c:v>
                </c:pt>
                <c:pt idx="128">
                  <c:v>-506</c:v>
                </c:pt>
                <c:pt idx="129">
                  <c:v>-510</c:v>
                </c:pt>
                <c:pt idx="130">
                  <c:v>-513</c:v>
                </c:pt>
                <c:pt idx="131">
                  <c:v>-513</c:v>
                </c:pt>
                <c:pt idx="132">
                  <c:v>-513</c:v>
                </c:pt>
                <c:pt idx="133">
                  <c:v>-513</c:v>
                </c:pt>
                <c:pt idx="134">
                  <c:v>-516</c:v>
                </c:pt>
                <c:pt idx="135">
                  <c:v>-516</c:v>
                </c:pt>
                <c:pt idx="136">
                  <c:v>-516</c:v>
                </c:pt>
                <c:pt idx="137">
                  <c:v>-519</c:v>
                </c:pt>
                <c:pt idx="138">
                  <c:v>-519</c:v>
                </c:pt>
                <c:pt idx="139">
                  <c:v>-521</c:v>
                </c:pt>
                <c:pt idx="140">
                  <c:v>-521</c:v>
                </c:pt>
                <c:pt idx="141">
                  <c:v>-525</c:v>
                </c:pt>
                <c:pt idx="142">
                  <c:v>-525</c:v>
                </c:pt>
                <c:pt idx="143">
                  <c:v>-525</c:v>
                </c:pt>
                <c:pt idx="144">
                  <c:v>-529</c:v>
                </c:pt>
                <c:pt idx="145">
                  <c:v>-529</c:v>
                </c:pt>
                <c:pt idx="146">
                  <c:v>-530</c:v>
                </c:pt>
                <c:pt idx="147">
                  <c:v>-534</c:v>
                </c:pt>
                <c:pt idx="148">
                  <c:v>-534</c:v>
                </c:pt>
                <c:pt idx="149">
                  <c:v>-537</c:v>
                </c:pt>
                <c:pt idx="150">
                  <c:v>-537</c:v>
                </c:pt>
                <c:pt idx="151">
                  <c:v>-537</c:v>
                </c:pt>
                <c:pt idx="152">
                  <c:v>-537</c:v>
                </c:pt>
                <c:pt idx="153">
                  <c:v>-541</c:v>
                </c:pt>
                <c:pt idx="154">
                  <c:v>-541</c:v>
                </c:pt>
                <c:pt idx="155">
                  <c:v>-541</c:v>
                </c:pt>
                <c:pt idx="156">
                  <c:v>-545</c:v>
                </c:pt>
                <c:pt idx="157">
                  <c:v>-545</c:v>
                </c:pt>
                <c:pt idx="158">
                  <c:v>-545</c:v>
                </c:pt>
                <c:pt idx="159">
                  <c:v>-546</c:v>
                </c:pt>
                <c:pt idx="160">
                  <c:v>-547</c:v>
                </c:pt>
                <c:pt idx="161">
                  <c:v>-547</c:v>
                </c:pt>
                <c:pt idx="162">
                  <c:v>-551</c:v>
                </c:pt>
                <c:pt idx="163">
                  <c:v>-551</c:v>
                </c:pt>
                <c:pt idx="164">
                  <c:v>-552</c:v>
                </c:pt>
                <c:pt idx="165">
                  <c:v>-554</c:v>
                </c:pt>
                <c:pt idx="166">
                  <c:v>-558</c:v>
                </c:pt>
                <c:pt idx="167">
                  <c:v>-559</c:v>
                </c:pt>
                <c:pt idx="168">
                  <c:v>-559</c:v>
                </c:pt>
                <c:pt idx="169">
                  <c:v>-559</c:v>
                </c:pt>
                <c:pt idx="170">
                  <c:v>-562</c:v>
                </c:pt>
                <c:pt idx="171">
                  <c:v>-562</c:v>
                </c:pt>
                <c:pt idx="172">
                  <c:v>-571</c:v>
                </c:pt>
                <c:pt idx="173">
                  <c:v>-579</c:v>
                </c:pt>
                <c:pt idx="174">
                  <c:v>-588</c:v>
                </c:pt>
                <c:pt idx="175">
                  <c:v>-597</c:v>
                </c:pt>
                <c:pt idx="176">
                  <c:v>-606</c:v>
                </c:pt>
                <c:pt idx="177">
                  <c:v>-614</c:v>
                </c:pt>
                <c:pt idx="178">
                  <c:v>-623</c:v>
                </c:pt>
                <c:pt idx="179">
                  <c:v>-632</c:v>
                </c:pt>
                <c:pt idx="180">
                  <c:v>-640</c:v>
                </c:pt>
                <c:pt idx="181">
                  <c:v>-648</c:v>
                </c:pt>
                <c:pt idx="182">
                  <c:v>-656</c:v>
                </c:pt>
                <c:pt idx="183">
                  <c:v>-663</c:v>
                </c:pt>
                <c:pt idx="184">
                  <c:v>-671</c:v>
                </c:pt>
                <c:pt idx="185">
                  <c:v>-678</c:v>
                </c:pt>
                <c:pt idx="186">
                  <c:v>-685</c:v>
                </c:pt>
                <c:pt idx="187">
                  <c:v>-692</c:v>
                </c:pt>
                <c:pt idx="188">
                  <c:v>-698</c:v>
                </c:pt>
                <c:pt idx="189">
                  <c:v>-704</c:v>
                </c:pt>
                <c:pt idx="190">
                  <c:v>-711</c:v>
                </c:pt>
                <c:pt idx="191">
                  <c:v>-718</c:v>
                </c:pt>
                <c:pt idx="192">
                  <c:v>-724</c:v>
                </c:pt>
                <c:pt idx="193">
                  <c:v>-731</c:v>
                </c:pt>
                <c:pt idx="194">
                  <c:v>-738</c:v>
                </c:pt>
                <c:pt idx="195">
                  <c:v>-746</c:v>
                </c:pt>
                <c:pt idx="196">
                  <c:v>-752</c:v>
                </c:pt>
                <c:pt idx="197">
                  <c:v>-760</c:v>
                </c:pt>
                <c:pt idx="198">
                  <c:v>-767</c:v>
                </c:pt>
                <c:pt idx="199">
                  <c:v>-772</c:v>
                </c:pt>
                <c:pt idx="200">
                  <c:v>-779</c:v>
                </c:pt>
                <c:pt idx="201">
                  <c:v>-784</c:v>
                </c:pt>
                <c:pt idx="202">
                  <c:v>-791</c:v>
                </c:pt>
                <c:pt idx="203">
                  <c:v>-796</c:v>
                </c:pt>
                <c:pt idx="204">
                  <c:v>-801</c:v>
                </c:pt>
                <c:pt idx="205">
                  <c:v>-806</c:v>
                </c:pt>
                <c:pt idx="206">
                  <c:v>-810</c:v>
                </c:pt>
                <c:pt idx="207">
                  <c:v>-814</c:v>
                </c:pt>
                <c:pt idx="208">
                  <c:v>-819</c:v>
                </c:pt>
                <c:pt idx="209">
                  <c:v>-824</c:v>
                </c:pt>
                <c:pt idx="210">
                  <c:v>-828</c:v>
                </c:pt>
                <c:pt idx="211">
                  <c:v>-833</c:v>
                </c:pt>
                <c:pt idx="212">
                  <c:v>-837</c:v>
                </c:pt>
                <c:pt idx="213">
                  <c:v>-840</c:v>
                </c:pt>
                <c:pt idx="214">
                  <c:v>-845</c:v>
                </c:pt>
                <c:pt idx="215">
                  <c:v>-849</c:v>
                </c:pt>
                <c:pt idx="216">
                  <c:v>-854</c:v>
                </c:pt>
                <c:pt idx="217">
                  <c:v>-857</c:v>
                </c:pt>
                <c:pt idx="218">
                  <c:v>-860</c:v>
                </c:pt>
                <c:pt idx="219">
                  <c:v>-864</c:v>
                </c:pt>
                <c:pt idx="220">
                  <c:v>-867</c:v>
                </c:pt>
                <c:pt idx="221">
                  <c:v>-871</c:v>
                </c:pt>
                <c:pt idx="222">
                  <c:v>-875</c:v>
                </c:pt>
                <c:pt idx="223">
                  <c:v>-878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A7-45B5-8179-FA185CA9CA79}"/>
            </c:ext>
          </c:extLst>
        </c:ser>
        <c:ser>
          <c:idx val="2"/>
          <c:order val="2"/>
          <c:tx>
            <c:strRef>
              <c:f>'Km83+980'!$AG$9</c:f>
              <c:strCache>
                <c:ptCount val="1"/>
                <c:pt idx="0">
                  <c:v>Tim</c:v>
                </c:pt>
              </c:strCache>
            </c:strRef>
          </c:tx>
          <c:marker>
            <c:symbol val="triangle"/>
            <c:size val="2"/>
            <c:spPr>
              <a:solidFill>
                <a:srgbClr val="0000FF"/>
              </a:solidFill>
              <a:ln w="12700">
                <a:solidFill>
                  <a:srgbClr val="0000FF"/>
                </a:solidFill>
                <a:prstDash val="solid"/>
              </a:ln>
            </c:spPr>
          </c:marker>
          <c:xVal>
            <c:numRef>
              <c:f>'Km83+980'!$B$11:$B$322</c:f>
              <c:numCache>
                <c:formatCode>[$-1010000]d/m/yyyy;@</c:formatCode>
                <c:ptCount val="312"/>
                <c:pt idx="0">
                  <c:v>45585</c:v>
                </c:pt>
                <c:pt idx="1">
                  <c:v>45586</c:v>
                </c:pt>
                <c:pt idx="2">
                  <c:v>45587</c:v>
                </c:pt>
                <c:pt idx="3">
                  <c:v>45588</c:v>
                </c:pt>
                <c:pt idx="4">
                  <c:v>45589</c:v>
                </c:pt>
                <c:pt idx="5">
                  <c:v>45590</c:v>
                </c:pt>
                <c:pt idx="6">
                  <c:v>45591</c:v>
                </c:pt>
                <c:pt idx="7">
                  <c:v>45592</c:v>
                </c:pt>
                <c:pt idx="8">
                  <c:v>45593</c:v>
                </c:pt>
                <c:pt idx="9">
                  <c:v>45594</c:v>
                </c:pt>
                <c:pt idx="10">
                  <c:v>45595</c:v>
                </c:pt>
                <c:pt idx="11">
                  <c:v>45596</c:v>
                </c:pt>
                <c:pt idx="12">
                  <c:v>45597</c:v>
                </c:pt>
                <c:pt idx="13">
                  <c:v>45598</c:v>
                </c:pt>
                <c:pt idx="14">
                  <c:v>45599</c:v>
                </c:pt>
                <c:pt idx="15">
                  <c:v>45600</c:v>
                </c:pt>
                <c:pt idx="16">
                  <c:v>45601</c:v>
                </c:pt>
                <c:pt idx="17">
                  <c:v>45602</c:v>
                </c:pt>
                <c:pt idx="18">
                  <c:v>45603</c:v>
                </c:pt>
                <c:pt idx="19">
                  <c:v>45604</c:v>
                </c:pt>
                <c:pt idx="20">
                  <c:v>45605</c:v>
                </c:pt>
                <c:pt idx="21">
                  <c:v>45606</c:v>
                </c:pt>
                <c:pt idx="22">
                  <c:v>45607</c:v>
                </c:pt>
                <c:pt idx="23">
                  <c:v>45608</c:v>
                </c:pt>
                <c:pt idx="24">
                  <c:v>45609</c:v>
                </c:pt>
                <c:pt idx="25">
                  <c:v>45610</c:v>
                </c:pt>
                <c:pt idx="26">
                  <c:v>45611</c:v>
                </c:pt>
                <c:pt idx="27">
                  <c:v>45612</c:v>
                </c:pt>
                <c:pt idx="28">
                  <c:v>45613</c:v>
                </c:pt>
                <c:pt idx="29">
                  <c:v>45614</c:v>
                </c:pt>
                <c:pt idx="30">
                  <c:v>45615</c:v>
                </c:pt>
                <c:pt idx="31">
                  <c:v>45616</c:v>
                </c:pt>
                <c:pt idx="32">
                  <c:v>45617</c:v>
                </c:pt>
                <c:pt idx="33">
                  <c:v>45618</c:v>
                </c:pt>
                <c:pt idx="34">
                  <c:v>45619</c:v>
                </c:pt>
                <c:pt idx="35">
                  <c:v>45620</c:v>
                </c:pt>
                <c:pt idx="36">
                  <c:v>45621</c:v>
                </c:pt>
                <c:pt idx="37">
                  <c:v>45622</c:v>
                </c:pt>
                <c:pt idx="38">
                  <c:v>45623</c:v>
                </c:pt>
                <c:pt idx="39">
                  <c:v>45624</c:v>
                </c:pt>
                <c:pt idx="40">
                  <c:v>45625</c:v>
                </c:pt>
                <c:pt idx="41">
                  <c:v>45626</c:v>
                </c:pt>
                <c:pt idx="42">
                  <c:v>45627</c:v>
                </c:pt>
                <c:pt idx="43">
                  <c:v>45628</c:v>
                </c:pt>
                <c:pt idx="44">
                  <c:v>45629</c:v>
                </c:pt>
                <c:pt idx="45">
                  <c:v>45630</c:v>
                </c:pt>
                <c:pt idx="46">
                  <c:v>45631</c:v>
                </c:pt>
                <c:pt idx="47">
                  <c:v>45632</c:v>
                </c:pt>
                <c:pt idx="48">
                  <c:v>45633</c:v>
                </c:pt>
                <c:pt idx="49">
                  <c:v>45634</c:v>
                </c:pt>
                <c:pt idx="50">
                  <c:v>45635</c:v>
                </c:pt>
                <c:pt idx="51">
                  <c:v>45636</c:v>
                </c:pt>
                <c:pt idx="52">
                  <c:v>45637</c:v>
                </c:pt>
                <c:pt idx="53">
                  <c:v>45638</c:v>
                </c:pt>
                <c:pt idx="54">
                  <c:v>45639</c:v>
                </c:pt>
                <c:pt idx="55">
                  <c:v>45640</c:v>
                </c:pt>
                <c:pt idx="56">
                  <c:v>45641</c:v>
                </c:pt>
                <c:pt idx="57">
                  <c:v>45642</c:v>
                </c:pt>
                <c:pt idx="58">
                  <c:v>45643</c:v>
                </c:pt>
                <c:pt idx="59">
                  <c:v>45644</c:v>
                </c:pt>
                <c:pt idx="60">
                  <c:v>45645</c:v>
                </c:pt>
                <c:pt idx="61">
                  <c:v>45646</c:v>
                </c:pt>
                <c:pt idx="62">
                  <c:v>45647</c:v>
                </c:pt>
                <c:pt idx="63">
                  <c:v>45648</c:v>
                </c:pt>
                <c:pt idx="64">
                  <c:v>45649</c:v>
                </c:pt>
                <c:pt idx="65">
                  <c:v>45650</c:v>
                </c:pt>
                <c:pt idx="66">
                  <c:v>45651</c:v>
                </c:pt>
                <c:pt idx="67">
                  <c:v>45652</c:v>
                </c:pt>
                <c:pt idx="68">
                  <c:v>45653</c:v>
                </c:pt>
                <c:pt idx="69">
                  <c:v>45654</c:v>
                </c:pt>
                <c:pt idx="70">
                  <c:v>45655</c:v>
                </c:pt>
                <c:pt idx="71">
                  <c:v>45656</c:v>
                </c:pt>
                <c:pt idx="72">
                  <c:v>45657</c:v>
                </c:pt>
                <c:pt idx="73">
                  <c:v>45658</c:v>
                </c:pt>
                <c:pt idx="74">
                  <c:v>45659</c:v>
                </c:pt>
                <c:pt idx="75">
                  <c:v>45660</c:v>
                </c:pt>
                <c:pt idx="76">
                  <c:v>45661</c:v>
                </c:pt>
                <c:pt idx="77">
                  <c:v>45662</c:v>
                </c:pt>
                <c:pt idx="78">
                  <c:v>45663</c:v>
                </c:pt>
                <c:pt idx="79">
                  <c:v>45664</c:v>
                </c:pt>
                <c:pt idx="80">
                  <c:v>45665</c:v>
                </c:pt>
                <c:pt idx="81">
                  <c:v>45666</c:v>
                </c:pt>
                <c:pt idx="82">
                  <c:v>45667</c:v>
                </c:pt>
                <c:pt idx="83">
                  <c:v>45668</c:v>
                </c:pt>
                <c:pt idx="84">
                  <c:v>45669</c:v>
                </c:pt>
                <c:pt idx="85">
                  <c:v>45670</c:v>
                </c:pt>
                <c:pt idx="86">
                  <c:v>45671</c:v>
                </c:pt>
                <c:pt idx="87">
                  <c:v>45672</c:v>
                </c:pt>
                <c:pt idx="88">
                  <c:v>45673</c:v>
                </c:pt>
                <c:pt idx="89">
                  <c:v>45674</c:v>
                </c:pt>
                <c:pt idx="90">
                  <c:v>45675</c:v>
                </c:pt>
                <c:pt idx="91">
                  <c:v>45676</c:v>
                </c:pt>
                <c:pt idx="92">
                  <c:v>45677</c:v>
                </c:pt>
                <c:pt idx="93">
                  <c:v>45678</c:v>
                </c:pt>
                <c:pt idx="94">
                  <c:v>45679</c:v>
                </c:pt>
                <c:pt idx="95">
                  <c:v>45680</c:v>
                </c:pt>
                <c:pt idx="96">
                  <c:v>45681</c:v>
                </c:pt>
                <c:pt idx="97">
                  <c:v>45682</c:v>
                </c:pt>
                <c:pt idx="98">
                  <c:v>45683</c:v>
                </c:pt>
                <c:pt idx="99">
                  <c:v>45684</c:v>
                </c:pt>
                <c:pt idx="100">
                  <c:v>45685</c:v>
                </c:pt>
                <c:pt idx="101">
                  <c:v>45686</c:v>
                </c:pt>
                <c:pt idx="102">
                  <c:v>45687</c:v>
                </c:pt>
                <c:pt idx="103">
                  <c:v>45688</c:v>
                </c:pt>
                <c:pt idx="104">
                  <c:v>45689</c:v>
                </c:pt>
                <c:pt idx="105">
                  <c:v>45690</c:v>
                </c:pt>
                <c:pt idx="106">
                  <c:v>45691</c:v>
                </c:pt>
                <c:pt idx="107">
                  <c:v>45692</c:v>
                </c:pt>
                <c:pt idx="108">
                  <c:v>45693</c:v>
                </c:pt>
                <c:pt idx="109">
                  <c:v>45694</c:v>
                </c:pt>
                <c:pt idx="110">
                  <c:v>45695</c:v>
                </c:pt>
                <c:pt idx="111">
                  <c:v>45696</c:v>
                </c:pt>
                <c:pt idx="112">
                  <c:v>45697</c:v>
                </c:pt>
                <c:pt idx="113">
                  <c:v>45698</c:v>
                </c:pt>
                <c:pt idx="114">
                  <c:v>45699</c:v>
                </c:pt>
                <c:pt idx="115">
                  <c:v>45700</c:v>
                </c:pt>
                <c:pt idx="116">
                  <c:v>45701</c:v>
                </c:pt>
                <c:pt idx="117">
                  <c:v>45702</c:v>
                </c:pt>
                <c:pt idx="118">
                  <c:v>45703</c:v>
                </c:pt>
                <c:pt idx="119">
                  <c:v>45704</c:v>
                </c:pt>
                <c:pt idx="120">
                  <c:v>45705</c:v>
                </c:pt>
                <c:pt idx="121">
                  <c:v>45706</c:v>
                </c:pt>
                <c:pt idx="122">
                  <c:v>45707</c:v>
                </c:pt>
                <c:pt idx="123">
                  <c:v>45708</c:v>
                </c:pt>
                <c:pt idx="124">
                  <c:v>45709</c:v>
                </c:pt>
                <c:pt idx="125">
                  <c:v>45710</c:v>
                </c:pt>
                <c:pt idx="126">
                  <c:v>45711</c:v>
                </c:pt>
                <c:pt idx="127">
                  <c:v>45712</c:v>
                </c:pt>
                <c:pt idx="128">
                  <c:v>45713</c:v>
                </c:pt>
                <c:pt idx="129">
                  <c:v>45714</c:v>
                </c:pt>
                <c:pt idx="130">
                  <c:v>45715</c:v>
                </c:pt>
                <c:pt idx="131">
                  <c:v>45716</c:v>
                </c:pt>
                <c:pt idx="132">
                  <c:v>45717</c:v>
                </c:pt>
                <c:pt idx="133">
                  <c:v>45718</c:v>
                </c:pt>
                <c:pt idx="134">
                  <c:v>45719</c:v>
                </c:pt>
                <c:pt idx="135">
                  <c:v>45720</c:v>
                </c:pt>
                <c:pt idx="136">
                  <c:v>45721</c:v>
                </c:pt>
                <c:pt idx="137">
                  <c:v>45722</c:v>
                </c:pt>
                <c:pt idx="138">
                  <c:v>45723</c:v>
                </c:pt>
                <c:pt idx="139">
                  <c:v>45724</c:v>
                </c:pt>
                <c:pt idx="140">
                  <c:v>45725</c:v>
                </c:pt>
                <c:pt idx="141">
                  <c:v>45726</c:v>
                </c:pt>
                <c:pt idx="142">
                  <c:v>45727</c:v>
                </c:pt>
                <c:pt idx="143">
                  <c:v>45728</c:v>
                </c:pt>
                <c:pt idx="144">
                  <c:v>45729</c:v>
                </c:pt>
                <c:pt idx="145">
                  <c:v>45730</c:v>
                </c:pt>
                <c:pt idx="146">
                  <c:v>45731</c:v>
                </c:pt>
                <c:pt idx="147">
                  <c:v>45732</c:v>
                </c:pt>
                <c:pt idx="148">
                  <c:v>45733</c:v>
                </c:pt>
                <c:pt idx="149">
                  <c:v>45734</c:v>
                </c:pt>
                <c:pt idx="150">
                  <c:v>45735</c:v>
                </c:pt>
                <c:pt idx="151">
                  <c:v>45736</c:v>
                </c:pt>
                <c:pt idx="152">
                  <c:v>45737</c:v>
                </c:pt>
                <c:pt idx="153">
                  <c:v>45738</c:v>
                </c:pt>
                <c:pt idx="154">
                  <c:v>45739</c:v>
                </c:pt>
                <c:pt idx="155">
                  <c:v>45740</c:v>
                </c:pt>
                <c:pt idx="156">
                  <c:v>45741</c:v>
                </c:pt>
                <c:pt idx="157">
                  <c:v>45742</c:v>
                </c:pt>
                <c:pt idx="158">
                  <c:v>45743</c:v>
                </c:pt>
                <c:pt idx="159">
                  <c:v>45744</c:v>
                </c:pt>
                <c:pt idx="160">
                  <c:v>45745</c:v>
                </c:pt>
                <c:pt idx="161">
                  <c:v>45746</c:v>
                </c:pt>
                <c:pt idx="162">
                  <c:v>45747</c:v>
                </c:pt>
                <c:pt idx="163">
                  <c:v>45748</c:v>
                </c:pt>
                <c:pt idx="164">
                  <c:v>45749</c:v>
                </c:pt>
                <c:pt idx="165">
                  <c:v>45750</c:v>
                </c:pt>
                <c:pt idx="166">
                  <c:v>45751</c:v>
                </c:pt>
                <c:pt idx="167">
                  <c:v>45752</c:v>
                </c:pt>
                <c:pt idx="168">
                  <c:v>45753</c:v>
                </c:pt>
                <c:pt idx="169">
                  <c:v>45754</c:v>
                </c:pt>
                <c:pt idx="170">
                  <c:v>45755</c:v>
                </c:pt>
                <c:pt idx="171">
                  <c:v>45756</c:v>
                </c:pt>
                <c:pt idx="172">
                  <c:v>45757</c:v>
                </c:pt>
                <c:pt idx="173">
                  <c:v>45758</c:v>
                </c:pt>
                <c:pt idx="174">
                  <c:v>45759</c:v>
                </c:pt>
                <c:pt idx="175">
                  <c:v>45760</c:v>
                </c:pt>
                <c:pt idx="176">
                  <c:v>45761</c:v>
                </c:pt>
                <c:pt idx="177">
                  <c:v>45762</c:v>
                </c:pt>
                <c:pt idx="178">
                  <c:v>45763</c:v>
                </c:pt>
                <c:pt idx="179">
                  <c:v>45764</c:v>
                </c:pt>
                <c:pt idx="180">
                  <c:v>45765</c:v>
                </c:pt>
                <c:pt idx="181">
                  <c:v>45766</c:v>
                </c:pt>
                <c:pt idx="182">
                  <c:v>45767</c:v>
                </c:pt>
                <c:pt idx="183">
                  <c:v>45768</c:v>
                </c:pt>
                <c:pt idx="184">
                  <c:v>45769</c:v>
                </c:pt>
                <c:pt idx="185">
                  <c:v>45770</c:v>
                </c:pt>
                <c:pt idx="186">
                  <c:v>45771</c:v>
                </c:pt>
                <c:pt idx="187">
                  <c:v>45772</c:v>
                </c:pt>
                <c:pt idx="188">
                  <c:v>45773</c:v>
                </c:pt>
                <c:pt idx="189">
                  <c:v>45774</c:v>
                </c:pt>
                <c:pt idx="190">
                  <c:v>45775</c:v>
                </c:pt>
                <c:pt idx="191">
                  <c:v>45776</c:v>
                </c:pt>
                <c:pt idx="192">
                  <c:v>45777</c:v>
                </c:pt>
                <c:pt idx="193">
                  <c:v>45778</c:v>
                </c:pt>
                <c:pt idx="194">
                  <c:v>45779</c:v>
                </c:pt>
                <c:pt idx="195">
                  <c:v>45780</c:v>
                </c:pt>
                <c:pt idx="196">
                  <c:v>45781</c:v>
                </c:pt>
                <c:pt idx="197">
                  <c:v>45782</c:v>
                </c:pt>
                <c:pt idx="198">
                  <c:v>45783</c:v>
                </c:pt>
                <c:pt idx="199">
                  <c:v>45784</c:v>
                </c:pt>
                <c:pt idx="200">
                  <c:v>45785</c:v>
                </c:pt>
                <c:pt idx="201">
                  <c:v>45786</c:v>
                </c:pt>
                <c:pt idx="202">
                  <c:v>45787</c:v>
                </c:pt>
                <c:pt idx="203">
                  <c:v>45788</c:v>
                </c:pt>
                <c:pt idx="204">
                  <c:v>45789</c:v>
                </c:pt>
                <c:pt idx="205">
                  <c:v>45790</c:v>
                </c:pt>
                <c:pt idx="206">
                  <c:v>45791</c:v>
                </c:pt>
                <c:pt idx="207">
                  <c:v>45792</c:v>
                </c:pt>
                <c:pt idx="208">
                  <c:v>45793</c:v>
                </c:pt>
                <c:pt idx="209">
                  <c:v>45794</c:v>
                </c:pt>
                <c:pt idx="210">
                  <c:v>45795</c:v>
                </c:pt>
                <c:pt idx="211">
                  <c:v>45796</c:v>
                </c:pt>
                <c:pt idx="212">
                  <c:v>45797</c:v>
                </c:pt>
                <c:pt idx="213">
                  <c:v>45798</c:v>
                </c:pt>
                <c:pt idx="214">
                  <c:v>45799</c:v>
                </c:pt>
                <c:pt idx="215">
                  <c:v>45800</c:v>
                </c:pt>
                <c:pt idx="216">
                  <c:v>45801</c:v>
                </c:pt>
                <c:pt idx="217">
                  <c:v>45802</c:v>
                </c:pt>
                <c:pt idx="218">
                  <c:v>45803</c:v>
                </c:pt>
                <c:pt idx="219">
                  <c:v>45804</c:v>
                </c:pt>
                <c:pt idx="220">
                  <c:v>45805</c:v>
                </c:pt>
                <c:pt idx="221">
                  <c:v>45806</c:v>
                </c:pt>
                <c:pt idx="222">
                  <c:v>45807</c:v>
                </c:pt>
                <c:pt idx="223">
                  <c:v>45808</c:v>
                </c:pt>
              </c:numCache>
            </c:numRef>
          </c:xVal>
          <c:yVal>
            <c:numRef>
              <c:f>'Km83+980'!$AG$11:$AG$321</c:f>
              <c:numCache>
                <c:formatCode>0</c:formatCode>
                <c:ptCount val="311"/>
                <c:pt idx="0">
                  <c:v>0</c:v>
                </c:pt>
                <c:pt idx="1">
                  <c:v>-4</c:v>
                </c:pt>
                <c:pt idx="2">
                  <c:v>-7</c:v>
                </c:pt>
                <c:pt idx="3">
                  <c:v>-15</c:v>
                </c:pt>
                <c:pt idx="4">
                  <c:v>-22</c:v>
                </c:pt>
                <c:pt idx="5">
                  <c:v>-31</c:v>
                </c:pt>
                <c:pt idx="6">
                  <c:v>-39</c:v>
                </c:pt>
                <c:pt idx="7">
                  <c:v>-47</c:v>
                </c:pt>
                <c:pt idx="8">
                  <c:v>-55</c:v>
                </c:pt>
                <c:pt idx="9">
                  <c:v>-62</c:v>
                </c:pt>
                <c:pt idx="10">
                  <c:v>-69</c:v>
                </c:pt>
                <c:pt idx="11">
                  <c:v>-75</c:v>
                </c:pt>
                <c:pt idx="12">
                  <c:v>-81</c:v>
                </c:pt>
                <c:pt idx="13">
                  <c:v>-86</c:v>
                </c:pt>
                <c:pt idx="14">
                  <c:v>-91</c:v>
                </c:pt>
                <c:pt idx="15">
                  <c:v>-100</c:v>
                </c:pt>
                <c:pt idx="16">
                  <c:v>-109</c:v>
                </c:pt>
                <c:pt idx="17">
                  <c:v>-117</c:v>
                </c:pt>
                <c:pt idx="18">
                  <c:v>-126</c:v>
                </c:pt>
                <c:pt idx="19">
                  <c:v>-135</c:v>
                </c:pt>
                <c:pt idx="20">
                  <c:v>-143</c:v>
                </c:pt>
                <c:pt idx="21">
                  <c:v>-152</c:v>
                </c:pt>
                <c:pt idx="22">
                  <c:v>-161</c:v>
                </c:pt>
                <c:pt idx="23">
                  <c:v>-170</c:v>
                </c:pt>
                <c:pt idx="24">
                  <c:v>-178</c:v>
                </c:pt>
                <c:pt idx="25">
                  <c:v>-187</c:v>
                </c:pt>
                <c:pt idx="26">
                  <c:v>-195</c:v>
                </c:pt>
                <c:pt idx="27">
                  <c:v>-204</c:v>
                </c:pt>
                <c:pt idx="28">
                  <c:v>-213</c:v>
                </c:pt>
                <c:pt idx="29">
                  <c:v>-221</c:v>
                </c:pt>
                <c:pt idx="30">
                  <c:v>-230</c:v>
                </c:pt>
                <c:pt idx="31">
                  <c:v>-239</c:v>
                </c:pt>
                <c:pt idx="32">
                  <c:v>-247</c:v>
                </c:pt>
                <c:pt idx="33">
                  <c:v>-256</c:v>
                </c:pt>
                <c:pt idx="34">
                  <c:v>-265</c:v>
                </c:pt>
                <c:pt idx="35">
                  <c:v>-273</c:v>
                </c:pt>
                <c:pt idx="36">
                  <c:v>-280</c:v>
                </c:pt>
                <c:pt idx="37">
                  <c:v>-288</c:v>
                </c:pt>
                <c:pt idx="38">
                  <c:v>-296</c:v>
                </c:pt>
                <c:pt idx="39">
                  <c:v>-304</c:v>
                </c:pt>
                <c:pt idx="40">
                  <c:v>-311</c:v>
                </c:pt>
                <c:pt idx="41">
                  <c:v>-319</c:v>
                </c:pt>
                <c:pt idx="42">
                  <c:v>-327</c:v>
                </c:pt>
                <c:pt idx="43">
                  <c:v>-334</c:v>
                </c:pt>
                <c:pt idx="44">
                  <c:v>-342</c:v>
                </c:pt>
                <c:pt idx="45">
                  <c:v>-350</c:v>
                </c:pt>
                <c:pt idx="46">
                  <c:v>-357</c:v>
                </c:pt>
                <c:pt idx="47">
                  <c:v>-365</c:v>
                </c:pt>
                <c:pt idx="48">
                  <c:v>-373</c:v>
                </c:pt>
                <c:pt idx="49">
                  <c:v>-380</c:v>
                </c:pt>
                <c:pt idx="50">
                  <c:v>-388</c:v>
                </c:pt>
                <c:pt idx="51">
                  <c:v>-394</c:v>
                </c:pt>
                <c:pt idx="52">
                  <c:v>-401</c:v>
                </c:pt>
                <c:pt idx="53">
                  <c:v>-408</c:v>
                </c:pt>
                <c:pt idx="54">
                  <c:v>-414</c:v>
                </c:pt>
                <c:pt idx="55">
                  <c:v>-421</c:v>
                </c:pt>
                <c:pt idx="56">
                  <c:v>-427</c:v>
                </c:pt>
                <c:pt idx="57">
                  <c:v>-434</c:v>
                </c:pt>
                <c:pt idx="58">
                  <c:v>-440</c:v>
                </c:pt>
                <c:pt idx="59">
                  <c:v>-445</c:v>
                </c:pt>
                <c:pt idx="60">
                  <c:v>-451</c:v>
                </c:pt>
                <c:pt idx="61">
                  <c:v>-457</c:v>
                </c:pt>
                <c:pt idx="62">
                  <c:v>-462</c:v>
                </c:pt>
                <c:pt idx="63">
                  <c:v>-468</c:v>
                </c:pt>
                <c:pt idx="64">
                  <c:v>-474</c:v>
                </c:pt>
                <c:pt idx="65">
                  <c:v>-480</c:v>
                </c:pt>
                <c:pt idx="66">
                  <c:v>-485</c:v>
                </c:pt>
                <c:pt idx="67">
                  <c:v>-489</c:v>
                </c:pt>
                <c:pt idx="68">
                  <c:v>-493</c:v>
                </c:pt>
                <c:pt idx="69">
                  <c:v>-498</c:v>
                </c:pt>
                <c:pt idx="70">
                  <c:v>-503</c:v>
                </c:pt>
                <c:pt idx="71">
                  <c:v>-508</c:v>
                </c:pt>
                <c:pt idx="72">
                  <c:v>-511</c:v>
                </c:pt>
                <c:pt idx="73">
                  <c:v>-515</c:v>
                </c:pt>
                <c:pt idx="74">
                  <c:v>-518</c:v>
                </c:pt>
                <c:pt idx="75">
                  <c:v>-522</c:v>
                </c:pt>
                <c:pt idx="76">
                  <c:v>-526</c:v>
                </c:pt>
                <c:pt idx="77">
                  <c:v>-530</c:v>
                </c:pt>
                <c:pt idx="78">
                  <c:v>-533</c:v>
                </c:pt>
                <c:pt idx="79">
                  <c:v>-536</c:v>
                </c:pt>
                <c:pt idx="80">
                  <c:v>-539</c:v>
                </c:pt>
                <c:pt idx="81">
                  <c:v>-542</c:v>
                </c:pt>
                <c:pt idx="82">
                  <c:v>-544</c:v>
                </c:pt>
                <c:pt idx="83">
                  <c:v>-546</c:v>
                </c:pt>
                <c:pt idx="84">
                  <c:v>-548</c:v>
                </c:pt>
                <c:pt idx="85">
                  <c:v>-550</c:v>
                </c:pt>
                <c:pt idx="86">
                  <c:v>-552</c:v>
                </c:pt>
                <c:pt idx="87">
                  <c:v>-554</c:v>
                </c:pt>
                <c:pt idx="88">
                  <c:v>-555</c:v>
                </c:pt>
                <c:pt idx="89">
                  <c:v>-556</c:v>
                </c:pt>
                <c:pt idx="90">
                  <c:v>-557</c:v>
                </c:pt>
                <c:pt idx="91">
                  <c:v>-558</c:v>
                </c:pt>
                <c:pt idx="92">
                  <c:v>-560</c:v>
                </c:pt>
                <c:pt idx="93">
                  <c:v>-560</c:v>
                </c:pt>
                <c:pt idx="94">
                  <c:v>-564</c:v>
                </c:pt>
                <c:pt idx="95">
                  <c:v>-564</c:v>
                </c:pt>
                <c:pt idx="96">
                  <c:v>-567</c:v>
                </c:pt>
                <c:pt idx="97">
                  <c:v>-567</c:v>
                </c:pt>
                <c:pt idx="98">
                  <c:v>-571</c:v>
                </c:pt>
                <c:pt idx="99">
                  <c:v>-574</c:v>
                </c:pt>
                <c:pt idx="100">
                  <c:v>-575</c:v>
                </c:pt>
                <c:pt idx="101">
                  <c:v>-577</c:v>
                </c:pt>
                <c:pt idx="102">
                  <c:v>-577</c:v>
                </c:pt>
                <c:pt idx="103">
                  <c:v>-581</c:v>
                </c:pt>
                <c:pt idx="104">
                  <c:v>-581</c:v>
                </c:pt>
                <c:pt idx="105">
                  <c:v>-584</c:v>
                </c:pt>
                <c:pt idx="106">
                  <c:v>-587</c:v>
                </c:pt>
                <c:pt idx="107">
                  <c:v>-591</c:v>
                </c:pt>
                <c:pt idx="108">
                  <c:v>-594</c:v>
                </c:pt>
                <c:pt idx="109">
                  <c:v>-594</c:v>
                </c:pt>
                <c:pt idx="110">
                  <c:v>-594</c:v>
                </c:pt>
                <c:pt idx="111">
                  <c:v>-596</c:v>
                </c:pt>
                <c:pt idx="112">
                  <c:v>-596</c:v>
                </c:pt>
                <c:pt idx="113">
                  <c:v>-596</c:v>
                </c:pt>
                <c:pt idx="114">
                  <c:v>-600</c:v>
                </c:pt>
                <c:pt idx="115">
                  <c:v>-600</c:v>
                </c:pt>
                <c:pt idx="116">
                  <c:v>-604</c:v>
                </c:pt>
                <c:pt idx="117">
                  <c:v>-607</c:v>
                </c:pt>
                <c:pt idx="118">
                  <c:v>-610</c:v>
                </c:pt>
                <c:pt idx="119">
                  <c:v>-611</c:v>
                </c:pt>
                <c:pt idx="120">
                  <c:v>-611</c:v>
                </c:pt>
                <c:pt idx="121">
                  <c:v>-615</c:v>
                </c:pt>
                <c:pt idx="122">
                  <c:v>-617</c:v>
                </c:pt>
                <c:pt idx="123">
                  <c:v>-617</c:v>
                </c:pt>
                <c:pt idx="124">
                  <c:v>-620</c:v>
                </c:pt>
                <c:pt idx="125">
                  <c:v>-624</c:v>
                </c:pt>
                <c:pt idx="126">
                  <c:v>-624</c:v>
                </c:pt>
                <c:pt idx="127">
                  <c:v>-628</c:v>
                </c:pt>
                <c:pt idx="128">
                  <c:v>-628</c:v>
                </c:pt>
                <c:pt idx="129">
                  <c:v>-632</c:v>
                </c:pt>
                <c:pt idx="130">
                  <c:v>-634</c:v>
                </c:pt>
                <c:pt idx="131">
                  <c:v>-635</c:v>
                </c:pt>
                <c:pt idx="132">
                  <c:v>-635</c:v>
                </c:pt>
                <c:pt idx="133">
                  <c:v>-639</c:v>
                </c:pt>
                <c:pt idx="134">
                  <c:v>-639</c:v>
                </c:pt>
                <c:pt idx="135">
                  <c:v>-642</c:v>
                </c:pt>
                <c:pt idx="136">
                  <c:v>-642</c:v>
                </c:pt>
                <c:pt idx="137">
                  <c:v>-645</c:v>
                </c:pt>
                <c:pt idx="138">
                  <c:v>-649</c:v>
                </c:pt>
                <c:pt idx="139">
                  <c:v>-653</c:v>
                </c:pt>
                <c:pt idx="140">
                  <c:v>-657</c:v>
                </c:pt>
                <c:pt idx="141">
                  <c:v>-661</c:v>
                </c:pt>
                <c:pt idx="142">
                  <c:v>-661</c:v>
                </c:pt>
                <c:pt idx="143">
                  <c:v>-665</c:v>
                </c:pt>
                <c:pt idx="144">
                  <c:v>-665</c:v>
                </c:pt>
                <c:pt idx="145">
                  <c:v>-668</c:v>
                </c:pt>
                <c:pt idx="146">
                  <c:v>-668</c:v>
                </c:pt>
                <c:pt idx="147">
                  <c:v>-672</c:v>
                </c:pt>
                <c:pt idx="148">
                  <c:v>-675</c:v>
                </c:pt>
                <c:pt idx="149">
                  <c:v>-676</c:v>
                </c:pt>
                <c:pt idx="150">
                  <c:v>-680</c:v>
                </c:pt>
                <c:pt idx="151">
                  <c:v>-680</c:v>
                </c:pt>
                <c:pt idx="152">
                  <c:v>-681</c:v>
                </c:pt>
                <c:pt idx="153">
                  <c:v>-684</c:v>
                </c:pt>
                <c:pt idx="154">
                  <c:v>-687</c:v>
                </c:pt>
                <c:pt idx="155">
                  <c:v>-688</c:v>
                </c:pt>
                <c:pt idx="156">
                  <c:v>-690</c:v>
                </c:pt>
                <c:pt idx="157">
                  <c:v>-690</c:v>
                </c:pt>
                <c:pt idx="158">
                  <c:v>-691</c:v>
                </c:pt>
                <c:pt idx="159">
                  <c:v>-695</c:v>
                </c:pt>
                <c:pt idx="160">
                  <c:v>-696</c:v>
                </c:pt>
                <c:pt idx="161">
                  <c:v>-700</c:v>
                </c:pt>
                <c:pt idx="162">
                  <c:v>-704</c:v>
                </c:pt>
                <c:pt idx="163">
                  <c:v>-704</c:v>
                </c:pt>
                <c:pt idx="164">
                  <c:v>-705</c:v>
                </c:pt>
                <c:pt idx="165">
                  <c:v>-705</c:v>
                </c:pt>
                <c:pt idx="166">
                  <c:v>-708</c:v>
                </c:pt>
                <c:pt idx="167">
                  <c:v>-709</c:v>
                </c:pt>
                <c:pt idx="168">
                  <c:v>-709</c:v>
                </c:pt>
                <c:pt idx="169">
                  <c:v>-713</c:v>
                </c:pt>
                <c:pt idx="170">
                  <c:v>-715</c:v>
                </c:pt>
                <c:pt idx="171">
                  <c:v>-717</c:v>
                </c:pt>
                <c:pt idx="172">
                  <c:v>-726</c:v>
                </c:pt>
                <c:pt idx="173">
                  <c:v>-735</c:v>
                </c:pt>
                <c:pt idx="174">
                  <c:v>-744</c:v>
                </c:pt>
                <c:pt idx="175">
                  <c:v>-752</c:v>
                </c:pt>
                <c:pt idx="176">
                  <c:v>-761</c:v>
                </c:pt>
                <c:pt idx="177">
                  <c:v>-770</c:v>
                </c:pt>
                <c:pt idx="178">
                  <c:v>-779</c:v>
                </c:pt>
                <c:pt idx="179">
                  <c:v>-787</c:v>
                </c:pt>
                <c:pt idx="180">
                  <c:v>-796</c:v>
                </c:pt>
                <c:pt idx="181">
                  <c:v>-805</c:v>
                </c:pt>
                <c:pt idx="182">
                  <c:v>-814</c:v>
                </c:pt>
                <c:pt idx="183">
                  <c:v>-822</c:v>
                </c:pt>
                <c:pt idx="184">
                  <c:v>-829</c:v>
                </c:pt>
                <c:pt idx="185">
                  <c:v>-837</c:v>
                </c:pt>
                <c:pt idx="186">
                  <c:v>-845</c:v>
                </c:pt>
                <c:pt idx="187">
                  <c:v>-853</c:v>
                </c:pt>
                <c:pt idx="188">
                  <c:v>-860</c:v>
                </c:pt>
                <c:pt idx="189">
                  <c:v>-868</c:v>
                </c:pt>
                <c:pt idx="190">
                  <c:v>-875</c:v>
                </c:pt>
                <c:pt idx="191">
                  <c:v>-883</c:v>
                </c:pt>
                <c:pt idx="192">
                  <c:v>-891</c:v>
                </c:pt>
                <c:pt idx="193">
                  <c:v>-898</c:v>
                </c:pt>
                <c:pt idx="194">
                  <c:v>-904</c:v>
                </c:pt>
                <c:pt idx="195">
                  <c:v>-911</c:v>
                </c:pt>
                <c:pt idx="196">
                  <c:v>-918</c:v>
                </c:pt>
                <c:pt idx="197">
                  <c:v>-926</c:v>
                </c:pt>
                <c:pt idx="198">
                  <c:v>-934</c:v>
                </c:pt>
                <c:pt idx="199">
                  <c:v>-942</c:v>
                </c:pt>
                <c:pt idx="200">
                  <c:v>-949</c:v>
                </c:pt>
                <c:pt idx="201">
                  <c:v>-957</c:v>
                </c:pt>
                <c:pt idx="202">
                  <c:v>-965</c:v>
                </c:pt>
                <c:pt idx="203">
                  <c:v>-972</c:v>
                </c:pt>
                <c:pt idx="204">
                  <c:v>-979</c:v>
                </c:pt>
                <c:pt idx="205">
                  <c:v>-985</c:v>
                </c:pt>
                <c:pt idx="206">
                  <c:v>-992</c:v>
                </c:pt>
                <c:pt idx="207">
                  <c:v>-998</c:v>
                </c:pt>
                <c:pt idx="208">
                  <c:v>-1004</c:v>
                </c:pt>
                <c:pt idx="209">
                  <c:v>-1010</c:v>
                </c:pt>
                <c:pt idx="210">
                  <c:v>-1015</c:v>
                </c:pt>
                <c:pt idx="211">
                  <c:v>-1021</c:v>
                </c:pt>
                <c:pt idx="212">
                  <c:v>-1026</c:v>
                </c:pt>
                <c:pt idx="213">
                  <c:v>-1032</c:v>
                </c:pt>
                <c:pt idx="214">
                  <c:v>-1037</c:v>
                </c:pt>
                <c:pt idx="215">
                  <c:v>-1043</c:v>
                </c:pt>
                <c:pt idx="216">
                  <c:v>-1049</c:v>
                </c:pt>
                <c:pt idx="217">
                  <c:v>-1053</c:v>
                </c:pt>
                <c:pt idx="218">
                  <c:v>-1059</c:v>
                </c:pt>
                <c:pt idx="219">
                  <c:v>-1063</c:v>
                </c:pt>
                <c:pt idx="220">
                  <c:v>-1067</c:v>
                </c:pt>
                <c:pt idx="221">
                  <c:v>-1073</c:v>
                </c:pt>
                <c:pt idx="222">
                  <c:v>-1077</c:v>
                </c:pt>
                <c:pt idx="223">
                  <c:v>-1081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A7-45B5-8179-FA185CA9CA79}"/>
            </c:ext>
          </c:extLst>
        </c:ser>
        <c:ser>
          <c:idx val="3"/>
          <c:order val="3"/>
          <c:tx>
            <c:strRef>
              <c:f>'Km83+980'!$AH$9</c:f>
              <c:strCache>
                <c:ptCount val="1"/>
                <c:pt idx="0">
                  <c:v>Phải</c:v>
                </c:pt>
              </c:strCache>
            </c:strRef>
          </c:tx>
          <c:marker>
            <c:symbol val="x"/>
            <c:size val="2"/>
            <c:spPr>
              <a:solidFill>
                <a:srgbClr val="800000"/>
              </a:solidFill>
              <a:ln w="12700">
                <a:solidFill>
                  <a:srgbClr val="800000"/>
                </a:solidFill>
                <a:prstDash val="solid"/>
              </a:ln>
            </c:spPr>
          </c:marker>
          <c:xVal>
            <c:numRef>
              <c:f>'Km83+980'!$B$11:$B$320</c:f>
              <c:numCache>
                <c:formatCode>[$-1010000]d/m/yyyy;@</c:formatCode>
                <c:ptCount val="310"/>
                <c:pt idx="0">
                  <c:v>45585</c:v>
                </c:pt>
                <c:pt idx="1">
                  <c:v>45586</c:v>
                </c:pt>
                <c:pt idx="2">
                  <c:v>45587</c:v>
                </c:pt>
                <c:pt idx="3">
                  <c:v>45588</c:v>
                </c:pt>
                <c:pt idx="4">
                  <c:v>45589</c:v>
                </c:pt>
                <c:pt idx="5">
                  <c:v>45590</c:v>
                </c:pt>
                <c:pt idx="6">
                  <c:v>45591</c:v>
                </c:pt>
                <c:pt idx="7">
                  <c:v>45592</c:v>
                </c:pt>
                <c:pt idx="8">
                  <c:v>45593</c:v>
                </c:pt>
                <c:pt idx="9">
                  <c:v>45594</c:v>
                </c:pt>
                <c:pt idx="10">
                  <c:v>45595</c:v>
                </c:pt>
                <c:pt idx="11">
                  <c:v>45596</c:v>
                </c:pt>
                <c:pt idx="12">
                  <c:v>45597</c:v>
                </c:pt>
                <c:pt idx="13">
                  <c:v>45598</c:v>
                </c:pt>
                <c:pt idx="14">
                  <c:v>45599</c:v>
                </c:pt>
                <c:pt idx="15">
                  <c:v>45600</c:v>
                </c:pt>
                <c:pt idx="16">
                  <c:v>45601</c:v>
                </c:pt>
                <c:pt idx="17">
                  <c:v>45602</c:v>
                </c:pt>
                <c:pt idx="18">
                  <c:v>45603</c:v>
                </c:pt>
                <c:pt idx="19">
                  <c:v>45604</c:v>
                </c:pt>
                <c:pt idx="20">
                  <c:v>45605</c:v>
                </c:pt>
                <c:pt idx="21">
                  <c:v>45606</c:v>
                </c:pt>
                <c:pt idx="22">
                  <c:v>45607</c:v>
                </c:pt>
                <c:pt idx="23">
                  <c:v>45608</c:v>
                </c:pt>
                <c:pt idx="24">
                  <c:v>45609</c:v>
                </c:pt>
                <c:pt idx="25">
                  <c:v>45610</c:v>
                </c:pt>
                <c:pt idx="26">
                  <c:v>45611</c:v>
                </c:pt>
                <c:pt idx="27">
                  <c:v>45612</c:v>
                </c:pt>
                <c:pt idx="28">
                  <c:v>45613</c:v>
                </c:pt>
                <c:pt idx="29">
                  <c:v>45614</c:v>
                </c:pt>
                <c:pt idx="30">
                  <c:v>45615</c:v>
                </c:pt>
                <c:pt idx="31">
                  <c:v>45616</c:v>
                </c:pt>
                <c:pt idx="32">
                  <c:v>45617</c:v>
                </c:pt>
                <c:pt idx="33">
                  <c:v>45618</c:v>
                </c:pt>
                <c:pt idx="34">
                  <c:v>45619</c:v>
                </c:pt>
                <c:pt idx="35">
                  <c:v>45620</c:v>
                </c:pt>
                <c:pt idx="36">
                  <c:v>45621</c:v>
                </c:pt>
                <c:pt idx="37">
                  <c:v>45622</c:v>
                </c:pt>
                <c:pt idx="38">
                  <c:v>45623</c:v>
                </c:pt>
                <c:pt idx="39">
                  <c:v>45624</c:v>
                </c:pt>
                <c:pt idx="40">
                  <c:v>45625</c:v>
                </c:pt>
                <c:pt idx="41">
                  <c:v>45626</c:v>
                </c:pt>
                <c:pt idx="42">
                  <c:v>45627</c:v>
                </c:pt>
                <c:pt idx="43">
                  <c:v>45628</c:v>
                </c:pt>
                <c:pt idx="44">
                  <c:v>45629</c:v>
                </c:pt>
                <c:pt idx="45">
                  <c:v>45630</c:v>
                </c:pt>
                <c:pt idx="46">
                  <c:v>45631</c:v>
                </c:pt>
                <c:pt idx="47">
                  <c:v>45632</c:v>
                </c:pt>
                <c:pt idx="48">
                  <c:v>45633</c:v>
                </c:pt>
                <c:pt idx="49">
                  <c:v>45634</c:v>
                </c:pt>
                <c:pt idx="50">
                  <c:v>45635</c:v>
                </c:pt>
                <c:pt idx="51">
                  <c:v>45636</c:v>
                </c:pt>
                <c:pt idx="52">
                  <c:v>45637</c:v>
                </c:pt>
                <c:pt idx="53">
                  <c:v>45638</c:v>
                </c:pt>
                <c:pt idx="54">
                  <c:v>45639</c:v>
                </c:pt>
                <c:pt idx="55">
                  <c:v>45640</c:v>
                </c:pt>
                <c:pt idx="56">
                  <c:v>45641</c:v>
                </c:pt>
                <c:pt idx="57">
                  <c:v>45642</c:v>
                </c:pt>
                <c:pt idx="58">
                  <c:v>45643</c:v>
                </c:pt>
                <c:pt idx="59">
                  <c:v>45644</c:v>
                </c:pt>
                <c:pt idx="60">
                  <c:v>45645</c:v>
                </c:pt>
                <c:pt idx="61">
                  <c:v>45646</c:v>
                </c:pt>
                <c:pt idx="62">
                  <c:v>45647</c:v>
                </c:pt>
                <c:pt idx="63">
                  <c:v>45648</c:v>
                </c:pt>
                <c:pt idx="64">
                  <c:v>45649</c:v>
                </c:pt>
                <c:pt idx="65">
                  <c:v>45650</c:v>
                </c:pt>
                <c:pt idx="66">
                  <c:v>45651</c:v>
                </c:pt>
                <c:pt idx="67">
                  <c:v>45652</c:v>
                </c:pt>
                <c:pt idx="68">
                  <c:v>45653</c:v>
                </c:pt>
                <c:pt idx="69">
                  <c:v>45654</c:v>
                </c:pt>
                <c:pt idx="70">
                  <c:v>45655</c:v>
                </c:pt>
                <c:pt idx="71">
                  <c:v>45656</c:v>
                </c:pt>
                <c:pt idx="72">
                  <c:v>45657</c:v>
                </c:pt>
                <c:pt idx="73">
                  <c:v>45658</c:v>
                </c:pt>
                <c:pt idx="74">
                  <c:v>45659</c:v>
                </c:pt>
                <c:pt idx="75">
                  <c:v>45660</c:v>
                </c:pt>
                <c:pt idx="76">
                  <c:v>45661</c:v>
                </c:pt>
                <c:pt idx="77">
                  <c:v>45662</c:v>
                </c:pt>
                <c:pt idx="78">
                  <c:v>45663</c:v>
                </c:pt>
                <c:pt idx="79">
                  <c:v>45664</c:v>
                </c:pt>
                <c:pt idx="80">
                  <c:v>45665</c:v>
                </c:pt>
                <c:pt idx="81">
                  <c:v>45666</c:v>
                </c:pt>
                <c:pt idx="82">
                  <c:v>45667</c:v>
                </c:pt>
                <c:pt idx="83">
                  <c:v>45668</c:v>
                </c:pt>
                <c:pt idx="84">
                  <c:v>45669</c:v>
                </c:pt>
                <c:pt idx="85">
                  <c:v>45670</c:v>
                </c:pt>
                <c:pt idx="86">
                  <c:v>45671</c:v>
                </c:pt>
                <c:pt idx="87">
                  <c:v>45672</c:v>
                </c:pt>
                <c:pt idx="88">
                  <c:v>45673</c:v>
                </c:pt>
                <c:pt idx="89">
                  <c:v>45674</c:v>
                </c:pt>
                <c:pt idx="90">
                  <c:v>45675</c:v>
                </c:pt>
                <c:pt idx="91">
                  <c:v>45676</c:v>
                </c:pt>
                <c:pt idx="92">
                  <c:v>45677</c:v>
                </c:pt>
                <c:pt idx="93">
                  <c:v>45678</c:v>
                </c:pt>
                <c:pt idx="94">
                  <c:v>45679</c:v>
                </c:pt>
                <c:pt idx="95">
                  <c:v>45680</c:v>
                </c:pt>
                <c:pt idx="96">
                  <c:v>45681</c:v>
                </c:pt>
                <c:pt idx="97">
                  <c:v>45682</c:v>
                </c:pt>
                <c:pt idx="98">
                  <c:v>45683</c:v>
                </c:pt>
                <c:pt idx="99">
                  <c:v>45684</c:v>
                </c:pt>
                <c:pt idx="100">
                  <c:v>45685</c:v>
                </c:pt>
                <c:pt idx="101">
                  <c:v>45686</c:v>
                </c:pt>
                <c:pt idx="102">
                  <c:v>45687</c:v>
                </c:pt>
                <c:pt idx="103">
                  <c:v>45688</c:v>
                </c:pt>
                <c:pt idx="104">
                  <c:v>45689</c:v>
                </c:pt>
                <c:pt idx="105">
                  <c:v>45690</c:v>
                </c:pt>
                <c:pt idx="106">
                  <c:v>45691</c:v>
                </c:pt>
                <c:pt idx="107">
                  <c:v>45692</c:v>
                </c:pt>
                <c:pt idx="108">
                  <c:v>45693</c:v>
                </c:pt>
                <c:pt idx="109">
                  <c:v>45694</c:v>
                </c:pt>
                <c:pt idx="110">
                  <c:v>45695</c:v>
                </c:pt>
                <c:pt idx="111">
                  <c:v>45696</c:v>
                </c:pt>
                <c:pt idx="112">
                  <c:v>45697</c:v>
                </c:pt>
                <c:pt idx="113">
                  <c:v>45698</c:v>
                </c:pt>
                <c:pt idx="114">
                  <c:v>45699</c:v>
                </c:pt>
                <c:pt idx="115">
                  <c:v>45700</c:v>
                </c:pt>
                <c:pt idx="116">
                  <c:v>45701</c:v>
                </c:pt>
                <c:pt idx="117">
                  <c:v>45702</c:v>
                </c:pt>
                <c:pt idx="118">
                  <c:v>45703</c:v>
                </c:pt>
                <c:pt idx="119">
                  <c:v>45704</c:v>
                </c:pt>
                <c:pt idx="120">
                  <c:v>45705</c:v>
                </c:pt>
                <c:pt idx="121">
                  <c:v>45706</c:v>
                </c:pt>
                <c:pt idx="122">
                  <c:v>45707</c:v>
                </c:pt>
                <c:pt idx="123">
                  <c:v>45708</c:v>
                </c:pt>
                <c:pt idx="124">
                  <c:v>45709</c:v>
                </c:pt>
                <c:pt idx="125">
                  <c:v>45710</c:v>
                </c:pt>
                <c:pt idx="126">
                  <c:v>45711</c:v>
                </c:pt>
                <c:pt idx="127">
                  <c:v>45712</c:v>
                </c:pt>
                <c:pt idx="128">
                  <c:v>45713</c:v>
                </c:pt>
                <c:pt idx="129">
                  <c:v>45714</c:v>
                </c:pt>
                <c:pt idx="130">
                  <c:v>45715</c:v>
                </c:pt>
                <c:pt idx="131">
                  <c:v>45716</c:v>
                </c:pt>
                <c:pt idx="132">
                  <c:v>45717</c:v>
                </c:pt>
                <c:pt idx="133">
                  <c:v>45718</c:v>
                </c:pt>
                <c:pt idx="134">
                  <c:v>45719</c:v>
                </c:pt>
                <c:pt idx="135">
                  <c:v>45720</c:v>
                </c:pt>
                <c:pt idx="136">
                  <c:v>45721</c:v>
                </c:pt>
                <c:pt idx="137">
                  <c:v>45722</c:v>
                </c:pt>
                <c:pt idx="138">
                  <c:v>45723</c:v>
                </c:pt>
                <c:pt idx="139">
                  <c:v>45724</c:v>
                </c:pt>
                <c:pt idx="140">
                  <c:v>45725</c:v>
                </c:pt>
                <c:pt idx="141">
                  <c:v>45726</c:v>
                </c:pt>
                <c:pt idx="142">
                  <c:v>45727</c:v>
                </c:pt>
                <c:pt idx="143">
                  <c:v>45728</c:v>
                </c:pt>
                <c:pt idx="144">
                  <c:v>45729</c:v>
                </c:pt>
                <c:pt idx="145">
                  <c:v>45730</c:v>
                </c:pt>
                <c:pt idx="146">
                  <c:v>45731</c:v>
                </c:pt>
                <c:pt idx="147">
                  <c:v>45732</c:v>
                </c:pt>
                <c:pt idx="148">
                  <c:v>45733</c:v>
                </c:pt>
                <c:pt idx="149">
                  <c:v>45734</c:v>
                </c:pt>
                <c:pt idx="150">
                  <c:v>45735</c:v>
                </c:pt>
                <c:pt idx="151">
                  <c:v>45736</c:v>
                </c:pt>
                <c:pt idx="152">
                  <c:v>45737</c:v>
                </c:pt>
                <c:pt idx="153">
                  <c:v>45738</c:v>
                </c:pt>
                <c:pt idx="154">
                  <c:v>45739</c:v>
                </c:pt>
                <c:pt idx="155">
                  <c:v>45740</c:v>
                </c:pt>
                <c:pt idx="156">
                  <c:v>45741</c:v>
                </c:pt>
                <c:pt idx="157">
                  <c:v>45742</c:v>
                </c:pt>
                <c:pt idx="158">
                  <c:v>45743</c:v>
                </c:pt>
                <c:pt idx="159">
                  <c:v>45744</c:v>
                </c:pt>
                <c:pt idx="160">
                  <c:v>45745</c:v>
                </c:pt>
                <c:pt idx="161">
                  <c:v>45746</c:v>
                </c:pt>
                <c:pt idx="162">
                  <c:v>45747</c:v>
                </c:pt>
                <c:pt idx="163">
                  <c:v>45748</c:v>
                </c:pt>
                <c:pt idx="164">
                  <c:v>45749</c:v>
                </c:pt>
                <c:pt idx="165">
                  <c:v>45750</c:v>
                </c:pt>
                <c:pt idx="166">
                  <c:v>45751</c:v>
                </c:pt>
                <c:pt idx="167">
                  <c:v>45752</c:v>
                </c:pt>
                <c:pt idx="168">
                  <c:v>45753</c:v>
                </c:pt>
                <c:pt idx="169">
                  <c:v>45754</c:v>
                </c:pt>
                <c:pt idx="170">
                  <c:v>45755</c:v>
                </c:pt>
                <c:pt idx="171">
                  <c:v>45756</c:v>
                </c:pt>
                <c:pt idx="172">
                  <c:v>45757</c:v>
                </c:pt>
                <c:pt idx="173">
                  <c:v>45758</c:v>
                </c:pt>
                <c:pt idx="174">
                  <c:v>45759</c:v>
                </c:pt>
                <c:pt idx="175">
                  <c:v>45760</c:v>
                </c:pt>
                <c:pt idx="176">
                  <c:v>45761</c:v>
                </c:pt>
                <c:pt idx="177">
                  <c:v>45762</c:v>
                </c:pt>
                <c:pt idx="178">
                  <c:v>45763</c:v>
                </c:pt>
                <c:pt idx="179">
                  <c:v>45764</c:v>
                </c:pt>
                <c:pt idx="180">
                  <c:v>45765</c:v>
                </c:pt>
                <c:pt idx="181">
                  <c:v>45766</c:v>
                </c:pt>
                <c:pt idx="182">
                  <c:v>45767</c:v>
                </c:pt>
                <c:pt idx="183">
                  <c:v>45768</c:v>
                </c:pt>
                <c:pt idx="184">
                  <c:v>45769</c:v>
                </c:pt>
                <c:pt idx="185">
                  <c:v>45770</c:v>
                </c:pt>
                <c:pt idx="186">
                  <c:v>45771</c:v>
                </c:pt>
                <c:pt idx="187">
                  <c:v>45772</c:v>
                </c:pt>
                <c:pt idx="188">
                  <c:v>45773</c:v>
                </c:pt>
                <c:pt idx="189">
                  <c:v>45774</c:v>
                </c:pt>
                <c:pt idx="190">
                  <c:v>45775</c:v>
                </c:pt>
                <c:pt idx="191">
                  <c:v>45776</c:v>
                </c:pt>
                <c:pt idx="192">
                  <c:v>45777</c:v>
                </c:pt>
                <c:pt idx="193">
                  <c:v>45778</c:v>
                </c:pt>
                <c:pt idx="194">
                  <c:v>45779</c:v>
                </c:pt>
                <c:pt idx="195">
                  <c:v>45780</c:v>
                </c:pt>
                <c:pt idx="196">
                  <c:v>45781</c:v>
                </c:pt>
                <c:pt idx="197">
                  <c:v>45782</c:v>
                </c:pt>
                <c:pt idx="198">
                  <c:v>45783</c:v>
                </c:pt>
                <c:pt idx="199">
                  <c:v>45784</c:v>
                </c:pt>
                <c:pt idx="200">
                  <c:v>45785</c:v>
                </c:pt>
                <c:pt idx="201">
                  <c:v>45786</c:v>
                </c:pt>
                <c:pt idx="202">
                  <c:v>45787</c:v>
                </c:pt>
                <c:pt idx="203">
                  <c:v>45788</c:v>
                </c:pt>
                <c:pt idx="204">
                  <c:v>45789</c:v>
                </c:pt>
                <c:pt idx="205">
                  <c:v>45790</c:v>
                </c:pt>
                <c:pt idx="206">
                  <c:v>45791</c:v>
                </c:pt>
                <c:pt idx="207">
                  <c:v>45792</c:v>
                </c:pt>
                <c:pt idx="208">
                  <c:v>45793</c:v>
                </c:pt>
                <c:pt idx="209">
                  <c:v>45794</c:v>
                </c:pt>
                <c:pt idx="210">
                  <c:v>45795</c:v>
                </c:pt>
                <c:pt idx="211">
                  <c:v>45796</c:v>
                </c:pt>
                <c:pt idx="212">
                  <c:v>45797</c:v>
                </c:pt>
                <c:pt idx="213">
                  <c:v>45798</c:v>
                </c:pt>
                <c:pt idx="214">
                  <c:v>45799</c:v>
                </c:pt>
                <c:pt idx="215">
                  <c:v>45800</c:v>
                </c:pt>
                <c:pt idx="216">
                  <c:v>45801</c:v>
                </c:pt>
                <c:pt idx="217">
                  <c:v>45802</c:v>
                </c:pt>
                <c:pt idx="218">
                  <c:v>45803</c:v>
                </c:pt>
                <c:pt idx="219">
                  <c:v>45804</c:v>
                </c:pt>
                <c:pt idx="220">
                  <c:v>45805</c:v>
                </c:pt>
                <c:pt idx="221">
                  <c:v>45806</c:v>
                </c:pt>
                <c:pt idx="222">
                  <c:v>45807</c:v>
                </c:pt>
                <c:pt idx="223">
                  <c:v>45808</c:v>
                </c:pt>
              </c:numCache>
            </c:numRef>
          </c:xVal>
          <c:yVal>
            <c:numRef>
              <c:f>'Km83+980'!$AH$11:$AH$321</c:f>
              <c:numCache>
                <c:formatCode>0</c:formatCode>
                <c:ptCount val="311"/>
                <c:pt idx="0">
                  <c:v>0</c:v>
                </c:pt>
                <c:pt idx="1">
                  <c:v>-5</c:v>
                </c:pt>
                <c:pt idx="2">
                  <c:v>-10</c:v>
                </c:pt>
                <c:pt idx="3">
                  <c:v>-15</c:v>
                </c:pt>
                <c:pt idx="4">
                  <c:v>-19</c:v>
                </c:pt>
                <c:pt idx="5">
                  <c:v>-28</c:v>
                </c:pt>
                <c:pt idx="6">
                  <c:v>-37</c:v>
                </c:pt>
                <c:pt idx="7">
                  <c:v>-45</c:v>
                </c:pt>
                <c:pt idx="8">
                  <c:v>-52</c:v>
                </c:pt>
                <c:pt idx="9">
                  <c:v>-61</c:v>
                </c:pt>
                <c:pt idx="10">
                  <c:v>-70</c:v>
                </c:pt>
                <c:pt idx="11">
                  <c:v>-78</c:v>
                </c:pt>
                <c:pt idx="12">
                  <c:v>-85</c:v>
                </c:pt>
                <c:pt idx="13">
                  <c:v>-90</c:v>
                </c:pt>
                <c:pt idx="14">
                  <c:v>-99</c:v>
                </c:pt>
                <c:pt idx="15">
                  <c:v>-108</c:v>
                </c:pt>
                <c:pt idx="16">
                  <c:v>-117</c:v>
                </c:pt>
                <c:pt idx="17">
                  <c:v>-125</c:v>
                </c:pt>
                <c:pt idx="18">
                  <c:v>-133</c:v>
                </c:pt>
                <c:pt idx="19">
                  <c:v>-142</c:v>
                </c:pt>
                <c:pt idx="20">
                  <c:v>-151</c:v>
                </c:pt>
                <c:pt idx="21">
                  <c:v>-160</c:v>
                </c:pt>
                <c:pt idx="22">
                  <c:v>-169</c:v>
                </c:pt>
                <c:pt idx="23">
                  <c:v>-177</c:v>
                </c:pt>
                <c:pt idx="24">
                  <c:v>-186</c:v>
                </c:pt>
                <c:pt idx="25">
                  <c:v>-195</c:v>
                </c:pt>
                <c:pt idx="26">
                  <c:v>-204</c:v>
                </c:pt>
                <c:pt idx="27">
                  <c:v>-212</c:v>
                </c:pt>
                <c:pt idx="28">
                  <c:v>-221</c:v>
                </c:pt>
                <c:pt idx="29">
                  <c:v>-230</c:v>
                </c:pt>
                <c:pt idx="30">
                  <c:v>-239</c:v>
                </c:pt>
                <c:pt idx="31">
                  <c:v>-248</c:v>
                </c:pt>
                <c:pt idx="32">
                  <c:v>-256</c:v>
                </c:pt>
                <c:pt idx="33">
                  <c:v>-265</c:v>
                </c:pt>
                <c:pt idx="34">
                  <c:v>-273</c:v>
                </c:pt>
                <c:pt idx="35">
                  <c:v>-281</c:v>
                </c:pt>
                <c:pt idx="36">
                  <c:v>-289</c:v>
                </c:pt>
                <c:pt idx="37">
                  <c:v>-298</c:v>
                </c:pt>
                <c:pt idx="38">
                  <c:v>-306</c:v>
                </c:pt>
                <c:pt idx="39">
                  <c:v>-314</c:v>
                </c:pt>
                <c:pt idx="40">
                  <c:v>-321</c:v>
                </c:pt>
                <c:pt idx="41">
                  <c:v>-329</c:v>
                </c:pt>
                <c:pt idx="42">
                  <c:v>-336</c:v>
                </c:pt>
                <c:pt idx="43">
                  <c:v>-343</c:v>
                </c:pt>
                <c:pt idx="44">
                  <c:v>-351</c:v>
                </c:pt>
                <c:pt idx="45">
                  <c:v>-358</c:v>
                </c:pt>
                <c:pt idx="46">
                  <c:v>-365</c:v>
                </c:pt>
                <c:pt idx="47">
                  <c:v>-373</c:v>
                </c:pt>
                <c:pt idx="48">
                  <c:v>-379</c:v>
                </c:pt>
                <c:pt idx="49">
                  <c:v>-386</c:v>
                </c:pt>
                <c:pt idx="50">
                  <c:v>-392</c:v>
                </c:pt>
                <c:pt idx="51">
                  <c:v>-397</c:v>
                </c:pt>
                <c:pt idx="52">
                  <c:v>-403</c:v>
                </c:pt>
                <c:pt idx="53">
                  <c:v>-408</c:v>
                </c:pt>
                <c:pt idx="54">
                  <c:v>-412</c:v>
                </c:pt>
                <c:pt idx="55">
                  <c:v>-416</c:v>
                </c:pt>
                <c:pt idx="56">
                  <c:v>-420</c:v>
                </c:pt>
                <c:pt idx="57">
                  <c:v>-425</c:v>
                </c:pt>
                <c:pt idx="58">
                  <c:v>-429</c:v>
                </c:pt>
                <c:pt idx="59">
                  <c:v>-434</c:v>
                </c:pt>
                <c:pt idx="60">
                  <c:v>-437</c:v>
                </c:pt>
                <c:pt idx="61">
                  <c:v>-440</c:v>
                </c:pt>
                <c:pt idx="62">
                  <c:v>-443</c:v>
                </c:pt>
                <c:pt idx="63">
                  <c:v>-446</c:v>
                </c:pt>
                <c:pt idx="64">
                  <c:v>-448</c:v>
                </c:pt>
                <c:pt idx="65">
                  <c:v>-450</c:v>
                </c:pt>
                <c:pt idx="66">
                  <c:v>-452</c:v>
                </c:pt>
                <c:pt idx="67">
                  <c:v>-453</c:v>
                </c:pt>
                <c:pt idx="68">
                  <c:v>-457</c:v>
                </c:pt>
                <c:pt idx="69">
                  <c:v>-458</c:v>
                </c:pt>
                <c:pt idx="70">
                  <c:v>-462</c:v>
                </c:pt>
                <c:pt idx="71">
                  <c:v>-463</c:v>
                </c:pt>
                <c:pt idx="72">
                  <c:v>-466</c:v>
                </c:pt>
                <c:pt idx="73">
                  <c:v>-470</c:v>
                </c:pt>
                <c:pt idx="74">
                  <c:v>-471</c:v>
                </c:pt>
                <c:pt idx="75">
                  <c:v>-475</c:v>
                </c:pt>
                <c:pt idx="76">
                  <c:v>-478</c:v>
                </c:pt>
                <c:pt idx="77">
                  <c:v>-479</c:v>
                </c:pt>
                <c:pt idx="78">
                  <c:v>-479</c:v>
                </c:pt>
                <c:pt idx="79">
                  <c:v>-480</c:v>
                </c:pt>
                <c:pt idx="80">
                  <c:v>-482</c:v>
                </c:pt>
                <c:pt idx="81">
                  <c:v>-484</c:v>
                </c:pt>
                <c:pt idx="82">
                  <c:v>-485</c:v>
                </c:pt>
                <c:pt idx="83">
                  <c:v>-488</c:v>
                </c:pt>
                <c:pt idx="84">
                  <c:v>-492</c:v>
                </c:pt>
                <c:pt idx="85">
                  <c:v>-492</c:v>
                </c:pt>
                <c:pt idx="86">
                  <c:v>-492</c:v>
                </c:pt>
                <c:pt idx="87">
                  <c:v>-496</c:v>
                </c:pt>
                <c:pt idx="88">
                  <c:v>-497</c:v>
                </c:pt>
                <c:pt idx="89">
                  <c:v>-497</c:v>
                </c:pt>
                <c:pt idx="90">
                  <c:v>-497</c:v>
                </c:pt>
                <c:pt idx="91">
                  <c:v>-497</c:v>
                </c:pt>
                <c:pt idx="92">
                  <c:v>-499</c:v>
                </c:pt>
                <c:pt idx="93">
                  <c:v>-499</c:v>
                </c:pt>
                <c:pt idx="94">
                  <c:v>-503</c:v>
                </c:pt>
                <c:pt idx="95">
                  <c:v>-503</c:v>
                </c:pt>
                <c:pt idx="96">
                  <c:v>-506</c:v>
                </c:pt>
                <c:pt idx="97">
                  <c:v>-506</c:v>
                </c:pt>
                <c:pt idx="98">
                  <c:v>-506</c:v>
                </c:pt>
                <c:pt idx="99">
                  <c:v>-509</c:v>
                </c:pt>
                <c:pt idx="100">
                  <c:v>-510</c:v>
                </c:pt>
                <c:pt idx="101">
                  <c:v>-512</c:v>
                </c:pt>
                <c:pt idx="102">
                  <c:v>-512</c:v>
                </c:pt>
                <c:pt idx="103">
                  <c:v>-513</c:v>
                </c:pt>
                <c:pt idx="104">
                  <c:v>-517</c:v>
                </c:pt>
                <c:pt idx="105">
                  <c:v>-518</c:v>
                </c:pt>
                <c:pt idx="106">
                  <c:v>-520</c:v>
                </c:pt>
                <c:pt idx="107">
                  <c:v>-520</c:v>
                </c:pt>
                <c:pt idx="108">
                  <c:v>-522</c:v>
                </c:pt>
                <c:pt idx="109">
                  <c:v>-526</c:v>
                </c:pt>
                <c:pt idx="110">
                  <c:v>-526</c:v>
                </c:pt>
                <c:pt idx="111">
                  <c:v>-528</c:v>
                </c:pt>
                <c:pt idx="112">
                  <c:v>-532</c:v>
                </c:pt>
                <c:pt idx="113">
                  <c:v>-532</c:v>
                </c:pt>
                <c:pt idx="114">
                  <c:v>-536</c:v>
                </c:pt>
                <c:pt idx="115">
                  <c:v>-536</c:v>
                </c:pt>
                <c:pt idx="116">
                  <c:v>-536</c:v>
                </c:pt>
                <c:pt idx="117">
                  <c:v>-539</c:v>
                </c:pt>
                <c:pt idx="118">
                  <c:v>-539</c:v>
                </c:pt>
                <c:pt idx="119">
                  <c:v>-542</c:v>
                </c:pt>
                <c:pt idx="120">
                  <c:v>-546</c:v>
                </c:pt>
                <c:pt idx="121">
                  <c:v>-550</c:v>
                </c:pt>
                <c:pt idx="122">
                  <c:v>-554</c:v>
                </c:pt>
                <c:pt idx="123">
                  <c:v>-558</c:v>
                </c:pt>
                <c:pt idx="124">
                  <c:v>-558</c:v>
                </c:pt>
                <c:pt idx="125">
                  <c:v>-562</c:v>
                </c:pt>
                <c:pt idx="126">
                  <c:v>-562</c:v>
                </c:pt>
                <c:pt idx="127">
                  <c:v>-565</c:v>
                </c:pt>
                <c:pt idx="128">
                  <c:v>-565</c:v>
                </c:pt>
                <c:pt idx="129">
                  <c:v>-569</c:v>
                </c:pt>
                <c:pt idx="130">
                  <c:v>-572</c:v>
                </c:pt>
                <c:pt idx="131">
                  <c:v>-576</c:v>
                </c:pt>
                <c:pt idx="132">
                  <c:v>-580</c:v>
                </c:pt>
                <c:pt idx="133">
                  <c:v>-580</c:v>
                </c:pt>
                <c:pt idx="134">
                  <c:v>-584</c:v>
                </c:pt>
                <c:pt idx="135">
                  <c:v>-587</c:v>
                </c:pt>
                <c:pt idx="136">
                  <c:v>-590</c:v>
                </c:pt>
                <c:pt idx="137">
                  <c:v>-591</c:v>
                </c:pt>
                <c:pt idx="138">
                  <c:v>-595</c:v>
                </c:pt>
                <c:pt idx="139">
                  <c:v>-595</c:v>
                </c:pt>
                <c:pt idx="140">
                  <c:v>-596</c:v>
                </c:pt>
                <c:pt idx="141">
                  <c:v>-600</c:v>
                </c:pt>
                <c:pt idx="142">
                  <c:v>-601</c:v>
                </c:pt>
                <c:pt idx="143">
                  <c:v>-605</c:v>
                </c:pt>
                <c:pt idx="144">
                  <c:v>-609</c:v>
                </c:pt>
                <c:pt idx="145">
                  <c:v>-609</c:v>
                </c:pt>
                <c:pt idx="146">
                  <c:v>-610</c:v>
                </c:pt>
                <c:pt idx="147">
                  <c:v>-610</c:v>
                </c:pt>
                <c:pt idx="148">
                  <c:v>-613</c:v>
                </c:pt>
                <c:pt idx="149">
                  <c:v>-614</c:v>
                </c:pt>
                <c:pt idx="150">
                  <c:v>-618</c:v>
                </c:pt>
                <c:pt idx="151">
                  <c:v>-622</c:v>
                </c:pt>
                <c:pt idx="152">
                  <c:v>-623</c:v>
                </c:pt>
                <c:pt idx="153">
                  <c:v>-623</c:v>
                </c:pt>
                <c:pt idx="154">
                  <c:v>-625</c:v>
                </c:pt>
                <c:pt idx="155">
                  <c:v>-629</c:v>
                </c:pt>
                <c:pt idx="156">
                  <c:v>-629</c:v>
                </c:pt>
                <c:pt idx="157">
                  <c:v>-629</c:v>
                </c:pt>
                <c:pt idx="158">
                  <c:v>-629</c:v>
                </c:pt>
                <c:pt idx="159">
                  <c:v>-633</c:v>
                </c:pt>
                <c:pt idx="160">
                  <c:v>-633</c:v>
                </c:pt>
                <c:pt idx="161">
                  <c:v>-635</c:v>
                </c:pt>
                <c:pt idx="162">
                  <c:v>-635</c:v>
                </c:pt>
                <c:pt idx="163">
                  <c:v>-639</c:v>
                </c:pt>
                <c:pt idx="164">
                  <c:v>-640</c:v>
                </c:pt>
                <c:pt idx="165">
                  <c:v>-644</c:v>
                </c:pt>
                <c:pt idx="166">
                  <c:v>-644</c:v>
                </c:pt>
                <c:pt idx="167">
                  <c:v>-645</c:v>
                </c:pt>
                <c:pt idx="168">
                  <c:v>-645</c:v>
                </c:pt>
                <c:pt idx="169">
                  <c:v>-646</c:v>
                </c:pt>
                <c:pt idx="170">
                  <c:v>-648</c:v>
                </c:pt>
                <c:pt idx="171">
                  <c:v>-650</c:v>
                </c:pt>
                <c:pt idx="172">
                  <c:v>-659</c:v>
                </c:pt>
                <c:pt idx="173">
                  <c:v>-668</c:v>
                </c:pt>
                <c:pt idx="174">
                  <c:v>-677</c:v>
                </c:pt>
                <c:pt idx="175">
                  <c:v>-685</c:v>
                </c:pt>
                <c:pt idx="176">
                  <c:v>-694</c:v>
                </c:pt>
                <c:pt idx="177">
                  <c:v>-702</c:v>
                </c:pt>
                <c:pt idx="178">
                  <c:v>-711</c:v>
                </c:pt>
                <c:pt idx="179">
                  <c:v>-719</c:v>
                </c:pt>
                <c:pt idx="180">
                  <c:v>-728</c:v>
                </c:pt>
                <c:pt idx="181">
                  <c:v>-737</c:v>
                </c:pt>
                <c:pt idx="182">
                  <c:v>-746</c:v>
                </c:pt>
                <c:pt idx="183">
                  <c:v>-754</c:v>
                </c:pt>
                <c:pt idx="184">
                  <c:v>-761</c:v>
                </c:pt>
                <c:pt idx="185">
                  <c:v>-769</c:v>
                </c:pt>
                <c:pt idx="186">
                  <c:v>-778</c:v>
                </c:pt>
                <c:pt idx="187">
                  <c:v>-786</c:v>
                </c:pt>
                <c:pt idx="188">
                  <c:v>-793</c:v>
                </c:pt>
                <c:pt idx="189">
                  <c:v>-801</c:v>
                </c:pt>
                <c:pt idx="190">
                  <c:v>-808</c:v>
                </c:pt>
                <c:pt idx="191">
                  <c:v>-816</c:v>
                </c:pt>
                <c:pt idx="192">
                  <c:v>-823</c:v>
                </c:pt>
                <c:pt idx="193">
                  <c:v>-830</c:v>
                </c:pt>
                <c:pt idx="194">
                  <c:v>-836</c:v>
                </c:pt>
                <c:pt idx="195">
                  <c:v>-843</c:v>
                </c:pt>
                <c:pt idx="196">
                  <c:v>-850</c:v>
                </c:pt>
                <c:pt idx="197">
                  <c:v>-856</c:v>
                </c:pt>
                <c:pt idx="198">
                  <c:v>-862</c:v>
                </c:pt>
                <c:pt idx="199">
                  <c:v>-870</c:v>
                </c:pt>
                <c:pt idx="200">
                  <c:v>-877</c:v>
                </c:pt>
                <c:pt idx="201">
                  <c:v>-884</c:v>
                </c:pt>
                <c:pt idx="202">
                  <c:v>-892</c:v>
                </c:pt>
                <c:pt idx="203">
                  <c:v>-899</c:v>
                </c:pt>
                <c:pt idx="204">
                  <c:v>-907</c:v>
                </c:pt>
                <c:pt idx="205">
                  <c:v>-914</c:v>
                </c:pt>
                <c:pt idx="206">
                  <c:v>-921</c:v>
                </c:pt>
                <c:pt idx="207">
                  <c:v>-928</c:v>
                </c:pt>
                <c:pt idx="208">
                  <c:v>-934</c:v>
                </c:pt>
                <c:pt idx="209">
                  <c:v>-939</c:v>
                </c:pt>
                <c:pt idx="210">
                  <c:v>-944</c:v>
                </c:pt>
                <c:pt idx="211">
                  <c:v>-948</c:v>
                </c:pt>
                <c:pt idx="212">
                  <c:v>-954</c:v>
                </c:pt>
                <c:pt idx="213">
                  <c:v>-959</c:v>
                </c:pt>
                <c:pt idx="214">
                  <c:v>-962</c:v>
                </c:pt>
                <c:pt idx="215">
                  <c:v>-966</c:v>
                </c:pt>
                <c:pt idx="216">
                  <c:v>-971</c:v>
                </c:pt>
                <c:pt idx="217">
                  <c:v>-975</c:v>
                </c:pt>
                <c:pt idx="218">
                  <c:v>-980</c:v>
                </c:pt>
                <c:pt idx="219">
                  <c:v>-985</c:v>
                </c:pt>
                <c:pt idx="220">
                  <c:v>-989</c:v>
                </c:pt>
                <c:pt idx="221">
                  <c:v>-992</c:v>
                </c:pt>
                <c:pt idx="222">
                  <c:v>-995</c:v>
                </c:pt>
                <c:pt idx="223">
                  <c:v>-998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A7-45B5-8179-FA185CA9C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475200"/>
        <c:axId val="586475776"/>
      </c:scatterChart>
      <c:scatterChart>
        <c:scatterStyle val="lineMarker"/>
        <c:varyColors val="0"/>
        <c:ser>
          <c:idx val="0"/>
          <c:order val="0"/>
          <c:tx>
            <c:strRef>
              <c:f>'Km83+980'!$AJ$8:$AJ$9</c:f>
              <c:strCache>
                <c:ptCount val="2"/>
                <c:pt idx="0">
                  <c:v>Cao độ nền đường</c:v>
                </c:pt>
              </c:strCache>
            </c:strRef>
          </c:tx>
          <c:marker>
            <c:symbol val="diamond"/>
            <c:size val="2"/>
            <c:spPr>
              <a:solidFill>
                <a:srgbClr val="000080"/>
              </a:solidFill>
              <a:ln w="12700">
                <a:solidFill>
                  <a:srgbClr val="000080"/>
                </a:solidFill>
                <a:prstDash val="solid"/>
              </a:ln>
            </c:spPr>
          </c:marker>
          <c:xVal>
            <c:numRef>
              <c:f>'Km83+980'!$B$11:$B$318</c:f>
              <c:numCache>
                <c:formatCode>[$-1010000]d/m/yyyy;@</c:formatCode>
                <c:ptCount val="308"/>
                <c:pt idx="0">
                  <c:v>45585</c:v>
                </c:pt>
                <c:pt idx="1">
                  <c:v>45586</c:v>
                </c:pt>
                <c:pt idx="2">
                  <c:v>45587</c:v>
                </c:pt>
                <c:pt idx="3">
                  <c:v>45588</c:v>
                </c:pt>
                <c:pt idx="4">
                  <c:v>45589</c:v>
                </c:pt>
                <c:pt idx="5">
                  <c:v>45590</c:v>
                </c:pt>
                <c:pt idx="6">
                  <c:v>45591</c:v>
                </c:pt>
                <c:pt idx="7">
                  <c:v>45592</c:v>
                </c:pt>
                <c:pt idx="8">
                  <c:v>45593</c:v>
                </c:pt>
                <c:pt idx="9">
                  <c:v>45594</c:v>
                </c:pt>
                <c:pt idx="10">
                  <c:v>45595</c:v>
                </c:pt>
                <c:pt idx="11">
                  <c:v>45596</c:v>
                </c:pt>
                <c:pt idx="12">
                  <c:v>45597</c:v>
                </c:pt>
                <c:pt idx="13">
                  <c:v>45598</c:v>
                </c:pt>
                <c:pt idx="14">
                  <c:v>45599</c:v>
                </c:pt>
                <c:pt idx="15">
                  <c:v>45600</c:v>
                </c:pt>
                <c:pt idx="16">
                  <c:v>45601</c:v>
                </c:pt>
                <c:pt idx="17">
                  <c:v>45602</c:v>
                </c:pt>
                <c:pt idx="18">
                  <c:v>45603</c:v>
                </c:pt>
                <c:pt idx="19">
                  <c:v>45604</c:v>
                </c:pt>
                <c:pt idx="20">
                  <c:v>45605</c:v>
                </c:pt>
                <c:pt idx="21">
                  <c:v>45606</c:v>
                </c:pt>
                <c:pt idx="22">
                  <c:v>45607</c:v>
                </c:pt>
                <c:pt idx="23">
                  <c:v>45608</c:v>
                </c:pt>
                <c:pt idx="24">
                  <c:v>45609</c:v>
                </c:pt>
                <c:pt idx="25">
                  <c:v>45610</c:v>
                </c:pt>
                <c:pt idx="26">
                  <c:v>45611</c:v>
                </c:pt>
                <c:pt idx="27">
                  <c:v>45612</c:v>
                </c:pt>
                <c:pt idx="28">
                  <c:v>45613</c:v>
                </c:pt>
                <c:pt idx="29">
                  <c:v>45614</c:v>
                </c:pt>
                <c:pt idx="30">
                  <c:v>45615</c:v>
                </c:pt>
                <c:pt idx="31">
                  <c:v>45616</c:v>
                </c:pt>
                <c:pt idx="32">
                  <c:v>45617</c:v>
                </c:pt>
                <c:pt idx="33">
                  <c:v>45618</c:v>
                </c:pt>
                <c:pt idx="34">
                  <c:v>45619</c:v>
                </c:pt>
                <c:pt idx="35">
                  <c:v>45620</c:v>
                </c:pt>
                <c:pt idx="36">
                  <c:v>45621</c:v>
                </c:pt>
                <c:pt idx="37">
                  <c:v>45622</c:v>
                </c:pt>
                <c:pt idx="38">
                  <c:v>45623</c:v>
                </c:pt>
                <c:pt idx="39">
                  <c:v>45624</c:v>
                </c:pt>
                <c:pt idx="40">
                  <c:v>45625</c:v>
                </c:pt>
                <c:pt idx="41">
                  <c:v>45626</c:v>
                </c:pt>
                <c:pt idx="42">
                  <c:v>45627</c:v>
                </c:pt>
                <c:pt idx="43">
                  <c:v>45628</c:v>
                </c:pt>
                <c:pt idx="44">
                  <c:v>45629</c:v>
                </c:pt>
                <c:pt idx="45">
                  <c:v>45630</c:v>
                </c:pt>
                <c:pt idx="46">
                  <c:v>45631</c:v>
                </c:pt>
                <c:pt idx="47">
                  <c:v>45632</c:v>
                </c:pt>
                <c:pt idx="48">
                  <c:v>45633</c:v>
                </c:pt>
                <c:pt idx="49">
                  <c:v>45634</c:v>
                </c:pt>
                <c:pt idx="50">
                  <c:v>45635</c:v>
                </c:pt>
                <c:pt idx="51">
                  <c:v>45636</c:v>
                </c:pt>
                <c:pt idx="52">
                  <c:v>45637</c:v>
                </c:pt>
                <c:pt idx="53">
                  <c:v>45638</c:v>
                </c:pt>
                <c:pt idx="54">
                  <c:v>45639</c:v>
                </c:pt>
                <c:pt idx="55">
                  <c:v>45640</c:v>
                </c:pt>
                <c:pt idx="56">
                  <c:v>45641</c:v>
                </c:pt>
                <c:pt idx="57">
                  <c:v>45642</c:v>
                </c:pt>
                <c:pt idx="58">
                  <c:v>45643</c:v>
                </c:pt>
                <c:pt idx="59">
                  <c:v>45644</c:v>
                </c:pt>
                <c:pt idx="60">
                  <c:v>45645</c:v>
                </c:pt>
                <c:pt idx="61">
                  <c:v>45646</c:v>
                </c:pt>
                <c:pt idx="62">
                  <c:v>45647</c:v>
                </c:pt>
                <c:pt idx="63">
                  <c:v>45648</c:v>
                </c:pt>
                <c:pt idx="64">
                  <c:v>45649</c:v>
                </c:pt>
                <c:pt idx="65">
                  <c:v>45650</c:v>
                </c:pt>
                <c:pt idx="66">
                  <c:v>45651</c:v>
                </c:pt>
                <c:pt idx="67">
                  <c:v>45652</c:v>
                </c:pt>
                <c:pt idx="68">
                  <c:v>45653</c:v>
                </c:pt>
                <c:pt idx="69">
                  <c:v>45654</c:v>
                </c:pt>
                <c:pt idx="70">
                  <c:v>45655</c:v>
                </c:pt>
                <c:pt idx="71">
                  <c:v>45656</c:v>
                </c:pt>
                <c:pt idx="72">
                  <c:v>45657</c:v>
                </c:pt>
                <c:pt idx="73">
                  <c:v>45658</c:v>
                </c:pt>
                <c:pt idx="74">
                  <c:v>45659</c:v>
                </c:pt>
                <c:pt idx="75">
                  <c:v>45660</c:v>
                </c:pt>
                <c:pt idx="76">
                  <c:v>45661</c:v>
                </c:pt>
                <c:pt idx="77">
                  <c:v>45662</c:v>
                </c:pt>
                <c:pt idx="78">
                  <c:v>45663</c:v>
                </c:pt>
                <c:pt idx="79">
                  <c:v>45664</c:v>
                </c:pt>
                <c:pt idx="80">
                  <c:v>45665</c:v>
                </c:pt>
                <c:pt idx="81">
                  <c:v>45666</c:v>
                </c:pt>
                <c:pt idx="82">
                  <c:v>45667</c:v>
                </c:pt>
                <c:pt idx="83">
                  <c:v>45668</c:v>
                </c:pt>
                <c:pt idx="84">
                  <c:v>45669</c:v>
                </c:pt>
                <c:pt idx="85">
                  <c:v>45670</c:v>
                </c:pt>
                <c:pt idx="86">
                  <c:v>45671</c:v>
                </c:pt>
                <c:pt idx="87">
                  <c:v>45672</c:v>
                </c:pt>
                <c:pt idx="88">
                  <c:v>45673</c:v>
                </c:pt>
                <c:pt idx="89">
                  <c:v>45674</c:v>
                </c:pt>
                <c:pt idx="90">
                  <c:v>45675</c:v>
                </c:pt>
                <c:pt idx="91">
                  <c:v>45676</c:v>
                </c:pt>
                <c:pt idx="92">
                  <c:v>45677</c:v>
                </c:pt>
                <c:pt idx="93">
                  <c:v>45678</c:v>
                </c:pt>
                <c:pt idx="94">
                  <c:v>45679</c:v>
                </c:pt>
                <c:pt idx="95">
                  <c:v>45680</c:v>
                </c:pt>
                <c:pt idx="96">
                  <c:v>45681</c:v>
                </c:pt>
                <c:pt idx="97">
                  <c:v>45682</c:v>
                </c:pt>
                <c:pt idx="98">
                  <c:v>45683</c:v>
                </c:pt>
                <c:pt idx="99">
                  <c:v>45684</c:v>
                </c:pt>
                <c:pt idx="100">
                  <c:v>45685</c:v>
                </c:pt>
                <c:pt idx="101">
                  <c:v>45686</c:v>
                </c:pt>
                <c:pt idx="102">
                  <c:v>45687</c:v>
                </c:pt>
                <c:pt idx="103">
                  <c:v>45688</c:v>
                </c:pt>
                <c:pt idx="104">
                  <c:v>45689</c:v>
                </c:pt>
                <c:pt idx="105">
                  <c:v>45690</c:v>
                </c:pt>
                <c:pt idx="106">
                  <c:v>45691</c:v>
                </c:pt>
                <c:pt idx="107">
                  <c:v>45692</c:v>
                </c:pt>
                <c:pt idx="108">
                  <c:v>45693</c:v>
                </c:pt>
                <c:pt idx="109">
                  <c:v>45694</c:v>
                </c:pt>
                <c:pt idx="110">
                  <c:v>45695</c:v>
                </c:pt>
                <c:pt idx="111">
                  <c:v>45696</c:v>
                </c:pt>
                <c:pt idx="112">
                  <c:v>45697</c:v>
                </c:pt>
                <c:pt idx="113">
                  <c:v>45698</c:v>
                </c:pt>
                <c:pt idx="114">
                  <c:v>45699</c:v>
                </c:pt>
                <c:pt idx="115">
                  <c:v>45700</c:v>
                </c:pt>
                <c:pt idx="116">
                  <c:v>45701</c:v>
                </c:pt>
                <c:pt idx="117">
                  <c:v>45702</c:v>
                </c:pt>
                <c:pt idx="118">
                  <c:v>45703</c:v>
                </c:pt>
                <c:pt idx="119">
                  <c:v>45704</c:v>
                </c:pt>
                <c:pt idx="120">
                  <c:v>45705</c:v>
                </c:pt>
                <c:pt idx="121">
                  <c:v>45706</c:v>
                </c:pt>
                <c:pt idx="122">
                  <c:v>45707</c:v>
                </c:pt>
                <c:pt idx="123">
                  <c:v>45708</c:v>
                </c:pt>
                <c:pt idx="124">
                  <c:v>45709</c:v>
                </c:pt>
                <c:pt idx="125">
                  <c:v>45710</c:v>
                </c:pt>
                <c:pt idx="126">
                  <c:v>45711</c:v>
                </c:pt>
                <c:pt idx="127">
                  <c:v>45712</c:v>
                </c:pt>
                <c:pt idx="128">
                  <c:v>45713</c:v>
                </c:pt>
                <c:pt idx="129">
                  <c:v>45714</c:v>
                </c:pt>
                <c:pt idx="130">
                  <c:v>45715</c:v>
                </c:pt>
                <c:pt idx="131">
                  <c:v>45716</c:v>
                </c:pt>
                <c:pt idx="132">
                  <c:v>45717</c:v>
                </c:pt>
                <c:pt idx="133">
                  <c:v>45718</c:v>
                </c:pt>
                <c:pt idx="134">
                  <c:v>45719</c:v>
                </c:pt>
                <c:pt idx="135">
                  <c:v>45720</c:v>
                </c:pt>
                <c:pt idx="136">
                  <c:v>45721</c:v>
                </c:pt>
                <c:pt idx="137">
                  <c:v>45722</c:v>
                </c:pt>
                <c:pt idx="138">
                  <c:v>45723</c:v>
                </c:pt>
                <c:pt idx="139">
                  <c:v>45724</c:v>
                </c:pt>
                <c:pt idx="140">
                  <c:v>45725</c:v>
                </c:pt>
                <c:pt idx="141">
                  <c:v>45726</c:v>
                </c:pt>
                <c:pt idx="142">
                  <c:v>45727</c:v>
                </c:pt>
                <c:pt idx="143">
                  <c:v>45728</c:v>
                </c:pt>
                <c:pt idx="144">
                  <c:v>45729</c:v>
                </c:pt>
                <c:pt idx="145">
                  <c:v>45730</c:v>
                </c:pt>
                <c:pt idx="146">
                  <c:v>45731</c:v>
                </c:pt>
                <c:pt idx="147">
                  <c:v>45732</c:v>
                </c:pt>
                <c:pt idx="148">
                  <c:v>45733</c:v>
                </c:pt>
                <c:pt idx="149">
                  <c:v>45734</c:v>
                </c:pt>
                <c:pt idx="150">
                  <c:v>45735</c:v>
                </c:pt>
                <c:pt idx="151">
                  <c:v>45736</c:v>
                </c:pt>
                <c:pt idx="152">
                  <c:v>45737</c:v>
                </c:pt>
                <c:pt idx="153">
                  <c:v>45738</c:v>
                </c:pt>
                <c:pt idx="154">
                  <c:v>45739</c:v>
                </c:pt>
                <c:pt idx="155">
                  <c:v>45740</c:v>
                </c:pt>
                <c:pt idx="156">
                  <c:v>45741</c:v>
                </c:pt>
                <c:pt idx="157">
                  <c:v>45742</c:v>
                </c:pt>
                <c:pt idx="158">
                  <c:v>45743</c:v>
                </c:pt>
                <c:pt idx="159">
                  <c:v>45744</c:v>
                </c:pt>
                <c:pt idx="160">
                  <c:v>45745</c:v>
                </c:pt>
                <c:pt idx="161">
                  <c:v>45746</c:v>
                </c:pt>
                <c:pt idx="162">
                  <c:v>45747</c:v>
                </c:pt>
                <c:pt idx="163">
                  <c:v>45748</c:v>
                </c:pt>
                <c:pt idx="164">
                  <c:v>45749</c:v>
                </c:pt>
                <c:pt idx="165">
                  <c:v>45750</c:v>
                </c:pt>
                <c:pt idx="166">
                  <c:v>45751</c:v>
                </c:pt>
                <c:pt idx="167">
                  <c:v>45752</c:v>
                </c:pt>
                <c:pt idx="168">
                  <c:v>45753</c:v>
                </c:pt>
                <c:pt idx="169">
                  <c:v>45754</c:v>
                </c:pt>
                <c:pt idx="170">
                  <c:v>45755</c:v>
                </c:pt>
                <c:pt idx="171">
                  <c:v>45756</c:v>
                </c:pt>
                <c:pt idx="172">
                  <c:v>45757</c:v>
                </c:pt>
                <c:pt idx="173">
                  <c:v>45758</c:v>
                </c:pt>
                <c:pt idx="174">
                  <c:v>45759</c:v>
                </c:pt>
                <c:pt idx="175">
                  <c:v>45760</c:v>
                </c:pt>
                <c:pt idx="176">
                  <c:v>45761</c:v>
                </c:pt>
                <c:pt idx="177">
                  <c:v>45762</c:v>
                </c:pt>
                <c:pt idx="178">
                  <c:v>45763</c:v>
                </c:pt>
                <c:pt idx="179">
                  <c:v>45764</c:v>
                </c:pt>
                <c:pt idx="180">
                  <c:v>45765</c:v>
                </c:pt>
                <c:pt idx="181">
                  <c:v>45766</c:v>
                </c:pt>
                <c:pt idx="182">
                  <c:v>45767</c:v>
                </c:pt>
                <c:pt idx="183">
                  <c:v>45768</c:v>
                </c:pt>
                <c:pt idx="184">
                  <c:v>45769</c:v>
                </c:pt>
                <c:pt idx="185">
                  <c:v>45770</c:v>
                </c:pt>
                <c:pt idx="186">
                  <c:v>45771</c:v>
                </c:pt>
                <c:pt idx="187">
                  <c:v>45772</c:v>
                </c:pt>
                <c:pt idx="188">
                  <c:v>45773</c:v>
                </c:pt>
                <c:pt idx="189">
                  <c:v>45774</c:v>
                </c:pt>
                <c:pt idx="190">
                  <c:v>45775</c:v>
                </c:pt>
                <c:pt idx="191">
                  <c:v>45776</c:v>
                </c:pt>
                <c:pt idx="192">
                  <c:v>45777</c:v>
                </c:pt>
                <c:pt idx="193">
                  <c:v>45778</c:v>
                </c:pt>
                <c:pt idx="194">
                  <c:v>45779</c:v>
                </c:pt>
                <c:pt idx="195">
                  <c:v>45780</c:v>
                </c:pt>
                <c:pt idx="196">
                  <c:v>45781</c:v>
                </c:pt>
                <c:pt idx="197">
                  <c:v>45782</c:v>
                </c:pt>
                <c:pt idx="198">
                  <c:v>45783</c:v>
                </c:pt>
                <c:pt idx="199">
                  <c:v>45784</c:v>
                </c:pt>
                <c:pt idx="200">
                  <c:v>45785</c:v>
                </c:pt>
                <c:pt idx="201">
                  <c:v>45786</c:v>
                </c:pt>
                <c:pt idx="202">
                  <c:v>45787</c:v>
                </c:pt>
                <c:pt idx="203">
                  <c:v>45788</c:v>
                </c:pt>
                <c:pt idx="204">
                  <c:v>45789</c:v>
                </c:pt>
                <c:pt idx="205">
                  <c:v>45790</c:v>
                </c:pt>
                <c:pt idx="206">
                  <c:v>45791</c:v>
                </c:pt>
                <c:pt idx="207">
                  <c:v>45792</c:v>
                </c:pt>
                <c:pt idx="208">
                  <c:v>45793</c:v>
                </c:pt>
                <c:pt idx="209">
                  <c:v>45794</c:v>
                </c:pt>
                <c:pt idx="210">
                  <c:v>45795</c:v>
                </c:pt>
                <c:pt idx="211">
                  <c:v>45796</c:v>
                </c:pt>
                <c:pt idx="212">
                  <c:v>45797</c:v>
                </c:pt>
                <c:pt idx="213">
                  <c:v>45798</c:v>
                </c:pt>
                <c:pt idx="214">
                  <c:v>45799</c:v>
                </c:pt>
                <c:pt idx="215">
                  <c:v>45800</c:v>
                </c:pt>
                <c:pt idx="216">
                  <c:v>45801</c:v>
                </c:pt>
                <c:pt idx="217">
                  <c:v>45802</c:v>
                </c:pt>
                <c:pt idx="218">
                  <c:v>45803</c:v>
                </c:pt>
                <c:pt idx="219">
                  <c:v>45804</c:v>
                </c:pt>
                <c:pt idx="220">
                  <c:v>45805</c:v>
                </c:pt>
                <c:pt idx="221">
                  <c:v>45806</c:v>
                </c:pt>
                <c:pt idx="222">
                  <c:v>45807</c:v>
                </c:pt>
                <c:pt idx="223">
                  <c:v>45808</c:v>
                </c:pt>
              </c:numCache>
            </c:numRef>
          </c:xVal>
          <c:yVal>
            <c:numRef>
              <c:f>'Km83+980'!$AJ$11:$AJ$318</c:f>
              <c:numCache>
                <c:formatCode>0.000</c:formatCode>
                <c:ptCount val="308"/>
                <c:pt idx="0">
                  <c:v>0.46700000000000003</c:v>
                </c:pt>
                <c:pt idx="1">
                  <c:v>0.76300000000000001</c:v>
                </c:pt>
                <c:pt idx="2">
                  <c:v>0.76</c:v>
                </c:pt>
                <c:pt idx="3">
                  <c:v>0.752</c:v>
                </c:pt>
                <c:pt idx="4">
                  <c:v>0.745</c:v>
                </c:pt>
                <c:pt idx="5">
                  <c:v>0.73599999999999999</c:v>
                </c:pt>
                <c:pt idx="6">
                  <c:v>1.028</c:v>
                </c:pt>
                <c:pt idx="7">
                  <c:v>1.02</c:v>
                </c:pt>
                <c:pt idx="8">
                  <c:v>1.012</c:v>
                </c:pt>
                <c:pt idx="9">
                  <c:v>1.0050000000000001</c:v>
                </c:pt>
                <c:pt idx="10">
                  <c:v>0.99800000000000011</c:v>
                </c:pt>
                <c:pt idx="11">
                  <c:v>1.292</c:v>
                </c:pt>
                <c:pt idx="12">
                  <c:v>1.286</c:v>
                </c:pt>
                <c:pt idx="13">
                  <c:v>1.2810000000000001</c:v>
                </c:pt>
                <c:pt idx="14">
                  <c:v>1.2760000000000002</c:v>
                </c:pt>
                <c:pt idx="15">
                  <c:v>1.5670000000000004</c:v>
                </c:pt>
                <c:pt idx="16">
                  <c:v>1.5580000000000005</c:v>
                </c:pt>
                <c:pt idx="17">
                  <c:v>1.5500000000000005</c:v>
                </c:pt>
                <c:pt idx="18">
                  <c:v>1.5410000000000006</c:v>
                </c:pt>
                <c:pt idx="19">
                  <c:v>1.5320000000000007</c:v>
                </c:pt>
                <c:pt idx="20">
                  <c:v>1.5240000000000007</c:v>
                </c:pt>
                <c:pt idx="21">
                  <c:v>1.5150000000000008</c:v>
                </c:pt>
                <c:pt idx="22">
                  <c:v>1.5060000000000009</c:v>
                </c:pt>
                <c:pt idx="23">
                  <c:v>1.497000000000001</c:v>
                </c:pt>
                <c:pt idx="24">
                  <c:v>1.489000000000001</c:v>
                </c:pt>
                <c:pt idx="25">
                  <c:v>1.4800000000000011</c:v>
                </c:pt>
                <c:pt idx="26">
                  <c:v>1.4720000000000011</c:v>
                </c:pt>
                <c:pt idx="27">
                  <c:v>1.4630000000000012</c:v>
                </c:pt>
                <c:pt idx="28">
                  <c:v>1.4540000000000013</c:v>
                </c:pt>
                <c:pt idx="29">
                  <c:v>1.4460000000000013</c:v>
                </c:pt>
                <c:pt idx="30">
                  <c:v>1.4370000000000014</c:v>
                </c:pt>
                <c:pt idx="31">
                  <c:v>1.4280000000000015</c:v>
                </c:pt>
                <c:pt idx="32">
                  <c:v>1.4200000000000015</c:v>
                </c:pt>
                <c:pt idx="33">
                  <c:v>1.4110000000000016</c:v>
                </c:pt>
                <c:pt idx="34">
                  <c:v>1.4020000000000017</c:v>
                </c:pt>
                <c:pt idx="35">
                  <c:v>1.3940000000000017</c:v>
                </c:pt>
                <c:pt idx="36">
                  <c:v>1.3870000000000018</c:v>
                </c:pt>
                <c:pt idx="37">
                  <c:v>1.3790000000000018</c:v>
                </c:pt>
                <c:pt idx="38">
                  <c:v>1.3710000000000018</c:v>
                </c:pt>
                <c:pt idx="39">
                  <c:v>1.3630000000000018</c:v>
                </c:pt>
                <c:pt idx="40">
                  <c:v>1.3560000000000019</c:v>
                </c:pt>
                <c:pt idx="41">
                  <c:v>1.3480000000000019</c:v>
                </c:pt>
                <c:pt idx="42">
                  <c:v>1.3400000000000019</c:v>
                </c:pt>
                <c:pt idx="43">
                  <c:v>1.333000000000002</c:v>
                </c:pt>
                <c:pt idx="44">
                  <c:v>1.325000000000002</c:v>
                </c:pt>
                <c:pt idx="45">
                  <c:v>1.3170000000000019</c:v>
                </c:pt>
                <c:pt idx="46">
                  <c:v>1.3100000000000021</c:v>
                </c:pt>
                <c:pt idx="47">
                  <c:v>1.302000000000002</c:v>
                </c:pt>
                <c:pt idx="48">
                  <c:v>1.294000000000002</c:v>
                </c:pt>
                <c:pt idx="49">
                  <c:v>1.2870000000000021</c:v>
                </c:pt>
                <c:pt idx="50">
                  <c:v>1.2790000000000021</c:v>
                </c:pt>
                <c:pt idx="51">
                  <c:v>1.2730000000000021</c:v>
                </c:pt>
                <c:pt idx="52">
                  <c:v>1.2660000000000022</c:v>
                </c:pt>
                <c:pt idx="53">
                  <c:v>1.2590000000000023</c:v>
                </c:pt>
                <c:pt idx="54">
                  <c:v>1.2530000000000023</c:v>
                </c:pt>
                <c:pt idx="55">
                  <c:v>1.2460000000000024</c:v>
                </c:pt>
                <c:pt idx="56">
                  <c:v>1.2400000000000024</c:v>
                </c:pt>
                <c:pt idx="57">
                  <c:v>1.2330000000000025</c:v>
                </c:pt>
                <c:pt idx="58">
                  <c:v>1.2270000000000025</c:v>
                </c:pt>
                <c:pt idx="59">
                  <c:v>1.2220000000000026</c:v>
                </c:pt>
                <c:pt idx="60">
                  <c:v>1.2160000000000026</c:v>
                </c:pt>
                <c:pt idx="61">
                  <c:v>1.2100000000000026</c:v>
                </c:pt>
                <c:pt idx="62">
                  <c:v>1.2050000000000027</c:v>
                </c:pt>
                <c:pt idx="63">
                  <c:v>1.1990000000000027</c:v>
                </c:pt>
                <c:pt idx="64">
                  <c:v>1.1930000000000027</c:v>
                </c:pt>
                <c:pt idx="65">
                  <c:v>1.1870000000000027</c:v>
                </c:pt>
                <c:pt idx="66">
                  <c:v>1.1820000000000028</c:v>
                </c:pt>
                <c:pt idx="67">
                  <c:v>1.1780000000000028</c:v>
                </c:pt>
                <c:pt idx="68">
                  <c:v>1.1740000000000028</c:v>
                </c:pt>
                <c:pt idx="69">
                  <c:v>1.1690000000000029</c:v>
                </c:pt>
                <c:pt idx="70">
                  <c:v>1.164000000000003</c:v>
                </c:pt>
                <c:pt idx="71">
                  <c:v>1.1590000000000031</c:v>
                </c:pt>
                <c:pt idx="72">
                  <c:v>1.1560000000000032</c:v>
                </c:pt>
                <c:pt idx="73">
                  <c:v>1.1520000000000032</c:v>
                </c:pt>
                <c:pt idx="74">
                  <c:v>1.1490000000000034</c:v>
                </c:pt>
                <c:pt idx="75">
                  <c:v>1.1450000000000033</c:v>
                </c:pt>
                <c:pt idx="76">
                  <c:v>1.1410000000000033</c:v>
                </c:pt>
                <c:pt idx="77">
                  <c:v>1.1370000000000033</c:v>
                </c:pt>
                <c:pt idx="78">
                  <c:v>1.1340000000000034</c:v>
                </c:pt>
                <c:pt idx="79">
                  <c:v>1.1310000000000036</c:v>
                </c:pt>
                <c:pt idx="80">
                  <c:v>1.1280000000000037</c:v>
                </c:pt>
                <c:pt idx="81">
                  <c:v>1.1250000000000038</c:v>
                </c:pt>
                <c:pt idx="82">
                  <c:v>1.1230000000000038</c:v>
                </c:pt>
                <c:pt idx="83">
                  <c:v>1.1210000000000038</c:v>
                </c:pt>
                <c:pt idx="84">
                  <c:v>1.1190000000000038</c:v>
                </c:pt>
                <c:pt idx="85">
                  <c:v>1.1170000000000038</c:v>
                </c:pt>
                <c:pt idx="86">
                  <c:v>1.1150000000000038</c:v>
                </c:pt>
                <c:pt idx="87">
                  <c:v>1.1130000000000038</c:v>
                </c:pt>
                <c:pt idx="88">
                  <c:v>1.1120000000000039</c:v>
                </c:pt>
                <c:pt idx="89">
                  <c:v>1.111000000000004</c:v>
                </c:pt>
                <c:pt idx="90">
                  <c:v>1.1100000000000041</c:v>
                </c:pt>
                <c:pt idx="91">
                  <c:v>1.1090000000000042</c:v>
                </c:pt>
                <c:pt idx="92">
                  <c:v>1.1070000000000042</c:v>
                </c:pt>
                <c:pt idx="93">
                  <c:v>1.1070000000000042</c:v>
                </c:pt>
                <c:pt idx="94">
                  <c:v>1.1030000000000042</c:v>
                </c:pt>
                <c:pt idx="95">
                  <c:v>1.1030000000000042</c:v>
                </c:pt>
                <c:pt idx="96">
                  <c:v>1.1000000000000043</c:v>
                </c:pt>
                <c:pt idx="97">
                  <c:v>1.1000000000000043</c:v>
                </c:pt>
                <c:pt idx="98">
                  <c:v>1.0960000000000043</c:v>
                </c:pt>
                <c:pt idx="99">
                  <c:v>1.0930000000000044</c:v>
                </c:pt>
                <c:pt idx="100">
                  <c:v>1.0920000000000045</c:v>
                </c:pt>
                <c:pt idx="101">
                  <c:v>1.0900000000000045</c:v>
                </c:pt>
                <c:pt idx="102">
                  <c:v>1.0900000000000045</c:v>
                </c:pt>
                <c:pt idx="103">
                  <c:v>1.0860000000000045</c:v>
                </c:pt>
                <c:pt idx="104">
                  <c:v>1.0860000000000045</c:v>
                </c:pt>
                <c:pt idx="105">
                  <c:v>1.0830000000000046</c:v>
                </c:pt>
                <c:pt idx="106">
                  <c:v>1.0800000000000047</c:v>
                </c:pt>
                <c:pt idx="107">
                  <c:v>1.0760000000000047</c:v>
                </c:pt>
                <c:pt idx="108">
                  <c:v>1.0730000000000048</c:v>
                </c:pt>
                <c:pt idx="109">
                  <c:v>1.0730000000000048</c:v>
                </c:pt>
                <c:pt idx="110">
                  <c:v>1.0730000000000048</c:v>
                </c:pt>
                <c:pt idx="111">
                  <c:v>1.0710000000000048</c:v>
                </c:pt>
                <c:pt idx="112">
                  <c:v>1.0710000000000048</c:v>
                </c:pt>
                <c:pt idx="113">
                  <c:v>1.0710000000000048</c:v>
                </c:pt>
                <c:pt idx="114">
                  <c:v>1.0670000000000048</c:v>
                </c:pt>
                <c:pt idx="115">
                  <c:v>1.0670000000000048</c:v>
                </c:pt>
                <c:pt idx="116">
                  <c:v>1.0630000000000048</c:v>
                </c:pt>
                <c:pt idx="117">
                  <c:v>1.0600000000000049</c:v>
                </c:pt>
                <c:pt idx="118">
                  <c:v>1.057000000000005</c:v>
                </c:pt>
                <c:pt idx="119">
                  <c:v>1.0560000000000052</c:v>
                </c:pt>
                <c:pt idx="120">
                  <c:v>1.0560000000000052</c:v>
                </c:pt>
                <c:pt idx="121">
                  <c:v>1.0520000000000052</c:v>
                </c:pt>
                <c:pt idx="122">
                  <c:v>1.0500000000000052</c:v>
                </c:pt>
                <c:pt idx="123">
                  <c:v>1.0500000000000052</c:v>
                </c:pt>
                <c:pt idx="124">
                  <c:v>1.0470000000000053</c:v>
                </c:pt>
                <c:pt idx="125">
                  <c:v>1.0430000000000053</c:v>
                </c:pt>
                <c:pt idx="126">
                  <c:v>1.0430000000000053</c:v>
                </c:pt>
                <c:pt idx="127">
                  <c:v>1.0390000000000053</c:v>
                </c:pt>
                <c:pt idx="128">
                  <c:v>1.0390000000000053</c:v>
                </c:pt>
                <c:pt idx="129">
                  <c:v>1.0350000000000052</c:v>
                </c:pt>
                <c:pt idx="130">
                  <c:v>1.0330000000000052</c:v>
                </c:pt>
                <c:pt idx="131">
                  <c:v>1.0320000000000054</c:v>
                </c:pt>
                <c:pt idx="132">
                  <c:v>1.0320000000000054</c:v>
                </c:pt>
                <c:pt idx="133">
                  <c:v>1.0280000000000054</c:v>
                </c:pt>
                <c:pt idx="134">
                  <c:v>1.0280000000000054</c:v>
                </c:pt>
                <c:pt idx="135">
                  <c:v>1.0250000000000055</c:v>
                </c:pt>
                <c:pt idx="136">
                  <c:v>1.0250000000000055</c:v>
                </c:pt>
                <c:pt idx="137">
                  <c:v>1.0220000000000056</c:v>
                </c:pt>
                <c:pt idx="138">
                  <c:v>1.0180000000000056</c:v>
                </c:pt>
                <c:pt idx="139">
                  <c:v>1.0140000000000056</c:v>
                </c:pt>
                <c:pt idx="140">
                  <c:v>1.0100000000000056</c:v>
                </c:pt>
                <c:pt idx="141">
                  <c:v>1.0060000000000056</c:v>
                </c:pt>
                <c:pt idx="142">
                  <c:v>1.0060000000000056</c:v>
                </c:pt>
                <c:pt idx="143">
                  <c:v>1.0020000000000056</c:v>
                </c:pt>
                <c:pt idx="144">
                  <c:v>1.0020000000000056</c:v>
                </c:pt>
                <c:pt idx="145">
                  <c:v>0.99900000000000555</c:v>
                </c:pt>
                <c:pt idx="146">
                  <c:v>0.99900000000000555</c:v>
                </c:pt>
                <c:pt idx="147">
                  <c:v>0.99500000000000555</c:v>
                </c:pt>
                <c:pt idx="148">
                  <c:v>0.99200000000000554</c:v>
                </c:pt>
                <c:pt idx="149">
                  <c:v>0.99100000000000554</c:v>
                </c:pt>
                <c:pt idx="150">
                  <c:v>0.98700000000000554</c:v>
                </c:pt>
                <c:pt idx="151">
                  <c:v>0.98700000000000554</c:v>
                </c:pt>
                <c:pt idx="152">
                  <c:v>0.98600000000000554</c:v>
                </c:pt>
                <c:pt idx="153">
                  <c:v>0.98300000000000554</c:v>
                </c:pt>
                <c:pt idx="154">
                  <c:v>0.98000000000000553</c:v>
                </c:pt>
                <c:pt idx="155">
                  <c:v>0.97900000000000553</c:v>
                </c:pt>
                <c:pt idx="156">
                  <c:v>0.97700000000000553</c:v>
                </c:pt>
                <c:pt idx="157">
                  <c:v>0.97700000000000553</c:v>
                </c:pt>
                <c:pt idx="158">
                  <c:v>0.97600000000000553</c:v>
                </c:pt>
                <c:pt idx="159">
                  <c:v>0.97200000000000553</c:v>
                </c:pt>
                <c:pt idx="160">
                  <c:v>0.97100000000000553</c:v>
                </c:pt>
                <c:pt idx="161">
                  <c:v>0.96700000000000552</c:v>
                </c:pt>
                <c:pt idx="162">
                  <c:v>0.96300000000000552</c:v>
                </c:pt>
                <c:pt idx="163">
                  <c:v>0.96300000000000552</c:v>
                </c:pt>
                <c:pt idx="164">
                  <c:v>0.96200000000000552</c:v>
                </c:pt>
                <c:pt idx="165">
                  <c:v>0.96200000000000552</c:v>
                </c:pt>
                <c:pt idx="166">
                  <c:v>0.95900000000000551</c:v>
                </c:pt>
                <c:pt idx="167">
                  <c:v>0.95800000000000551</c:v>
                </c:pt>
                <c:pt idx="168">
                  <c:v>0.95800000000000551</c:v>
                </c:pt>
                <c:pt idx="169">
                  <c:v>0.95400000000000551</c:v>
                </c:pt>
                <c:pt idx="170">
                  <c:v>0.95200000000000551</c:v>
                </c:pt>
                <c:pt idx="171">
                  <c:v>0.95000000000000551</c:v>
                </c:pt>
                <c:pt idx="172">
                  <c:v>0.9410000000000055</c:v>
                </c:pt>
                <c:pt idx="173">
                  <c:v>0.93200000000000549</c:v>
                </c:pt>
                <c:pt idx="174">
                  <c:v>0.92300000000000548</c:v>
                </c:pt>
                <c:pt idx="175">
                  <c:v>0.91500000000000548</c:v>
                </c:pt>
                <c:pt idx="176">
                  <c:v>0.90600000000000547</c:v>
                </c:pt>
                <c:pt idx="177">
                  <c:v>0.89700000000000546</c:v>
                </c:pt>
                <c:pt idx="178">
                  <c:v>0.88800000000000545</c:v>
                </c:pt>
                <c:pt idx="179">
                  <c:v>0.88000000000000544</c:v>
                </c:pt>
                <c:pt idx="180">
                  <c:v>0.87100000000000544</c:v>
                </c:pt>
                <c:pt idx="181">
                  <c:v>0.86200000000000543</c:v>
                </c:pt>
                <c:pt idx="182">
                  <c:v>0.85300000000000542</c:v>
                </c:pt>
                <c:pt idx="183">
                  <c:v>0.84500000000000541</c:v>
                </c:pt>
                <c:pt idx="184">
                  <c:v>0.83800000000000541</c:v>
                </c:pt>
                <c:pt idx="185">
                  <c:v>0.8300000000000054</c:v>
                </c:pt>
                <c:pt idx="186">
                  <c:v>0.82200000000000539</c:v>
                </c:pt>
                <c:pt idx="187">
                  <c:v>0.81400000000000539</c:v>
                </c:pt>
                <c:pt idx="188">
                  <c:v>0.80700000000000538</c:v>
                </c:pt>
                <c:pt idx="189">
                  <c:v>0.79900000000000537</c:v>
                </c:pt>
                <c:pt idx="190">
                  <c:v>0.79200000000000537</c:v>
                </c:pt>
                <c:pt idx="191">
                  <c:v>0.78400000000000536</c:v>
                </c:pt>
                <c:pt idx="192">
                  <c:v>0.77600000000000535</c:v>
                </c:pt>
                <c:pt idx="193">
                  <c:v>0.76900000000000535</c:v>
                </c:pt>
                <c:pt idx="194">
                  <c:v>0.76300000000000534</c:v>
                </c:pt>
                <c:pt idx="195">
                  <c:v>0.75600000000000533</c:v>
                </c:pt>
                <c:pt idx="196">
                  <c:v>0.74900000000000533</c:v>
                </c:pt>
                <c:pt idx="197">
                  <c:v>0.74100000000000532</c:v>
                </c:pt>
                <c:pt idx="198">
                  <c:v>0.73300000000000531</c:v>
                </c:pt>
                <c:pt idx="199">
                  <c:v>0.72500000000000531</c:v>
                </c:pt>
                <c:pt idx="200">
                  <c:v>0.7180000000000053</c:v>
                </c:pt>
                <c:pt idx="201">
                  <c:v>0.71000000000000529</c:v>
                </c:pt>
                <c:pt idx="202">
                  <c:v>0.70200000000000529</c:v>
                </c:pt>
                <c:pt idx="203">
                  <c:v>0.69500000000000528</c:v>
                </c:pt>
                <c:pt idx="204">
                  <c:v>0.68800000000000527</c:v>
                </c:pt>
                <c:pt idx="205">
                  <c:v>0.68200000000000527</c:v>
                </c:pt>
                <c:pt idx="206">
                  <c:v>0.67500000000000526</c:v>
                </c:pt>
                <c:pt idx="207">
                  <c:v>0.66900000000000526</c:v>
                </c:pt>
                <c:pt idx="208">
                  <c:v>0.66300000000000525</c:v>
                </c:pt>
                <c:pt idx="209">
                  <c:v>0.65700000000000525</c:v>
                </c:pt>
                <c:pt idx="210">
                  <c:v>0.65200000000000524</c:v>
                </c:pt>
                <c:pt idx="211">
                  <c:v>0.64600000000000524</c:v>
                </c:pt>
                <c:pt idx="212">
                  <c:v>0.64100000000000523</c:v>
                </c:pt>
                <c:pt idx="213">
                  <c:v>0.63500000000000523</c:v>
                </c:pt>
                <c:pt idx="214">
                  <c:v>0.63000000000000522</c:v>
                </c:pt>
                <c:pt idx="215">
                  <c:v>0.62400000000000522</c:v>
                </c:pt>
                <c:pt idx="216">
                  <c:v>0.61800000000000521</c:v>
                </c:pt>
                <c:pt idx="217">
                  <c:v>0.61400000000000521</c:v>
                </c:pt>
                <c:pt idx="218">
                  <c:v>0.6080000000000052</c:v>
                </c:pt>
                <c:pt idx="219">
                  <c:v>0.6040000000000052</c:v>
                </c:pt>
                <c:pt idx="220">
                  <c:v>0.6000000000000052</c:v>
                </c:pt>
                <c:pt idx="221">
                  <c:v>0.59400000000000519</c:v>
                </c:pt>
                <c:pt idx="222">
                  <c:v>0.59000000000000519</c:v>
                </c:pt>
                <c:pt idx="223">
                  <c:v>0.58600000000000518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A7-45B5-8179-FA185CA9CA79}"/>
            </c:ext>
          </c:extLst>
        </c:ser>
        <c:ser>
          <c:idx val="4"/>
          <c:order val="4"/>
          <c:tx>
            <c:strRef>
              <c:f>'Km83+980'!$AL$8:$AL$9</c:f>
              <c:strCache>
                <c:ptCount val="2"/>
                <c:pt idx="0">
                  <c:v>Chiều dày đắp</c:v>
                </c:pt>
              </c:strCache>
            </c:strRef>
          </c:tx>
          <c:marker>
            <c:symbol val="star"/>
            <c:size val="2"/>
            <c:spPr>
              <a:noFill/>
              <a:ln w="12700">
                <a:solidFill>
                  <a:srgbClr val="800080"/>
                </a:solidFill>
                <a:prstDash val="solid"/>
              </a:ln>
            </c:spPr>
          </c:marker>
          <c:xVal>
            <c:numRef>
              <c:f>'Km83+980'!$B$11:$B$329</c:f>
              <c:numCache>
                <c:formatCode>[$-1010000]d/m/yyyy;@</c:formatCode>
                <c:ptCount val="319"/>
                <c:pt idx="0">
                  <c:v>45585</c:v>
                </c:pt>
                <c:pt idx="1">
                  <c:v>45586</c:v>
                </c:pt>
                <c:pt idx="2">
                  <c:v>45587</c:v>
                </c:pt>
                <c:pt idx="3">
                  <c:v>45588</c:v>
                </c:pt>
                <c:pt idx="4">
                  <c:v>45589</c:v>
                </c:pt>
                <c:pt idx="5">
                  <c:v>45590</c:v>
                </c:pt>
                <c:pt idx="6">
                  <c:v>45591</c:v>
                </c:pt>
                <c:pt idx="7">
                  <c:v>45592</c:v>
                </c:pt>
                <c:pt idx="8">
                  <c:v>45593</c:v>
                </c:pt>
                <c:pt idx="9">
                  <c:v>45594</c:v>
                </c:pt>
                <c:pt idx="10">
                  <c:v>45595</c:v>
                </c:pt>
                <c:pt idx="11">
                  <c:v>45596</c:v>
                </c:pt>
                <c:pt idx="12">
                  <c:v>45597</c:v>
                </c:pt>
                <c:pt idx="13">
                  <c:v>45598</c:v>
                </c:pt>
                <c:pt idx="14">
                  <c:v>45599</c:v>
                </c:pt>
                <c:pt idx="15">
                  <c:v>45600</c:v>
                </c:pt>
                <c:pt idx="16">
                  <c:v>45601</c:v>
                </c:pt>
                <c:pt idx="17">
                  <c:v>45602</c:v>
                </c:pt>
                <c:pt idx="18">
                  <c:v>45603</c:v>
                </c:pt>
                <c:pt idx="19">
                  <c:v>45604</c:v>
                </c:pt>
                <c:pt idx="20">
                  <c:v>45605</c:v>
                </c:pt>
                <c:pt idx="21">
                  <c:v>45606</c:v>
                </c:pt>
                <c:pt idx="22">
                  <c:v>45607</c:v>
                </c:pt>
                <c:pt idx="23">
                  <c:v>45608</c:v>
                </c:pt>
                <c:pt idx="24">
                  <c:v>45609</c:v>
                </c:pt>
                <c:pt idx="25">
                  <c:v>45610</c:v>
                </c:pt>
                <c:pt idx="26">
                  <c:v>45611</c:v>
                </c:pt>
                <c:pt idx="27">
                  <c:v>45612</c:v>
                </c:pt>
                <c:pt idx="28">
                  <c:v>45613</c:v>
                </c:pt>
                <c:pt idx="29">
                  <c:v>45614</c:v>
                </c:pt>
                <c:pt idx="30">
                  <c:v>45615</c:v>
                </c:pt>
                <c:pt idx="31">
                  <c:v>45616</c:v>
                </c:pt>
                <c:pt idx="32">
                  <c:v>45617</c:v>
                </c:pt>
                <c:pt idx="33">
                  <c:v>45618</c:v>
                </c:pt>
                <c:pt idx="34">
                  <c:v>45619</c:v>
                </c:pt>
                <c:pt idx="35">
                  <c:v>45620</c:v>
                </c:pt>
                <c:pt idx="36">
                  <c:v>45621</c:v>
                </c:pt>
                <c:pt idx="37">
                  <c:v>45622</c:v>
                </c:pt>
                <c:pt idx="38">
                  <c:v>45623</c:v>
                </c:pt>
                <c:pt idx="39">
                  <c:v>45624</c:v>
                </c:pt>
                <c:pt idx="40">
                  <c:v>45625</c:v>
                </c:pt>
                <c:pt idx="41">
                  <c:v>45626</c:v>
                </c:pt>
                <c:pt idx="42">
                  <c:v>45627</c:v>
                </c:pt>
                <c:pt idx="43">
                  <c:v>45628</c:v>
                </c:pt>
                <c:pt idx="44">
                  <c:v>45629</c:v>
                </c:pt>
                <c:pt idx="45">
                  <c:v>45630</c:v>
                </c:pt>
                <c:pt idx="46">
                  <c:v>45631</c:v>
                </c:pt>
                <c:pt idx="47">
                  <c:v>45632</c:v>
                </c:pt>
                <c:pt idx="48">
                  <c:v>45633</c:v>
                </c:pt>
                <c:pt idx="49">
                  <c:v>45634</c:v>
                </c:pt>
                <c:pt idx="50">
                  <c:v>45635</c:v>
                </c:pt>
                <c:pt idx="51">
                  <c:v>45636</c:v>
                </c:pt>
                <c:pt idx="52">
                  <c:v>45637</c:v>
                </c:pt>
                <c:pt idx="53">
                  <c:v>45638</c:v>
                </c:pt>
                <c:pt idx="54">
                  <c:v>45639</c:v>
                </c:pt>
                <c:pt idx="55">
                  <c:v>45640</c:v>
                </c:pt>
                <c:pt idx="56">
                  <c:v>45641</c:v>
                </c:pt>
                <c:pt idx="57">
                  <c:v>45642</c:v>
                </c:pt>
                <c:pt idx="58">
                  <c:v>45643</c:v>
                </c:pt>
                <c:pt idx="59">
                  <c:v>45644</c:v>
                </c:pt>
                <c:pt idx="60">
                  <c:v>45645</c:v>
                </c:pt>
                <c:pt idx="61">
                  <c:v>45646</c:v>
                </c:pt>
                <c:pt idx="62">
                  <c:v>45647</c:v>
                </c:pt>
                <c:pt idx="63">
                  <c:v>45648</c:v>
                </c:pt>
                <c:pt idx="64">
                  <c:v>45649</c:v>
                </c:pt>
                <c:pt idx="65">
                  <c:v>45650</c:v>
                </c:pt>
                <c:pt idx="66">
                  <c:v>45651</c:v>
                </c:pt>
                <c:pt idx="67">
                  <c:v>45652</c:v>
                </c:pt>
                <c:pt idx="68">
                  <c:v>45653</c:v>
                </c:pt>
                <c:pt idx="69">
                  <c:v>45654</c:v>
                </c:pt>
                <c:pt idx="70">
                  <c:v>45655</c:v>
                </c:pt>
                <c:pt idx="71">
                  <c:v>45656</c:v>
                </c:pt>
                <c:pt idx="72">
                  <c:v>45657</c:v>
                </c:pt>
                <c:pt idx="73">
                  <c:v>45658</c:v>
                </c:pt>
                <c:pt idx="74">
                  <c:v>45659</c:v>
                </c:pt>
                <c:pt idx="75">
                  <c:v>45660</c:v>
                </c:pt>
                <c:pt idx="76">
                  <c:v>45661</c:v>
                </c:pt>
                <c:pt idx="77">
                  <c:v>45662</c:v>
                </c:pt>
                <c:pt idx="78">
                  <c:v>45663</c:v>
                </c:pt>
                <c:pt idx="79">
                  <c:v>45664</c:v>
                </c:pt>
                <c:pt idx="80">
                  <c:v>45665</c:v>
                </c:pt>
                <c:pt idx="81">
                  <c:v>45666</c:v>
                </c:pt>
                <c:pt idx="82">
                  <c:v>45667</c:v>
                </c:pt>
                <c:pt idx="83">
                  <c:v>45668</c:v>
                </c:pt>
                <c:pt idx="84">
                  <c:v>45669</c:v>
                </c:pt>
                <c:pt idx="85">
                  <c:v>45670</c:v>
                </c:pt>
                <c:pt idx="86">
                  <c:v>45671</c:v>
                </c:pt>
                <c:pt idx="87">
                  <c:v>45672</c:v>
                </c:pt>
                <c:pt idx="88">
                  <c:v>45673</c:v>
                </c:pt>
                <c:pt idx="89">
                  <c:v>45674</c:v>
                </c:pt>
                <c:pt idx="90">
                  <c:v>45675</c:v>
                </c:pt>
                <c:pt idx="91">
                  <c:v>45676</c:v>
                </c:pt>
                <c:pt idx="92">
                  <c:v>45677</c:v>
                </c:pt>
                <c:pt idx="93">
                  <c:v>45678</c:v>
                </c:pt>
                <c:pt idx="94">
                  <c:v>45679</c:v>
                </c:pt>
                <c:pt idx="95">
                  <c:v>45680</c:v>
                </c:pt>
                <c:pt idx="96">
                  <c:v>45681</c:v>
                </c:pt>
                <c:pt idx="97">
                  <c:v>45682</c:v>
                </c:pt>
                <c:pt idx="98">
                  <c:v>45683</c:v>
                </c:pt>
                <c:pt idx="99">
                  <c:v>45684</c:v>
                </c:pt>
                <c:pt idx="100">
                  <c:v>45685</c:v>
                </c:pt>
                <c:pt idx="101">
                  <c:v>45686</c:v>
                </c:pt>
                <c:pt idx="102">
                  <c:v>45687</c:v>
                </c:pt>
                <c:pt idx="103">
                  <c:v>45688</c:v>
                </c:pt>
                <c:pt idx="104">
                  <c:v>45689</c:v>
                </c:pt>
                <c:pt idx="105">
                  <c:v>45690</c:v>
                </c:pt>
                <c:pt idx="106">
                  <c:v>45691</c:v>
                </c:pt>
                <c:pt idx="107">
                  <c:v>45692</c:v>
                </c:pt>
                <c:pt idx="108">
                  <c:v>45693</c:v>
                </c:pt>
                <c:pt idx="109">
                  <c:v>45694</c:v>
                </c:pt>
                <c:pt idx="110">
                  <c:v>45695</c:v>
                </c:pt>
                <c:pt idx="111">
                  <c:v>45696</c:v>
                </c:pt>
                <c:pt idx="112">
                  <c:v>45697</c:v>
                </c:pt>
                <c:pt idx="113">
                  <c:v>45698</c:v>
                </c:pt>
                <c:pt idx="114">
                  <c:v>45699</c:v>
                </c:pt>
                <c:pt idx="115">
                  <c:v>45700</c:v>
                </c:pt>
                <c:pt idx="116">
                  <c:v>45701</c:v>
                </c:pt>
                <c:pt idx="117">
                  <c:v>45702</c:v>
                </c:pt>
                <c:pt idx="118">
                  <c:v>45703</c:v>
                </c:pt>
                <c:pt idx="119">
                  <c:v>45704</c:v>
                </c:pt>
                <c:pt idx="120">
                  <c:v>45705</c:v>
                </c:pt>
                <c:pt idx="121">
                  <c:v>45706</c:v>
                </c:pt>
                <c:pt idx="122">
                  <c:v>45707</c:v>
                </c:pt>
                <c:pt idx="123">
                  <c:v>45708</c:v>
                </c:pt>
                <c:pt idx="124">
                  <c:v>45709</c:v>
                </c:pt>
                <c:pt idx="125">
                  <c:v>45710</c:v>
                </c:pt>
                <c:pt idx="126">
                  <c:v>45711</c:v>
                </c:pt>
                <c:pt idx="127">
                  <c:v>45712</c:v>
                </c:pt>
                <c:pt idx="128">
                  <c:v>45713</c:v>
                </c:pt>
                <c:pt idx="129">
                  <c:v>45714</c:v>
                </c:pt>
                <c:pt idx="130">
                  <c:v>45715</c:v>
                </c:pt>
                <c:pt idx="131">
                  <c:v>45716</c:v>
                </c:pt>
                <c:pt idx="132">
                  <c:v>45717</c:v>
                </c:pt>
                <c:pt idx="133">
                  <c:v>45718</c:v>
                </c:pt>
                <c:pt idx="134">
                  <c:v>45719</c:v>
                </c:pt>
                <c:pt idx="135">
                  <c:v>45720</c:v>
                </c:pt>
                <c:pt idx="136">
                  <c:v>45721</c:v>
                </c:pt>
                <c:pt idx="137">
                  <c:v>45722</c:v>
                </c:pt>
                <c:pt idx="138">
                  <c:v>45723</c:v>
                </c:pt>
                <c:pt idx="139">
                  <c:v>45724</c:v>
                </c:pt>
                <c:pt idx="140">
                  <c:v>45725</c:v>
                </c:pt>
                <c:pt idx="141">
                  <c:v>45726</c:v>
                </c:pt>
                <c:pt idx="142">
                  <c:v>45727</c:v>
                </c:pt>
                <c:pt idx="143">
                  <c:v>45728</c:v>
                </c:pt>
                <c:pt idx="144">
                  <c:v>45729</c:v>
                </c:pt>
                <c:pt idx="145">
                  <c:v>45730</c:v>
                </c:pt>
                <c:pt idx="146">
                  <c:v>45731</c:v>
                </c:pt>
                <c:pt idx="147">
                  <c:v>45732</c:v>
                </c:pt>
                <c:pt idx="148">
                  <c:v>45733</c:v>
                </c:pt>
                <c:pt idx="149">
                  <c:v>45734</c:v>
                </c:pt>
                <c:pt idx="150">
                  <c:v>45735</c:v>
                </c:pt>
                <c:pt idx="151">
                  <c:v>45736</c:v>
                </c:pt>
                <c:pt idx="152">
                  <c:v>45737</c:v>
                </c:pt>
                <c:pt idx="153">
                  <c:v>45738</c:v>
                </c:pt>
                <c:pt idx="154">
                  <c:v>45739</c:v>
                </c:pt>
                <c:pt idx="155">
                  <c:v>45740</c:v>
                </c:pt>
                <c:pt idx="156">
                  <c:v>45741</c:v>
                </c:pt>
                <c:pt idx="157">
                  <c:v>45742</c:v>
                </c:pt>
                <c:pt idx="158">
                  <c:v>45743</c:v>
                </c:pt>
                <c:pt idx="159">
                  <c:v>45744</c:v>
                </c:pt>
                <c:pt idx="160">
                  <c:v>45745</c:v>
                </c:pt>
                <c:pt idx="161">
                  <c:v>45746</c:v>
                </c:pt>
                <c:pt idx="162">
                  <c:v>45747</c:v>
                </c:pt>
                <c:pt idx="163">
                  <c:v>45748</c:v>
                </c:pt>
                <c:pt idx="164">
                  <c:v>45749</c:v>
                </c:pt>
                <c:pt idx="165">
                  <c:v>45750</c:v>
                </c:pt>
                <c:pt idx="166">
                  <c:v>45751</c:v>
                </c:pt>
                <c:pt idx="167">
                  <c:v>45752</c:v>
                </c:pt>
                <c:pt idx="168">
                  <c:v>45753</c:v>
                </c:pt>
                <c:pt idx="169">
                  <c:v>45754</c:v>
                </c:pt>
                <c:pt idx="170">
                  <c:v>45755</c:v>
                </c:pt>
                <c:pt idx="171">
                  <c:v>45756</c:v>
                </c:pt>
                <c:pt idx="172">
                  <c:v>45757</c:v>
                </c:pt>
                <c:pt idx="173">
                  <c:v>45758</c:v>
                </c:pt>
                <c:pt idx="174">
                  <c:v>45759</c:v>
                </c:pt>
                <c:pt idx="175">
                  <c:v>45760</c:v>
                </c:pt>
                <c:pt idx="176">
                  <c:v>45761</c:v>
                </c:pt>
                <c:pt idx="177">
                  <c:v>45762</c:v>
                </c:pt>
                <c:pt idx="178">
                  <c:v>45763</c:v>
                </c:pt>
                <c:pt idx="179">
                  <c:v>45764</c:v>
                </c:pt>
                <c:pt idx="180">
                  <c:v>45765</c:v>
                </c:pt>
                <c:pt idx="181">
                  <c:v>45766</c:v>
                </c:pt>
                <c:pt idx="182">
                  <c:v>45767</c:v>
                </c:pt>
                <c:pt idx="183">
                  <c:v>45768</c:v>
                </c:pt>
                <c:pt idx="184">
                  <c:v>45769</c:v>
                </c:pt>
                <c:pt idx="185">
                  <c:v>45770</c:v>
                </c:pt>
                <c:pt idx="186">
                  <c:v>45771</c:v>
                </c:pt>
                <c:pt idx="187">
                  <c:v>45772</c:v>
                </c:pt>
                <c:pt idx="188">
                  <c:v>45773</c:v>
                </c:pt>
                <c:pt idx="189">
                  <c:v>45774</c:v>
                </c:pt>
                <c:pt idx="190">
                  <c:v>45775</c:v>
                </c:pt>
                <c:pt idx="191">
                  <c:v>45776</c:v>
                </c:pt>
                <c:pt idx="192">
                  <c:v>45777</c:v>
                </c:pt>
                <c:pt idx="193">
                  <c:v>45778</c:v>
                </c:pt>
                <c:pt idx="194">
                  <c:v>45779</c:v>
                </c:pt>
                <c:pt idx="195">
                  <c:v>45780</c:v>
                </c:pt>
                <c:pt idx="196">
                  <c:v>45781</c:v>
                </c:pt>
                <c:pt idx="197">
                  <c:v>45782</c:v>
                </c:pt>
                <c:pt idx="198">
                  <c:v>45783</c:v>
                </c:pt>
                <c:pt idx="199">
                  <c:v>45784</c:v>
                </c:pt>
                <c:pt idx="200">
                  <c:v>45785</c:v>
                </c:pt>
                <c:pt idx="201">
                  <c:v>45786</c:v>
                </c:pt>
                <c:pt idx="202">
                  <c:v>45787</c:v>
                </c:pt>
                <c:pt idx="203">
                  <c:v>45788</c:v>
                </c:pt>
                <c:pt idx="204">
                  <c:v>45789</c:v>
                </c:pt>
                <c:pt idx="205">
                  <c:v>45790</c:v>
                </c:pt>
                <c:pt idx="206">
                  <c:v>45791</c:v>
                </c:pt>
                <c:pt idx="207">
                  <c:v>45792</c:v>
                </c:pt>
                <c:pt idx="208">
                  <c:v>45793</c:v>
                </c:pt>
                <c:pt idx="209">
                  <c:v>45794</c:v>
                </c:pt>
                <c:pt idx="210">
                  <c:v>45795</c:v>
                </c:pt>
                <c:pt idx="211">
                  <c:v>45796</c:v>
                </c:pt>
                <c:pt idx="212">
                  <c:v>45797</c:v>
                </c:pt>
                <c:pt idx="213">
                  <c:v>45798</c:v>
                </c:pt>
                <c:pt idx="214">
                  <c:v>45799</c:v>
                </c:pt>
                <c:pt idx="215">
                  <c:v>45800</c:v>
                </c:pt>
                <c:pt idx="216">
                  <c:v>45801</c:v>
                </c:pt>
                <c:pt idx="217">
                  <c:v>45802</c:v>
                </c:pt>
                <c:pt idx="218">
                  <c:v>45803</c:v>
                </c:pt>
                <c:pt idx="219">
                  <c:v>45804</c:v>
                </c:pt>
                <c:pt idx="220">
                  <c:v>45805</c:v>
                </c:pt>
                <c:pt idx="221">
                  <c:v>45806</c:v>
                </c:pt>
                <c:pt idx="222">
                  <c:v>45807</c:v>
                </c:pt>
                <c:pt idx="223">
                  <c:v>45808</c:v>
                </c:pt>
              </c:numCache>
            </c:numRef>
          </c:xVal>
          <c:yVal>
            <c:numRef>
              <c:f>'Km83+980'!$AL$11:$AL$340</c:f>
              <c:numCache>
                <c:formatCode>0.00</c:formatCode>
                <c:ptCount val="330"/>
                <c:pt idx="0">
                  <c:v>0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0.89999999999999991</c:v>
                </c:pt>
                <c:pt idx="12">
                  <c:v>0.89999999999999991</c:v>
                </c:pt>
                <c:pt idx="13">
                  <c:v>0.89999999999999991</c:v>
                </c:pt>
                <c:pt idx="14">
                  <c:v>0.89999999999999991</c:v>
                </c:pt>
                <c:pt idx="15">
                  <c:v>1.2</c:v>
                </c:pt>
                <c:pt idx="16">
                  <c:v>1.2</c:v>
                </c:pt>
                <c:pt idx="17">
                  <c:v>1.2</c:v>
                </c:pt>
                <c:pt idx="18">
                  <c:v>1.2</c:v>
                </c:pt>
                <c:pt idx="19">
                  <c:v>1.2</c:v>
                </c:pt>
                <c:pt idx="20">
                  <c:v>1.2</c:v>
                </c:pt>
                <c:pt idx="21">
                  <c:v>1.2</c:v>
                </c:pt>
                <c:pt idx="22">
                  <c:v>1.2</c:v>
                </c:pt>
                <c:pt idx="23">
                  <c:v>1.2</c:v>
                </c:pt>
                <c:pt idx="24">
                  <c:v>1.2</c:v>
                </c:pt>
                <c:pt idx="25">
                  <c:v>1.2</c:v>
                </c:pt>
                <c:pt idx="26">
                  <c:v>1.2</c:v>
                </c:pt>
                <c:pt idx="27">
                  <c:v>1.2</c:v>
                </c:pt>
                <c:pt idx="28">
                  <c:v>1.2</c:v>
                </c:pt>
                <c:pt idx="29">
                  <c:v>1.2</c:v>
                </c:pt>
                <c:pt idx="30">
                  <c:v>1.2</c:v>
                </c:pt>
                <c:pt idx="31">
                  <c:v>1.2</c:v>
                </c:pt>
                <c:pt idx="32">
                  <c:v>1.2</c:v>
                </c:pt>
                <c:pt idx="33">
                  <c:v>1.2</c:v>
                </c:pt>
                <c:pt idx="34">
                  <c:v>1.2</c:v>
                </c:pt>
                <c:pt idx="35">
                  <c:v>1.2</c:v>
                </c:pt>
                <c:pt idx="36">
                  <c:v>1.2</c:v>
                </c:pt>
                <c:pt idx="37">
                  <c:v>1.2</c:v>
                </c:pt>
                <c:pt idx="38">
                  <c:v>1.2</c:v>
                </c:pt>
                <c:pt idx="39">
                  <c:v>1.2</c:v>
                </c:pt>
                <c:pt idx="40">
                  <c:v>1.2</c:v>
                </c:pt>
                <c:pt idx="41">
                  <c:v>1.2</c:v>
                </c:pt>
                <c:pt idx="42">
                  <c:v>1.2</c:v>
                </c:pt>
                <c:pt idx="43">
                  <c:v>1.2</c:v>
                </c:pt>
                <c:pt idx="44">
                  <c:v>1.2</c:v>
                </c:pt>
                <c:pt idx="45">
                  <c:v>1.2</c:v>
                </c:pt>
                <c:pt idx="46">
                  <c:v>1.2</c:v>
                </c:pt>
                <c:pt idx="47">
                  <c:v>1.2</c:v>
                </c:pt>
                <c:pt idx="48">
                  <c:v>1.2</c:v>
                </c:pt>
                <c:pt idx="49">
                  <c:v>1.2</c:v>
                </c:pt>
                <c:pt idx="50">
                  <c:v>1.2</c:v>
                </c:pt>
                <c:pt idx="51">
                  <c:v>1.2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1.2</c:v>
                </c:pt>
                <c:pt idx="56">
                  <c:v>1.2</c:v>
                </c:pt>
                <c:pt idx="57">
                  <c:v>1.2</c:v>
                </c:pt>
                <c:pt idx="58">
                  <c:v>1.2</c:v>
                </c:pt>
                <c:pt idx="59">
                  <c:v>1.2</c:v>
                </c:pt>
                <c:pt idx="60">
                  <c:v>1.2</c:v>
                </c:pt>
                <c:pt idx="61">
                  <c:v>1.2</c:v>
                </c:pt>
                <c:pt idx="62">
                  <c:v>1.2</c:v>
                </c:pt>
                <c:pt idx="63">
                  <c:v>1.2</c:v>
                </c:pt>
                <c:pt idx="64">
                  <c:v>1.2</c:v>
                </c:pt>
                <c:pt idx="65">
                  <c:v>1.2</c:v>
                </c:pt>
                <c:pt idx="66">
                  <c:v>1.2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</c:v>
                </c:pt>
                <c:pt idx="73">
                  <c:v>1.2</c:v>
                </c:pt>
                <c:pt idx="74">
                  <c:v>1.2</c:v>
                </c:pt>
                <c:pt idx="75">
                  <c:v>1.2</c:v>
                </c:pt>
                <c:pt idx="76">
                  <c:v>1.2</c:v>
                </c:pt>
                <c:pt idx="77">
                  <c:v>1.2</c:v>
                </c:pt>
                <c:pt idx="78">
                  <c:v>1.2</c:v>
                </c:pt>
                <c:pt idx="79">
                  <c:v>1.2</c:v>
                </c:pt>
                <c:pt idx="80">
                  <c:v>1.2</c:v>
                </c:pt>
                <c:pt idx="81">
                  <c:v>1.2</c:v>
                </c:pt>
                <c:pt idx="82">
                  <c:v>1.2</c:v>
                </c:pt>
                <c:pt idx="83">
                  <c:v>1.2</c:v>
                </c:pt>
                <c:pt idx="84">
                  <c:v>1.2</c:v>
                </c:pt>
                <c:pt idx="85">
                  <c:v>1.2</c:v>
                </c:pt>
                <c:pt idx="86">
                  <c:v>1.2</c:v>
                </c:pt>
                <c:pt idx="87">
                  <c:v>1.2</c:v>
                </c:pt>
                <c:pt idx="88">
                  <c:v>1.2</c:v>
                </c:pt>
                <c:pt idx="89">
                  <c:v>1.2</c:v>
                </c:pt>
                <c:pt idx="90">
                  <c:v>1.2</c:v>
                </c:pt>
                <c:pt idx="91">
                  <c:v>1.2</c:v>
                </c:pt>
                <c:pt idx="92">
                  <c:v>1.2</c:v>
                </c:pt>
                <c:pt idx="93">
                  <c:v>1.2</c:v>
                </c:pt>
                <c:pt idx="94">
                  <c:v>1.2</c:v>
                </c:pt>
                <c:pt idx="95">
                  <c:v>1.2</c:v>
                </c:pt>
                <c:pt idx="96">
                  <c:v>1.2</c:v>
                </c:pt>
                <c:pt idx="97">
                  <c:v>1.2</c:v>
                </c:pt>
                <c:pt idx="98">
                  <c:v>1.2</c:v>
                </c:pt>
                <c:pt idx="99">
                  <c:v>1.2</c:v>
                </c:pt>
                <c:pt idx="100">
                  <c:v>1.2</c:v>
                </c:pt>
                <c:pt idx="101">
                  <c:v>1.2</c:v>
                </c:pt>
                <c:pt idx="102">
                  <c:v>1.2</c:v>
                </c:pt>
                <c:pt idx="103">
                  <c:v>1.2</c:v>
                </c:pt>
                <c:pt idx="104">
                  <c:v>1.2</c:v>
                </c:pt>
                <c:pt idx="105">
                  <c:v>1.2</c:v>
                </c:pt>
                <c:pt idx="106">
                  <c:v>1.2</c:v>
                </c:pt>
                <c:pt idx="107">
                  <c:v>1.2</c:v>
                </c:pt>
                <c:pt idx="108">
                  <c:v>1.2</c:v>
                </c:pt>
                <c:pt idx="109">
                  <c:v>1.2</c:v>
                </c:pt>
                <c:pt idx="110">
                  <c:v>1.2</c:v>
                </c:pt>
                <c:pt idx="111">
                  <c:v>1.2</c:v>
                </c:pt>
                <c:pt idx="112">
                  <c:v>1.2</c:v>
                </c:pt>
                <c:pt idx="113">
                  <c:v>1.2</c:v>
                </c:pt>
                <c:pt idx="114">
                  <c:v>1.2</c:v>
                </c:pt>
                <c:pt idx="115">
                  <c:v>1.2</c:v>
                </c:pt>
                <c:pt idx="116">
                  <c:v>1.2</c:v>
                </c:pt>
                <c:pt idx="117">
                  <c:v>1.2</c:v>
                </c:pt>
                <c:pt idx="118">
                  <c:v>1.2</c:v>
                </c:pt>
                <c:pt idx="119">
                  <c:v>1.2</c:v>
                </c:pt>
                <c:pt idx="120">
                  <c:v>1.2</c:v>
                </c:pt>
                <c:pt idx="121">
                  <c:v>1.2</c:v>
                </c:pt>
                <c:pt idx="122">
                  <c:v>1.2</c:v>
                </c:pt>
                <c:pt idx="123">
                  <c:v>1.2</c:v>
                </c:pt>
                <c:pt idx="124">
                  <c:v>1.2</c:v>
                </c:pt>
                <c:pt idx="125">
                  <c:v>1.2</c:v>
                </c:pt>
                <c:pt idx="126">
                  <c:v>1.2</c:v>
                </c:pt>
                <c:pt idx="127">
                  <c:v>1.2</c:v>
                </c:pt>
                <c:pt idx="128">
                  <c:v>1.2</c:v>
                </c:pt>
                <c:pt idx="129">
                  <c:v>1.2</c:v>
                </c:pt>
                <c:pt idx="130">
                  <c:v>1.2</c:v>
                </c:pt>
                <c:pt idx="131">
                  <c:v>1.2</c:v>
                </c:pt>
                <c:pt idx="132">
                  <c:v>1.2</c:v>
                </c:pt>
                <c:pt idx="133">
                  <c:v>1.2</c:v>
                </c:pt>
                <c:pt idx="134">
                  <c:v>1.2</c:v>
                </c:pt>
                <c:pt idx="135">
                  <c:v>1.2</c:v>
                </c:pt>
                <c:pt idx="136">
                  <c:v>1.2</c:v>
                </c:pt>
                <c:pt idx="137">
                  <c:v>1.2</c:v>
                </c:pt>
                <c:pt idx="138">
                  <c:v>1.2</c:v>
                </c:pt>
                <c:pt idx="139">
                  <c:v>1.2</c:v>
                </c:pt>
                <c:pt idx="140">
                  <c:v>1.2</c:v>
                </c:pt>
                <c:pt idx="141">
                  <c:v>1.2</c:v>
                </c:pt>
                <c:pt idx="142">
                  <c:v>1.2</c:v>
                </c:pt>
                <c:pt idx="143">
                  <c:v>1.2</c:v>
                </c:pt>
                <c:pt idx="144">
                  <c:v>1.2</c:v>
                </c:pt>
                <c:pt idx="145">
                  <c:v>1.2</c:v>
                </c:pt>
                <c:pt idx="146">
                  <c:v>1.2</c:v>
                </c:pt>
                <c:pt idx="147">
                  <c:v>1.2</c:v>
                </c:pt>
                <c:pt idx="148">
                  <c:v>1.2</c:v>
                </c:pt>
                <c:pt idx="149">
                  <c:v>1.2</c:v>
                </c:pt>
                <c:pt idx="150">
                  <c:v>1.2</c:v>
                </c:pt>
                <c:pt idx="151">
                  <c:v>1.2</c:v>
                </c:pt>
                <c:pt idx="152">
                  <c:v>1.2</c:v>
                </c:pt>
                <c:pt idx="153">
                  <c:v>1.2</c:v>
                </c:pt>
                <c:pt idx="154">
                  <c:v>1.2</c:v>
                </c:pt>
                <c:pt idx="155">
                  <c:v>1.2</c:v>
                </c:pt>
                <c:pt idx="156">
                  <c:v>1.2</c:v>
                </c:pt>
                <c:pt idx="157">
                  <c:v>1.2</c:v>
                </c:pt>
                <c:pt idx="158">
                  <c:v>1.2</c:v>
                </c:pt>
                <c:pt idx="159">
                  <c:v>1.2</c:v>
                </c:pt>
                <c:pt idx="160">
                  <c:v>1.2</c:v>
                </c:pt>
                <c:pt idx="161">
                  <c:v>1.2</c:v>
                </c:pt>
                <c:pt idx="162">
                  <c:v>1.2</c:v>
                </c:pt>
                <c:pt idx="163">
                  <c:v>1.2</c:v>
                </c:pt>
                <c:pt idx="164">
                  <c:v>1.2</c:v>
                </c:pt>
                <c:pt idx="165">
                  <c:v>1.2</c:v>
                </c:pt>
                <c:pt idx="166">
                  <c:v>1.2</c:v>
                </c:pt>
                <c:pt idx="167">
                  <c:v>1.2</c:v>
                </c:pt>
                <c:pt idx="168">
                  <c:v>1.2</c:v>
                </c:pt>
                <c:pt idx="169">
                  <c:v>1.2</c:v>
                </c:pt>
                <c:pt idx="170">
                  <c:v>1.2</c:v>
                </c:pt>
                <c:pt idx="171">
                  <c:v>1.2</c:v>
                </c:pt>
                <c:pt idx="172">
                  <c:v>1.2</c:v>
                </c:pt>
                <c:pt idx="173">
                  <c:v>1.2</c:v>
                </c:pt>
                <c:pt idx="174">
                  <c:v>1.2</c:v>
                </c:pt>
                <c:pt idx="175">
                  <c:v>1.2</c:v>
                </c:pt>
                <c:pt idx="176">
                  <c:v>1.2</c:v>
                </c:pt>
                <c:pt idx="177">
                  <c:v>1.2</c:v>
                </c:pt>
                <c:pt idx="178">
                  <c:v>1.2</c:v>
                </c:pt>
                <c:pt idx="179">
                  <c:v>1.2</c:v>
                </c:pt>
                <c:pt idx="180">
                  <c:v>1.2</c:v>
                </c:pt>
                <c:pt idx="181">
                  <c:v>1.2</c:v>
                </c:pt>
                <c:pt idx="182">
                  <c:v>1.2</c:v>
                </c:pt>
                <c:pt idx="183">
                  <c:v>1.2</c:v>
                </c:pt>
                <c:pt idx="184">
                  <c:v>1.2</c:v>
                </c:pt>
                <c:pt idx="185">
                  <c:v>1.2</c:v>
                </c:pt>
                <c:pt idx="186">
                  <c:v>1.2</c:v>
                </c:pt>
                <c:pt idx="187">
                  <c:v>1.2</c:v>
                </c:pt>
                <c:pt idx="188">
                  <c:v>1.2</c:v>
                </c:pt>
                <c:pt idx="189">
                  <c:v>1.2</c:v>
                </c:pt>
                <c:pt idx="190">
                  <c:v>1.2</c:v>
                </c:pt>
                <c:pt idx="191">
                  <c:v>1.2</c:v>
                </c:pt>
                <c:pt idx="192">
                  <c:v>1.2</c:v>
                </c:pt>
                <c:pt idx="193">
                  <c:v>1.2</c:v>
                </c:pt>
                <c:pt idx="194">
                  <c:v>1.2</c:v>
                </c:pt>
                <c:pt idx="195">
                  <c:v>1.2</c:v>
                </c:pt>
                <c:pt idx="196">
                  <c:v>1.2</c:v>
                </c:pt>
                <c:pt idx="197">
                  <c:v>1.2</c:v>
                </c:pt>
                <c:pt idx="198">
                  <c:v>1.2</c:v>
                </c:pt>
                <c:pt idx="199">
                  <c:v>1.2</c:v>
                </c:pt>
                <c:pt idx="200">
                  <c:v>1.2</c:v>
                </c:pt>
                <c:pt idx="201">
                  <c:v>1.2</c:v>
                </c:pt>
                <c:pt idx="202">
                  <c:v>1.2</c:v>
                </c:pt>
                <c:pt idx="203">
                  <c:v>1.2</c:v>
                </c:pt>
                <c:pt idx="204">
                  <c:v>1.2</c:v>
                </c:pt>
                <c:pt idx="205">
                  <c:v>1.2</c:v>
                </c:pt>
                <c:pt idx="206">
                  <c:v>1.2</c:v>
                </c:pt>
                <c:pt idx="207">
                  <c:v>1.2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5A7-45B5-8179-FA185CA9C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476352"/>
        <c:axId val="586476928"/>
      </c:scatterChart>
      <c:valAx>
        <c:axId val="586475200"/>
        <c:scaling>
          <c:orientation val="minMax"/>
          <c:max val="45807"/>
          <c:min val="45585"/>
        </c:scaling>
        <c:delete val="0"/>
        <c:axPos val="b"/>
        <c:numFmt formatCode="dd/mm/yyyy;@" sourceLinked="0"/>
        <c:majorTickMark val="out"/>
        <c:minorTickMark val="none"/>
        <c:tickLblPos val="low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586475776"/>
        <c:crossesAt val="-1800"/>
        <c:crossBetween val="midCat"/>
        <c:majorUnit val="31"/>
      </c:valAx>
      <c:valAx>
        <c:axId val="586475776"/>
        <c:scaling>
          <c:orientation val="minMax"/>
          <c:max val="1800"/>
          <c:min val="-1800"/>
        </c:scaling>
        <c:delete val="0"/>
        <c:axPos val="l"/>
        <c:majorGridlines>
          <c:spPr>
            <a:ln w="3175">
              <a:solidFill>
                <a:schemeClr val="tx1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3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Độ lún（mm）</a:t>
                </a:r>
              </a:p>
            </c:rich>
          </c:tx>
          <c:layout>
            <c:manualLayout>
              <c:xMode val="edge"/>
              <c:yMode val="edge"/>
              <c:x val="1.7880170123771136E-2"/>
              <c:y val="0.34426600140328995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586475200"/>
        <c:crosses val="autoZero"/>
        <c:crossBetween val="midCat"/>
        <c:majorUnit val="200"/>
      </c:valAx>
      <c:valAx>
        <c:axId val="586476352"/>
        <c:scaling>
          <c:orientation val="minMax"/>
        </c:scaling>
        <c:delete val="1"/>
        <c:axPos val="t"/>
        <c:numFmt formatCode="[$-1010000]d/m/yyyy;@" sourceLinked="1"/>
        <c:majorTickMark val="out"/>
        <c:minorTickMark val="none"/>
        <c:tickLblPos val="nextTo"/>
        <c:crossAx val="586476928"/>
        <c:crossesAt val="0"/>
        <c:crossBetween val="midCat"/>
      </c:valAx>
      <c:valAx>
        <c:axId val="586476928"/>
        <c:scaling>
          <c:orientation val="minMax"/>
          <c:max val="6"/>
          <c:min val="-6"/>
        </c:scaling>
        <c:delete val="0"/>
        <c:axPos val="r"/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vi-VN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Chiều dày/cao độ đắp (m</a:t>
                </a:r>
                <a:r>
                  <a:rPr lang="vi-VN" sz="1000" b="0" i="0" u="none" strike="noStrike" baseline="0">
                    <a:solidFill>
                      <a:srgbClr val="000000"/>
                    </a:solidFill>
                    <a:ea typeface="宋体"/>
                  </a:rPr>
                  <a:t>）</a:t>
                </a:r>
              </a:p>
            </c:rich>
          </c:tx>
          <c:layout>
            <c:manualLayout>
              <c:xMode val="edge"/>
              <c:yMode val="edge"/>
              <c:x val="0.96166207126160286"/>
              <c:y val="0.24613445596528155"/>
            </c:manualLayout>
          </c:layout>
          <c:overlay val="0"/>
          <c:spPr>
            <a:noFill/>
            <a:ln w="25400">
              <a:noFill/>
            </a:ln>
          </c:spPr>
        </c:title>
        <c:numFmt formatCode="##.0#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586476352"/>
        <c:crosses val="max"/>
        <c:crossBetween val="midCat"/>
        <c:majorUnit val="1"/>
        <c:minorUnit val="1"/>
      </c:valAx>
      <c:spPr>
        <a:ln w="6350" cmpd="sng"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8.2956525764775524E-2"/>
          <c:y val="0.87384201208293577"/>
          <c:w val="0.82376524838877152"/>
          <c:h val="0.10335434939004758"/>
        </c:manualLayout>
      </c:layout>
      <c:overlay val="0"/>
      <c:spPr>
        <a:solidFill>
          <a:srgbClr val="FFFFFF"/>
        </a:solidFill>
        <a:ln w="6350" cap="flat">
          <a:solidFill>
            <a:srgbClr val="000000"/>
          </a:solidFill>
          <a:prstDash val="solid"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8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666749</xdr:colOff>
      <xdr:row>98</xdr:row>
      <xdr:rowOff>190499</xdr:rowOff>
    </xdr:from>
    <xdr:to>
      <xdr:col>31</xdr:col>
      <xdr:colOff>133269</xdr:colOff>
      <xdr:row>131</xdr:row>
      <xdr:rowOff>13606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9963" y="31622999"/>
          <a:ext cx="11157857" cy="65586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47624</xdr:colOff>
      <xdr:row>7</xdr:row>
      <xdr:rowOff>47626</xdr:rowOff>
    </xdr:from>
    <xdr:to>
      <xdr:col>45</xdr:col>
      <xdr:colOff>608739</xdr:colOff>
      <xdr:row>32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46612" y="2781861"/>
          <a:ext cx="6513680" cy="103346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616324</xdr:colOff>
      <xdr:row>350</xdr:row>
      <xdr:rowOff>100853</xdr:rowOff>
    </xdr:from>
    <xdr:to>
      <xdr:col>38</xdr:col>
      <xdr:colOff>627529</xdr:colOff>
      <xdr:row>371</xdr:row>
      <xdr:rowOff>76788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B06F69A5-9521-4F17-AF6F-862B9D32F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616324</xdr:colOff>
      <xdr:row>351</xdr:row>
      <xdr:rowOff>100853</xdr:rowOff>
    </xdr:from>
    <xdr:to>
      <xdr:col>38</xdr:col>
      <xdr:colOff>627529</xdr:colOff>
      <xdr:row>372</xdr:row>
      <xdr:rowOff>76788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D3ADDD88-A81B-4746-AC4A-7AAADBBE09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616324</xdr:colOff>
      <xdr:row>327</xdr:row>
      <xdr:rowOff>100853</xdr:rowOff>
    </xdr:from>
    <xdr:to>
      <xdr:col>38</xdr:col>
      <xdr:colOff>627529</xdr:colOff>
      <xdr:row>348</xdr:row>
      <xdr:rowOff>76788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EE69E2F4-F92B-470C-B1F7-3444A32BD4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616324</xdr:colOff>
      <xdr:row>327</xdr:row>
      <xdr:rowOff>100853</xdr:rowOff>
    </xdr:from>
    <xdr:to>
      <xdr:col>38</xdr:col>
      <xdr:colOff>627529</xdr:colOff>
      <xdr:row>348</xdr:row>
      <xdr:rowOff>76788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4D0A401D-9A65-4885-8806-9742B1D433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616324</xdr:colOff>
      <xdr:row>319</xdr:row>
      <xdr:rowOff>100853</xdr:rowOff>
    </xdr:from>
    <xdr:to>
      <xdr:col>38</xdr:col>
      <xdr:colOff>627529</xdr:colOff>
      <xdr:row>340</xdr:row>
      <xdr:rowOff>76788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8BAB1D8C-36DD-457C-8C56-F8E6D1A67F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616324</xdr:colOff>
      <xdr:row>318</xdr:row>
      <xdr:rowOff>100853</xdr:rowOff>
    </xdr:from>
    <xdr:to>
      <xdr:col>38</xdr:col>
      <xdr:colOff>627529</xdr:colOff>
      <xdr:row>339</xdr:row>
      <xdr:rowOff>76788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7738F4E0-1BCC-4485-9240-E00F14EC3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2504EC"/>
  </sheetPr>
  <dimension ref="A1:AJ70"/>
  <sheetViews>
    <sheetView view="pageBreakPreview" topLeftCell="A9" zoomScale="85" zoomScaleNormal="85" zoomScaleSheetLayoutView="85" workbookViewId="0">
      <pane xSplit="3" ySplit="3" topLeftCell="D18" activePane="bottomRight" state="frozen"/>
      <selection activeCell="E20" sqref="E20:F20"/>
      <selection pane="topRight" activeCell="E20" sqref="E20:F20"/>
      <selection pane="bottomLeft" activeCell="E20" sqref="E20:F20"/>
      <selection pane="bottomRight" activeCell="E20" sqref="E20:F20"/>
    </sheetView>
  </sheetViews>
  <sheetFormatPr defaultColWidth="8.90625" defaultRowHeight="15.6"/>
  <cols>
    <col min="1" max="1" width="4" style="34" customWidth="1"/>
    <col min="2" max="2" width="23.81640625" style="18" hidden="1" customWidth="1"/>
    <col min="3" max="3" width="10.6328125" style="18" customWidth="1"/>
    <col min="4" max="4" width="12.36328125" style="22" customWidth="1"/>
    <col min="5" max="5" width="10.1796875" style="22" customWidth="1"/>
    <col min="6" max="6" width="11.90625" style="22" customWidth="1"/>
    <col min="7" max="7" width="11" style="22" customWidth="1"/>
    <col min="8" max="8" width="9.08984375" style="185" customWidth="1"/>
    <col min="9" max="9" width="8.6328125" style="32" customWidth="1"/>
    <col min="10" max="12" width="8" style="32" hidden="1" customWidth="1"/>
    <col min="13" max="13" width="9.36328125" style="32" hidden="1" customWidth="1"/>
    <col min="14" max="14" width="8.453125" style="32" hidden="1" customWidth="1"/>
    <col min="15" max="15" width="9.08984375" style="32" customWidth="1"/>
    <col min="16" max="17" width="8.6328125" style="32" customWidth="1"/>
    <col min="18" max="18" width="9.81640625" style="18" customWidth="1"/>
    <col min="19" max="19" width="9.1796875" style="18" customWidth="1"/>
    <col min="20" max="20" width="9.08984375" style="18" customWidth="1"/>
    <col min="21" max="21" width="8.54296875" style="20" customWidth="1"/>
    <col min="22" max="23" width="9.81640625" style="20" hidden="1" customWidth="1"/>
    <col min="24" max="24" width="13.453125" style="20" customWidth="1"/>
    <col min="25" max="25" width="11.54296875" style="20" customWidth="1"/>
    <col min="26" max="26" width="10.1796875" style="177" hidden="1" customWidth="1"/>
    <col min="27" max="27" width="11.453125" style="177" hidden="1" customWidth="1"/>
    <col min="28" max="28" width="12.81640625" style="20" customWidth="1"/>
    <col min="29" max="242" width="8.90625" style="18" customWidth="1"/>
    <col min="243" max="16384" width="8.90625" style="18"/>
  </cols>
  <sheetData>
    <row r="1" spans="1:32" s="27" customFormat="1" ht="25.5" customHeight="1">
      <c r="A1" s="285" t="s">
        <v>12</v>
      </c>
      <c r="B1" s="285"/>
      <c r="C1" s="285"/>
      <c r="D1" s="285"/>
      <c r="E1" s="285"/>
      <c r="F1" s="285"/>
      <c r="G1" s="285"/>
      <c r="H1" s="285"/>
      <c r="I1" s="157"/>
      <c r="J1" s="157"/>
      <c r="K1" s="157"/>
      <c r="L1" s="157"/>
      <c r="M1" s="157"/>
      <c r="N1" s="157"/>
      <c r="O1" s="157"/>
      <c r="P1" s="157"/>
      <c r="Q1" s="157"/>
      <c r="R1" s="287" t="s">
        <v>14</v>
      </c>
      <c r="S1" s="287"/>
      <c r="T1" s="287"/>
      <c r="U1" s="287"/>
      <c r="V1" s="287"/>
      <c r="W1" s="287"/>
      <c r="X1" s="287"/>
      <c r="Y1" s="45"/>
      <c r="Z1" s="164"/>
      <c r="AA1" s="164"/>
      <c r="AB1" s="45"/>
    </row>
    <row r="2" spans="1:32" s="27" customFormat="1" ht="30.9" customHeight="1">
      <c r="A2" s="286" t="s">
        <v>13</v>
      </c>
      <c r="B2" s="286"/>
      <c r="C2" s="286"/>
      <c r="D2" s="287"/>
      <c r="E2" s="287"/>
      <c r="F2" s="287"/>
      <c r="G2" s="287"/>
      <c r="H2" s="287"/>
      <c r="I2" s="158"/>
      <c r="J2" s="158"/>
      <c r="K2" s="158"/>
      <c r="L2" s="158"/>
      <c r="M2" s="158"/>
      <c r="N2" s="158"/>
      <c r="O2" s="158"/>
      <c r="P2" s="158"/>
      <c r="Q2" s="158"/>
      <c r="R2" s="24"/>
      <c r="S2" s="288" t="s">
        <v>93</v>
      </c>
      <c r="T2" s="288"/>
      <c r="U2" s="288"/>
      <c r="V2" s="288"/>
      <c r="W2" s="288"/>
      <c r="X2" s="288"/>
      <c r="Y2" s="217"/>
      <c r="Z2" s="165"/>
      <c r="AA2" s="165"/>
      <c r="AB2" s="217"/>
    </row>
    <row r="3" spans="1:32" ht="13.5" customHeight="1">
      <c r="A3" s="289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15"/>
      <c r="Z3" s="168"/>
      <c r="AA3" s="168"/>
      <c r="AB3" s="15"/>
    </row>
    <row r="4" spans="1:32" ht="34.5" customHeight="1">
      <c r="A4" s="15"/>
      <c r="B4" s="15"/>
      <c r="C4" s="15"/>
      <c r="D4" s="15"/>
      <c r="E4" s="300" t="str">
        <f>"BẢNG TỔNG HỢP KẾT QUẢ QUAN TRẮC LÚN THÁNG "&amp;INDEX(AC4,0)&amp;"/"&amp;2025</f>
        <v>BẢNG TỔNG HỢP KẾT QUẢ QUAN TRẮC LÚN THÁNG 2/2025</v>
      </c>
      <c r="F4" s="300"/>
      <c r="G4" s="300"/>
      <c r="H4" s="300"/>
      <c r="I4" s="300"/>
      <c r="J4" s="300"/>
      <c r="K4" s="300"/>
      <c r="L4" s="300"/>
      <c r="M4" s="300"/>
      <c r="N4" s="300"/>
      <c r="O4" s="300"/>
      <c r="P4" s="300"/>
      <c r="Q4" s="300"/>
      <c r="R4" s="300"/>
      <c r="S4" s="300"/>
      <c r="T4" s="300"/>
      <c r="U4" s="300"/>
      <c r="V4" s="300"/>
      <c r="W4" s="225"/>
      <c r="X4" s="13"/>
      <c r="Y4" s="13"/>
      <c r="Z4" s="166"/>
      <c r="AA4" s="166"/>
      <c r="AB4" s="13"/>
      <c r="AC4" s="18">
        <v>2</v>
      </c>
    </row>
    <row r="5" spans="1:32" ht="31.5" customHeight="1">
      <c r="A5" s="292" t="s">
        <v>16</v>
      </c>
      <c r="B5" s="292"/>
      <c r="C5" s="292"/>
      <c r="D5" s="292"/>
      <c r="E5" s="14" t="s">
        <v>17</v>
      </c>
      <c r="F5" s="14"/>
      <c r="G5" s="14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4"/>
      <c r="S5" s="14"/>
      <c r="T5" s="14"/>
      <c r="U5" s="14"/>
      <c r="V5" s="14"/>
      <c r="W5" s="14"/>
      <c r="X5" s="14"/>
      <c r="Y5" s="14"/>
      <c r="Z5" s="167"/>
      <c r="AA5" s="167"/>
      <c r="AB5" s="14"/>
    </row>
    <row r="6" spans="1:32" ht="31.5" customHeight="1">
      <c r="A6" s="292" t="s">
        <v>18</v>
      </c>
      <c r="B6" s="292"/>
      <c r="C6" s="292"/>
      <c r="D6" s="292"/>
      <c r="E6" s="293" t="s">
        <v>19</v>
      </c>
      <c r="F6" s="293"/>
      <c r="G6" s="293"/>
      <c r="H6" s="293"/>
      <c r="I6" s="293"/>
      <c r="J6" s="293"/>
      <c r="K6" s="293"/>
      <c r="L6" s="293"/>
      <c r="M6" s="293"/>
      <c r="N6" s="293"/>
      <c r="O6" s="293"/>
      <c r="P6" s="293"/>
      <c r="Q6" s="293"/>
      <c r="R6" s="293"/>
      <c r="S6" s="293"/>
      <c r="T6" s="293"/>
      <c r="U6" s="293"/>
      <c r="V6" s="293"/>
      <c r="W6" s="293"/>
      <c r="X6" s="293"/>
      <c r="Y6" s="218"/>
      <c r="Z6" s="180"/>
      <c r="AA6" s="180"/>
      <c r="AB6" s="218"/>
    </row>
    <row r="7" spans="1:32" ht="31.5" customHeight="1">
      <c r="A7" s="292" t="s">
        <v>20</v>
      </c>
      <c r="B7" s="292"/>
      <c r="C7" s="292"/>
      <c r="D7" s="292"/>
      <c r="E7" s="293" t="s">
        <v>69</v>
      </c>
      <c r="F7" s="293"/>
      <c r="G7" s="293"/>
      <c r="H7" s="293"/>
      <c r="I7" s="293"/>
      <c r="J7" s="218"/>
      <c r="K7" s="218"/>
      <c r="L7" s="218"/>
      <c r="M7" s="162"/>
      <c r="N7" s="162"/>
      <c r="O7" s="162"/>
      <c r="P7" s="162"/>
      <c r="Q7" s="162"/>
      <c r="R7" s="15"/>
      <c r="S7" s="15"/>
      <c r="T7" s="15"/>
      <c r="U7" s="15"/>
      <c r="V7" s="15"/>
      <c r="W7" s="15"/>
      <c r="X7" s="15"/>
      <c r="Y7" s="15"/>
      <c r="Z7" s="168"/>
      <c r="AA7" s="168"/>
      <c r="AB7" s="15"/>
    </row>
    <row r="8" spans="1:32" s="28" customFormat="1" ht="31.5" customHeight="1">
      <c r="A8" s="294" t="s">
        <v>21</v>
      </c>
      <c r="B8" s="294"/>
      <c r="C8" s="294"/>
      <c r="D8" s="294"/>
      <c r="E8" s="295" t="s">
        <v>22</v>
      </c>
      <c r="F8" s="295"/>
      <c r="G8" s="295"/>
      <c r="H8" s="295"/>
      <c r="I8" s="295"/>
      <c r="J8" s="295"/>
      <c r="K8" s="295"/>
      <c r="L8" s="295"/>
      <c r="M8" s="295"/>
      <c r="N8" s="295"/>
      <c r="O8" s="295"/>
      <c r="P8" s="295"/>
      <c r="Q8" s="181"/>
      <c r="R8" s="16"/>
      <c r="S8" s="16"/>
      <c r="T8" s="16"/>
      <c r="U8" s="16"/>
      <c r="V8" s="16"/>
      <c r="W8" s="16"/>
      <c r="X8" s="16"/>
      <c r="Y8" s="16"/>
      <c r="Z8" s="169"/>
      <c r="AA8" s="169"/>
      <c r="AB8" s="16"/>
    </row>
    <row r="9" spans="1:32" ht="31.5" customHeight="1">
      <c r="A9" s="294" t="s">
        <v>37</v>
      </c>
      <c r="B9" s="294"/>
      <c r="C9" s="294"/>
      <c r="D9" s="294"/>
      <c r="E9" s="295" t="s">
        <v>38</v>
      </c>
      <c r="F9" s="295"/>
      <c r="G9" s="295"/>
      <c r="H9" s="295"/>
      <c r="I9" s="295"/>
      <c r="J9" s="295"/>
      <c r="K9" s="295"/>
      <c r="L9" s="295"/>
      <c r="M9" s="295"/>
      <c r="N9" s="295"/>
      <c r="O9" s="295"/>
      <c r="P9" s="295"/>
      <c r="Q9" s="182"/>
      <c r="R9" s="17"/>
      <c r="S9" s="17"/>
      <c r="T9" s="17"/>
      <c r="U9" s="17"/>
      <c r="V9" s="17"/>
      <c r="W9" s="17"/>
      <c r="X9" s="17"/>
      <c r="Y9" s="17"/>
      <c r="Z9" s="170"/>
      <c r="AA9" s="170"/>
      <c r="AB9" s="17"/>
    </row>
    <row r="10" spans="1:32" s="34" customFormat="1" ht="42" customHeight="1">
      <c r="A10" s="290" t="s">
        <v>88</v>
      </c>
      <c r="B10" s="183" t="s">
        <v>34</v>
      </c>
      <c r="C10" s="290" t="s">
        <v>29</v>
      </c>
      <c r="D10" s="304" t="s">
        <v>30</v>
      </c>
      <c r="E10" s="305"/>
      <c r="F10" s="305"/>
      <c r="G10" s="306"/>
      <c r="H10" s="296" t="s">
        <v>78</v>
      </c>
      <c r="I10" s="297"/>
      <c r="J10" s="297"/>
      <c r="K10" s="297"/>
      <c r="L10" s="297"/>
      <c r="M10" s="297"/>
      <c r="N10" s="297"/>
      <c r="O10" s="297"/>
      <c r="P10" s="297"/>
      <c r="Q10" s="297"/>
      <c r="R10" s="304" t="s">
        <v>82</v>
      </c>
      <c r="S10" s="305"/>
      <c r="T10" s="305"/>
      <c r="U10" s="305"/>
      <c r="V10" s="305"/>
      <c r="W10" s="305"/>
      <c r="X10" s="305"/>
      <c r="Y10" s="306"/>
      <c r="Z10" s="298" t="s">
        <v>113</v>
      </c>
      <c r="AA10" s="299"/>
      <c r="AB10" s="149"/>
      <c r="AC10" s="145"/>
      <c r="AD10" s="145"/>
      <c r="AE10" s="145"/>
      <c r="AF10" s="148"/>
    </row>
    <row r="11" spans="1:32" s="29" customFormat="1" ht="64.5" customHeight="1">
      <c r="A11" s="291"/>
      <c r="B11" s="63"/>
      <c r="C11" s="291"/>
      <c r="D11" s="64" t="s">
        <v>74</v>
      </c>
      <c r="E11" s="49" t="s">
        <v>75</v>
      </c>
      <c r="F11" s="49" t="s">
        <v>76</v>
      </c>
      <c r="G11" s="142" t="s">
        <v>77</v>
      </c>
      <c r="H11" s="65" t="s">
        <v>79</v>
      </c>
      <c r="I11" s="53" t="s">
        <v>80</v>
      </c>
      <c r="J11" s="53" t="s">
        <v>94</v>
      </c>
      <c r="K11" s="53" t="s">
        <v>94</v>
      </c>
      <c r="L11" s="53" t="s">
        <v>94</v>
      </c>
      <c r="M11" s="53" t="s">
        <v>94</v>
      </c>
      <c r="N11" s="53" t="s">
        <v>95</v>
      </c>
      <c r="O11" s="53" t="s">
        <v>110</v>
      </c>
      <c r="P11" s="53" t="s">
        <v>81</v>
      </c>
      <c r="Q11" s="66" t="s">
        <v>90</v>
      </c>
      <c r="R11" s="67" t="s">
        <v>83</v>
      </c>
      <c r="S11" s="67" t="s">
        <v>84</v>
      </c>
      <c r="T11" s="67" t="s">
        <v>85</v>
      </c>
      <c r="U11" s="67" t="s">
        <v>86</v>
      </c>
      <c r="V11" s="48" t="s">
        <v>87</v>
      </c>
      <c r="W11" s="67" t="s">
        <v>118</v>
      </c>
      <c r="X11" s="48" t="s">
        <v>117</v>
      </c>
      <c r="Y11" s="48" t="s">
        <v>116</v>
      </c>
      <c r="Z11" s="171" t="s">
        <v>112</v>
      </c>
      <c r="AA11" s="172" t="s">
        <v>114</v>
      </c>
      <c r="AB11" s="49" t="s">
        <v>115</v>
      </c>
      <c r="AC11" s="161">
        <v>0</v>
      </c>
      <c r="AD11" s="161"/>
      <c r="AE11" s="161"/>
    </row>
    <row r="12" spans="1:32" s="29" customFormat="1" ht="34.5" customHeight="1">
      <c r="A12" s="63">
        <v>1</v>
      </c>
      <c r="B12" s="301" t="s">
        <v>89</v>
      </c>
      <c r="C12" s="63">
        <f>+'Km83+720'!I5</f>
        <v>0</v>
      </c>
      <c r="D12" s="64">
        <f>+'Km83+720'!B119</f>
        <v>45662</v>
      </c>
      <c r="E12" s="49">
        <f>+'Km83+720'!B138</f>
        <v>45681</v>
      </c>
      <c r="F12" s="49">
        <v>45529</v>
      </c>
      <c r="G12" s="142" t="e">
        <f>+'TH LÚN'!E12</f>
        <v>#REF!</v>
      </c>
      <c r="H12" s="69">
        <f>1.22*1000</f>
        <v>1220</v>
      </c>
      <c r="I12" s="53">
        <f>6.22*10</f>
        <v>62.199999999999996</v>
      </c>
      <c r="J12" s="53">
        <f>4.64-0.57</f>
        <v>4.0699999999999994</v>
      </c>
      <c r="K12" s="53">
        <f>4.64-0.27</f>
        <v>4.3699999999999992</v>
      </c>
      <c r="L12" s="53">
        <f>4.64-0.27</f>
        <v>4.3699999999999992</v>
      </c>
      <c r="M12" s="53">
        <f>4.64-1.48</f>
        <v>3.1599999999999997</v>
      </c>
      <c r="N12" s="53"/>
      <c r="O12" s="70">
        <f>+J12+N12</f>
        <v>4.0699999999999994</v>
      </c>
      <c r="P12" s="70">
        <v>8</v>
      </c>
      <c r="Q12" s="70">
        <v>94.92</v>
      </c>
      <c r="R12" s="67" t="e">
        <f>IF(F12="","",G12-F12)</f>
        <v>#REF!</v>
      </c>
      <c r="S12" s="188" t="e">
        <f>+'TH LÚN'!Y12</f>
        <v>#REF!</v>
      </c>
      <c r="T12" s="188" t="e">
        <f>+'TH LÚN'!Z12</f>
        <v>#REF!</v>
      </c>
      <c r="U12" s="143" t="e">
        <f>+'TH LÚN'!AA12</f>
        <v>#REF!</v>
      </c>
      <c r="V12" s="52" t="e">
        <f>+'TH LÚN'!AF12-$AC$11</f>
        <v>#REF!</v>
      </c>
      <c r="W12" s="52" t="e">
        <f>+'Km83+720'!#REF!</f>
        <v>#REF!</v>
      </c>
      <c r="X12" s="222" t="e">
        <f>AVERAGE(T12)/H12</f>
        <v>#REF!</v>
      </c>
      <c r="Y12" s="270" t="e">
        <f>+(X12+X13+X14+X15+X16)/5</f>
        <v>#REF!</v>
      </c>
      <c r="Z12" s="173">
        <v>0.85499999999999998</v>
      </c>
      <c r="AA12" s="173">
        <v>0.81100000000000005</v>
      </c>
      <c r="AB12" s="75" t="e">
        <f>+V12-J12</f>
        <v>#REF!</v>
      </c>
      <c r="AC12" s="216" t="e">
        <f>+V12-O12</f>
        <v>#REF!</v>
      </c>
      <c r="AD12" s="216" t="e">
        <f>+T12</f>
        <v>#REF!</v>
      </c>
      <c r="AE12" s="307" t="e">
        <f>+(AD12+AD13+AD14+AD15+AD16)/5</f>
        <v>#REF!</v>
      </c>
      <c r="AF12" s="29" t="e">
        <f>+T12/H12*100</f>
        <v>#REF!</v>
      </c>
    </row>
    <row r="13" spans="1:32" s="29" customFormat="1" ht="34.5" customHeight="1">
      <c r="A13" s="63">
        <f>+A12+1</f>
        <v>2</v>
      </c>
      <c r="B13" s="302"/>
      <c r="C13" s="63" t="e">
        <f>+#REF!</f>
        <v>#REF!</v>
      </c>
      <c r="D13" s="64" t="e">
        <f>+#REF!</f>
        <v>#REF!</v>
      </c>
      <c r="E13" s="49" t="e">
        <f>+#REF!</f>
        <v>#REF!</v>
      </c>
      <c r="F13" s="49">
        <f>+F12</f>
        <v>45529</v>
      </c>
      <c r="G13" s="142" t="e">
        <f>+'TH LÚN'!E13</f>
        <v>#REF!</v>
      </c>
      <c r="H13" s="69">
        <f t="shared" ref="H13:M16" si="0">+H12</f>
        <v>1220</v>
      </c>
      <c r="I13" s="53">
        <f t="shared" si="0"/>
        <v>62.199999999999996</v>
      </c>
      <c r="J13" s="53">
        <f>4.64-0.64</f>
        <v>3.9999999999999996</v>
      </c>
      <c r="K13" s="53">
        <f>4.64-0.34</f>
        <v>4.3</v>
      </c>
      <c r="L13" s="53">
        <f>4.64-0.24</f>
        <v>4.3999999999999995</v>
      </c>
      <c r="M13" s="53">
        <f t="shared" si="0"/>
        <v>3.1599999999999997</v>
      </c>
      <c r="N13" s="53"/>
      <c r="O13" s="70">
        <f t="shared" ref="O13:O61" si="1">+J13+N13</f>
        <v>3.9999999999999996</v>
      </c>
      <c r="P13" s="70">
        <f t="shared" ref="P13:Q16" si="2">+P12</f>
        <v>8</v>
      </c>
      <c r="Q13" s="70">
        <f t="shared" si="2"/>
        <v>94.92</v>
      </c>
      <c r="R13" s="67" t="e">
        <f>IF(F13="","",G13-F13)</f>
        <v>#REF!</v>
      </c>
      <c r="S13" s="188" t="e">
        <f>+'TH LÚN'!Y13</f>
        <v>#REF!</v>
      </c>
      <c r="T13" s="188" t="e">
        <f>+'TH LÚN'!Z13</f>
        <v>#REF!</v>
      </c>
      <c r="U13" s="143" t="e">
        <f>+'TH LÚN'!AA13</f>
        <v>#REF!</v>
      </c>
      <c r="V13" s="52" t="e">
        <f>+'TH LÚN'!AF13-$AC$11</f>
        <v>#REF!</v>
      </c>
      <c r="W13" s="52" t="e">
        <f>+#REF!</f>
        <v>#REF!</v>
      </c>
      <c r="X13" s="222" t="e">
        <f t="shared" ref="X13:X61" si="3">AVERAGE(T13)/H13</f>
        <v>#REF!</v>
      </c>
      <c r="Y13" s="271"/>
      <c r="Z13" s="173">
        <v>0.84299999999999997</v>
      </c>
      <c r="AA13" s="173">
        <v>0.82499999999999996</v>
      </c>
      <c r="AB13" s="75" t="e">
        <f t="shared" ref="AB13:AB61" si="4">+V13-J13</f>
        <v>#REF!</v>
      </c>
      <c r="AC13" s="216" t="e">
        <f t="shared" ref="AC13:AC36" si="5">+V13-O13</f>
        <v>#REF!</v>
      </c>
      <c r="AD13" s="216" t="e">
        <f t="shared" ref="AD13:AD16" si="6">+T13</f>
        <v>#REF!</v>
      </c>
      <c r="AE13" s="307"/>
    </row>
    <row r="14" spans="1:32" s="29" customFormat="1" ht="34.5" customHeight="1">
      <c r="A14" s="63">
        <f t="shared" ref="A14:A61" si="7">+A13+1</f>
        <v>3</v>
      </c>
      <c r="B14" s="302"/>
      <c r="C14" s="63" t="e">
        <f>+#REF!</f>
        <v>#REF!</v>
      </c>
      <c r="D14" s="64" t="e">
        <f>+#REF!</f>
        <v>#REF!</v>
      </c>
      <c r="E14" s="49" t="e">
        <f>+#REF!</f>
        <v>#REF!</v>
      </c>
      <c r="F14" s="49">
        <v>45566</v>
      </c>
      <c r="G14" s="142" t="e">
        <f>+'TH LÚN'!E14</f>
        <v>#REF!</v>
      </c>
      <c r="H14" s="69">
        <f t="shared" si="0"/>
        <v>1220</v>
      </c>
      <c r="I14" s="53">
        <f t="shared" si="0"/>
        <v>62.199999999999996</v>
      </c>
      <c r="J14" s="53">
        <f>4.64-0.42</f>
        <v>4.22</v>
      </c>
      <c r="K14" s="53">
        <f>4.64-0.12</f>
        <v>4.5199999999999996</v>
      </c>
      <c r="L14" s="53">
        <f>4.64-0.12</f>
        <v>4.5199999999999996</v>
      </c>
      <c r="M14" s="53">
        <f t="shared" si="0"/>
        <v>3.1599999999999997</v>
      </c>
      <c r="N14" s="53"/>
      <c r="O14" s="70">
        <f t="shared" si="1"/>
        <v>4.22</v>
      </c>
      <c r="P14" s="70">
        <f t="shared" si="2"/>
        <v>8</v>
      </c>
      <c r="Q14" s="70">
        <f t="shared" si="2"/>
        <v>94.92</v>
      </c>
      <c r="R14" s="67" t="e">
        <f t="shared" ref="R14:R61" si="8">IF(F14="","",G14-F14)</f>
        <v>#REF!</v>
      </c>
      <c r="S14" s="188" t="e">
        <f>+'TH LÚN'!Y14</f>
        <v>#REF!</v>
      </c>
      <c r="T14" s="188" t="e">
        <f>+'TH LÚN'!Z14</f>
        <v>#REF!</v>
      </c>
      <c r="U14" s="143" t="e">
        <f>+'TH LÚN'!AA14</f>
        <v>#REF!</v>
      </c>
      <c r="V14" s="52" t="e">
        <f>+'TH LÚN'!AF14-$AC$11</f>
        <v>#REF!</v>
      </c>
      <c r="W14" s="52" t="e">
        <f>+#REF!</f>
        <v>#REF!</v>
      </c>
      <c r="X14" s="222" t="e">
        <f t="shared" si="3"/>
        <v>#REF!</v>
      </c>
      <c r="Y14" s="271"/>
      <c r="Z14" s="173">
        <v>0.85699999999999998</v>
      </c>
      <c r="AA14" s="173">
        <v>0.80900000000000005</v>
      </c>
      <c r="AB14" s="75" t="e">
        <f t="shared" si="4"/>
        <v>#REF!</v>
      </c>
      <c r="AC14" s="216" t="e">
        <f t="shared" si="5"/>
        <v>#REF!</v>
      </c>
      <c r="AD14" s="216" t="e">
        <f t="shared" si="6"/>
        <v>#REF!</v>
      </c>
      <c r="AE14" s="307"/>
    </row>
    <row r="15" spans="1:32" s="29" customFormat="1" ht="34.5" customHeight="1">
      <c r="A15" s="63">
        <f t="shared" si="7"/>
        <v>4</v>
      </c>
      <c r="B15" s="302"/>
      <c r="C15" s="63" t="e">
        <f>+#REF!</f>
        <v>#REF!</v>
      </c>
      <c r="D15" s="64" t="e">
        <f>+#REF!</f>
        <v>#REF!</v>
      </c>
      <c r="E15" s="49" t="e">
        <f>+#REF!</f>
        <v>#REF!</v>
      </c>
      <c r="F15" s="49">
        <f t="shared" ref="F15:F24" si="9">+F14</f>
        <v>45566</v>
      </c>
      <c r="G15" s="142" t="e">
        <f>+'TH LÚN'!E15</f>
        <v>#REF!</v>
      </c>
      <c r="H15" s="69">
        <f t="shared" si="0"/>
        <v>1220</v>
      </c>
      <c r="I15" s="53">
        <f t="shared" si="0"/>
        <v>62.199999999999996</v>
      </c>
      <c r="J15" s="53">
        <f>4.64-0.46</f>
        <v>4.18</v>
      </c>
      <c r="K15" s="53">
        <f>4.64-0.16</f>
        <v>4.4799999999999995</v>
      </c>
      <c r="L15" s="53">
        <f>4.64-0.16</f>
        <v>4.4799999999999995</v>
      </c>
      <c r="M15" s="53">
        <f t="shared" si="0"/>
        <v>3.1599999999999997</v>
      </c>
      <c r="N15" s="53"/>
      <c r="O15" s="70">
        <f t="shared" si="1"/>
        <v>4.18</v>
      </c>
      <c r="P15" s="70">
        <f t="shared" si="2"/>
        <v>8</v>
      </c>
      <c r="Q15" s="70">
        <f t="shared" si="2"/>
        <v>94.92</v>
      </c>
      <c r="R15" s="67" t="e">
        <f t="shared" si="8"/>
        <v>#REF!</v>
      </c>
      <c r="S15" s="188" t="e">
        <f>+'TH LÚN'!Y15</f>
        <v>#REF!</v>
      </c>
      <c r="T15" s="188" t="e">
        <f>+'TH LÚN'!Z15</f>
        <v>#REF!</v>
      </c>
      <c r="U15" s="143" t="e">
        <f>+'TH LÚN'!AA15</f>
        <v>#REF!</v>
      </c>
      <c r="V15" s="52" t="e">
        <f>+'TH LÚN'!AF15-$AC$11</f>
        <v>#REF!</v>
      </c>
      <c r="W15" s="52" t="e">
        <f>+#REF!</f>
        <v>#REF!</v>
      </c>
      <c r="X15" s="222" t="e">
        <f t="shared" si="3"/>
        <v>#REF!</v>
      </c>
      <c r="Y15" s="271"/>
      <c r="Z15" s="173">
        <v>0.84899999999999998</v>
      </c>
      <c r="AA15" s="173">
        <v>0.81</v>
      </c>
      <c r="AB15" s="75" t="e">
        <f t="shared" si="4"/>
        <v>#REF!</v>
      </c>
      <c r="AC15" s="216" t="e">
        <f t="shared" si="5"/>
        <v>#REF!</v>
      </c>
      <c r="AD15" s="216" t="e">
        <f t="shared" si="6"/>
        <v>#REF!</v>
      </c>
      <c r="AE15" s="307"/>
    </row>
    <row r="16" spans="1:32" s="29" customFormat="1" ht="34.5" customHeight="1">
      <c r="A16" s="63">
        <f t="shared" si="7"/>
        <v>5</v>
      </c>
      <c r="B16" s="303"/>
      <c r="C16" s="63" t="e">
        <f>+#REF!</f>
        <v>#REF!</v>
      </c>
      <c r="D16" s="49" t="e">
        <f>+#REF!</f>
        <v>#REF!</v>
      </c>
      <c r="E16" s="49" t="e">
        <f>+#REF!</f>
        <v>#REF!</v>
      </c>
      <c r="F16" s="49">
        <f t="shared" si="9"/>
        <v>45566</v>
      </c>
      <c r="G16" s="142" t="e">
        <f>+'TH LÚN'!E16</f>
        <v>#REF!</v>
      </c>
      <c r="H16" s="69">
        <f t="shared" si="0"/>
        <v>1220</v>
      </c>
      <c r="I16" s="53">
        <f t="shared" si="0"/>
        <v>62.199999999999996</v>
      </c>
      <c r="J16" s="53">
        <f>4.64-0.56</f>
        <v>4.08</v>
      </c>
      <c r="K16" s="53">
        <f>4.64-0.26</f>
        <v>4.38</v>
      </c>
      <c r="L16" s="53">
        <f>4.64-0.26</f>
        <v>4.38</v>
      </c>
      <c r="M16" s="53">
        <f t="shared" si="0"/>
        <v>3.1599999999999997</v>
      </c>
      <c r="N16" s="53"/>
      <c r="O16" s="70">
        <f t="shared" si="1"/>
        <v>4.08</v>
      </c>
      <c r="P16" s="70">
        <f t="shared" si="2"/>
        <v>8</v>
      </c>
      <c r="Q16" s="70">
        <f t="shared" si="2"/>
        <v>94.92</v>
      </c>
      <c r="R16" s="67" t="e">
        <f t="shared" si="8"/>
        <v>#REF!</v>
      </c>
      <c r="S16" s="188" t="e">
        <f>+'TH LÚN'!Y16</f>
        <v>#REF!</v>
      </c>
      <c r="T16" s="188" t="e">
        <f>+'TH LÚN'!Z16</f>
        <v>#REF!</v>
      </c>
      <c r="U16" s="143" t="e">
        <f>+'TH LÚN'!AA16</f>
        <v>#REF!</v>
      </c>
      <c r="V16" s="52" t="e">
        <f>+'TH LÚN'!AF16-$AC$11</f>
        <v>#REF!</v>
      </c>
      <c r="W16" s="52" t="e">
        <f>+#REF!</f>
        <v>#REF!</v>
      </c>
      <c r="X16" s="222" t="e">
        <f t="shared" si="3"/>
        <v>#REF!</v>
      </c>
      <c r="Y16" s="272"/>
      <c r="Z16" s="173">
        <v>0.84899999999999998</v>
      </c>
      <c r="AA16" s="173">
        <v>0.78500000000000003</v>
      </c>
      <c r="AB16" s="75" t="e">
        <f t="shared" si="4"/>
        <v>#REF!</v>
      </c>
      <c r="AC16" s="216" t="e">
        <f t="shared" si="5"/>
        <v>#REF!</v>
      </c>
      <c r="AD16" s="216" t="e">
        <f t="shared" si="6"/>
        <v>#REF!</v>
      </c>
      <c r="AE16" s="307"/>
    </row>
    <row r="17" spans="1:31" s="29" customFormat="1" ht="34.5" customHeight="1">
      <c r="A17" s="63">
        <f t="shared" si="7"/>
        <v>6</v>
      </c>
      <c r="B17" s="274" t="e">
        <f>+#REF!</f>
        <v>#REF!</v>
      </c>
      <c r="C17" s="63" t="e">
        <f>+#REF!</f>
        <v>#REF!</v>
      </c>
      <c r="D17" s="64" t="e">
        <f>+#REF!</f>
        <v>#REF!</v>
      </c>
      <c r="E17" s="49" t="e">
        <f>+#REF!</f>
        <v>#REF!</v>
      </c>
      <c r="F17" s="49">
        <v>45596</v>
      </c>
      <c r="G17" s="142" t="e">
        <f>+'TH LÚN'!E17</f>
        <v>#REF!</v>
      </c>
      <c r="H17" s="69">
        <f>1.16*1000</f>
        <v>1160</v>
      </c>
      <c r="I17" s="53">
        <f>5.41*10</f>
        <v>54.1</v>
      </c>
      <c r="J17" s="53">
        <f>4.76-0.44</f>
        <v>4.3199999999999994</v>
      </c>
      <c r="K17" s="53">
        <f>4.76-0.14</f>
        <v>4.62</v>
      </c>
      <c r="L17" s="53">
        <f>4.76-0.14</f>
        <v>4.62</v>
      </c>
      <c r="M17" s="53">
        <f>4.76-1.23</f>
        <v>3.53</v>
      </c>
      <c r="N17" s="53"/>
      <c r="O17" s="70">
        <f t="shared" si="1"/>
        <v>4.3199999999999994</v>
      </c>
      <c r="P17" s="70">
        <v>10.5</v>
      </c>
      <c r="Q17" s="70">
        <v>98.05</v>
      </c>
      <c r="R17" s="67" t="e">
        <f>IF(F17="","",G17-F17)</f>
        <v>#REF!</v>
      </c>
      <c r="S17" s="188" t="e">
        <f>+'TH LÚN'!Y17</f>
        <v>#REF!</v>
      </c>
      <c r="T17" s="188" t="e">
        <f>+'TH LÚN'!Z17</f>
        <v>#REF!</v>
      </c>
      <c r="U17" s="143" t="e">
        <f>+'TH LÚN'!AA17</f>
        <v>#REF!</v>
      </c>
      <c r="V17" s="52" t="e">
        <f>+'TH LÚN'!AF17-$AC$11</f>
        <v>#REF!</v>
      </c>
      <c r="W17" s="52" t="e">
        <f>+#REF!</f>
        <v>#REF!</v>
      </c>
      <c r="X17" s="222" t="e">
        <f t="shared" si="3"/>
        <v>#REF!</v>
      </c>
      <c r="Y17" s="270" t="e">
        <f>+(X17+X18+X19+X20+X21+X22+X23+X24)/8</f>
        <v>#REF!</v>
      </c>
      <c r="Z17" s="173"/>
      <c r="AA17" s="173"/>
      <c r="AB17" s="75" t="e">
        <f t="shared" si="4"/>
        <v>#REF!</v>
      </c>
      <c r="AC17" s="216" t="e">
        <f t="shared" si="5"/>
        <v>#REF!</v>
      </c>
      <c r="AD17" s="216" t="e">
        <f>+T17</f>
        <v>#REF!</v>
      </c>
      <c r="AE17" s="307" t="e">
        <f>+(AD17+AD18+AD19+AD20+AD21+AD22+AD23+AD24)/8</f>
        <v>#REF!</v>
      </c>
    </row>
    <row r="18" spans="1:31" s="29" customFormat="1" ht="34.5" customHeight="1">
      <c r="A18" s="63">
        <f t="shared" si="7"/>
        <v>7</v>
      </c>
      <c r="B18" s="275"/>
      <c r="C18" s="63" t="e">
        <f>+#REF!</f>
        <v>#REF!</v>
      </c>
      <c r="D18" s="64" t="e">
        <f>+#REF!</f>
        <v>#REF!</v>
      </c>
      <c r="E18" s="49" t="e">
        <f>+#REF!</f>
        <v>#REF!</v>
      </c>
      <c r="F18" s="49">
        <v>45575</v>
      </c>
      <c r="G18" s="142" t="e">
        <f>+'TH LÚN'!E18</f>
        <v>#REF!</v>
      </c>
      <c r="H18" s="69">
        <f t="shared" ref="H18:I24" si="10">+H17</f>
        <v>1160</v>
      </c>
      <c r="I18" s="53">
        <f t="shared" si="10"/>
        <v>54.1</v>
      </c>
      <c r="J18" s="53">
        <f>4.58-0.42</f>
        <v>4.16</v>
      </c>
      <c r="K18" s="53">
        <f>4.58-0.12</f>
        <v>4.46</v>
      </c>
      <c r="L18" s="53">
        <f>4.58-0.12</f>
        <v>4.46</v>
      </c>
      <c r="M18" s="53">
        <f>4.58-1.23</f>
        <v>3.35</v>
      </c>
      <c r="N18" s="53"/>
      <c r="O18" s="70">
        <f t="shared" si="1"/>
        <v>4.16</v>
      </c>
      <c r="P18" s="70">
        <f t="shared" ref="P18:Q24" si="11">+P17</f>
        <v>10.5</v>
      </c>
      <c r="Q18" s="70">
        <f t="shared" si="11"/>
        <v>98.05</v>
      </c>
      <c r="R18" s="67" t="e">
        <f t="shared" si="8"/>
        <v>#REF!</v>
      </c>
      <c r="S18" s="188" t="e">
        <f>+'TH LÚN'!Y18</f>
        <v>#REF!</v>
      </c>
      <c r="T18" s="188" t="e">
        <f>+'TH LÚN'!Z18</f>
        <v>#REF!</v>
      </c>
      <c r="U18" s="143" t="e">
        <f>+'TH LÚN'!AA18</f>
        <v>#REF!</v>
      </c>
      <c r="V18" s="52" t="e">
        <f>+'TH LÚN'!AF18-$AC$11</f>
        <v>#REF!</v>
      </c>
      <c r="W18" s="52" t="e">
        <f>+#REF!</f>
        <v>#REF!</v>
      </c>
      <c r="X18" s="222" t="e">
        <f t="shared" si="3"/>
        <v>#REF!</v>
      </c>
      <c r="Y18" s="271"/>
      <c r="Z18" s="173">
        <v>0.81899999999999995</v>
      </c>
      <c r="AA18" s="173">
        <v>0.79800000000000004</v>
      </c>
      <c r="AB18" s="184" t="e">
        <f t="shared" si="4"/>
        <v>#REF!</v>
      </c>
      <c r="AC18" s="216" t="e">
        <f t="shared" si="5"/>
        <v>#REF!</v>
      </c>
      <c r="AD18" s="216" t="e">
        <f t="shared" ref="AD18:AD24" si="12">+T18</f>
        <v>#REF!</v>
      </c>
      <c r="AE18" s="307"/>
    </row>
    <row r="19" spans="1:31" s="29" customFormat="1" ht="34.5" customHeight="1">
      <c r="A19" s="63">
        <f t="shared" si="7"/>
        <v>8</v>
      </c>
      <c r="B19" s="275"/>
      <c r="C19" s="63" t="e">
        <f>+#REF!</f>
        <v>#REF!</v>
      </c>
      <c r="D19" s="49" t="e">
        <f>+#REF!</f>
        <v>#REF!</v>
      </c>
      <c r="E19" s="49" t="e">
        <f>+#REF!</f>
        <v>#REF!</v>
      </c>
      <c r="F19" s="49">
        <f t="shared" si="9"/>
        <v>45575</v>
      </c>
      <c r="G19" s="142" t="e">
        <f>+'TH LÚN'!E19</f>
        <v>#REF!</v>
      </c>
      <c r="H19" s="69">
        <f t="shared" si="10"/>
        <v>1160</v>
      </c>
      <c r="I19" s="53">
        <f t="shared" si="10"/>
        <v>54.1</v>
      </c>
      <c r="J19" s="53">
        <f>4.37-0.47</f>
        <v>3.9000000000000004</v>
      </c>
      <c r="K19" s="53">
        <f>4.37-0.17</f>
        <v>4.2</v>
      </c>
      <c r="L19" s="53">
        <f>4.37-0.17</f>
        <v>4.2</v>
      </c>
      <c r="M19" s="53">
        <f>4.37-1.23</f>
        <v>3.14</v>
      </c>
      <c r="N19" s="53"/>
      <c r="O19" s="70">
        <f t="shared" si="1"/>
        <v>3.9000000000000004</v>
      </c>
      <c r="P19" s="70">
        <f t="shared" si="11"/>
        <v>10.5</v>
      </c>
      <c r="Q19" s="70">
        <f t="shared" si="11"/>
        <v>98.05</v>
      </c>
      <c r="R19" s="67" t="e">
        <f t="shared" si="8"/>
        <v>#REF!</v>
      </c>
      <c r="S19" s="188" t="e">
        <f>+'TH LÚN'!Y19</f>
        <v>#REF!</v>
      </c>
      <c r="T19" s="188" t="e">
        <f>+'TH LÚN'!Z19</f>
        <v>#REF!</v>
      </c>
      <c r="U19" s="143" t="e">
        <f>+'TH LÚN'!AA19</f>
        <v>#REF!</v>
      </c>
      <c r="V19" s="52" t="e">
        <f>+'TH LÚN'!AF19-$AC$11</f>
        <v>#REF!</v>
      </c>
      <c r="W19" s="52" t="e">
        <f>+#REF!</f>
        <v>#REF!</v>
      </c>
      <c r="X19" s="222" t="e">
        <f t="shared" si="3"/>
        <v>#REF!</v>
      </c>
      <c r="Y19" s="271"/>
      <c r="Z19" s="173">
        <v>0.84599999999999997</v>
      </c>
      <c r="AA19" s="173">
        <v>0.69499999999999995</v>
      </c>
      <c r="AB19" s="184" t="e">
        <f t="shared" si="4"/>
        <v>#REF!</v>
      </c>
      <c r="AC19" s="216" t="e">
        <f t="shared" si="5"/>
        <v>#REF!</v>
      </c>
      <c r="AD19" s="216" t="e">
        <f t="shared" si="12"/>
        <v>#REF!</v>
      </c>
      <c r="AE19" s="307"/>
    </row>
    <row r="20" spans="1:31" s="29" customFormat="1" ht="34.5" customHeight="1">
      <c r="A20" s="63">
        <f t="shared" si="7"/>
        <v>9</v>
      </c>
      <c r="B20" s="275"/>
      <c r="C20" s="48" t="e">
        <f>+#REF!</f>
        <v>#REF!</v>
      </c>
      <c r="D20" s="49" t="e">
        <f>+#REF!</f>
        <v>#REF!</v>
      </c>
      <c r="E20" s="49" t="e">
        <f>+#REF!</f>
        <v>#REF!</v>
      </c>
      <c r="F20" s="49">
        <f t="shared" si="9"/>
        <v>45575</v>
      </c>
      <c r="G20" s="142" t="e">
        <f>+'TH LÚN'!E20</f>
        <v>#REF!</v>
      </c>
      <c r="H20" s="69">
        <f t="shared" si="10"/>
        <v>1160</v>
      </c>
      <c r="I20" s="71">
        <f t="shared" si="10"/>
        <v>54.1</v>
      </c>
      <c r="J20" s="71">
        <f>4.16-0.5</f>
        <v>3.66</v>
      </c>
      <c r="K20" s="71">
        <f>4.16-0.2</f>
        <v>3.96</v>
      </c>
      <c r="L20" s="71">
        <f>4.16-0.2</f>
        <v>3.96</v>
      </c>
      <c r="M20" s="70">
        <f>4.16-1.23</f>
        <v>2.93</v>
      </c>
      <c r="N20" s="72"/>
      <c r="O20" s="70">
        <f t="shared" si="1"/>
        <v>3.66</v>
      </c>
      <c r="P20" s="73">
        <f t="shared" si="11"/>
        <v>10.5</v>
      </c>
      <c r="Q20" s="73">
        <f t="shared" si="11"/>
        <v>98.05</v>
      </c>
      <c r="R20" s="67" t="e">
        <f t="shared" si="8"/>
        <v>#REF!</v>
      </c>
      <c r="S20" s="139" t="e">
        <f>+'TH LÚN'!Y20</f>
        <v>#REF!</v>
      </c>
      <c r="T20" s="139" t="e">
        <f>+'TH LÚN'!Z20</f>
        <v>#REF!</v>
      </c>
      <c r="U20" s="139" t="e">
        <f>+'TH LÚN'!AA20</f>
        <v>#REF!</v>
      </c>
      <c r="V20" s="52" t="e">
        <f>+'TH LÚN'!AF20-$AC$11</f>
        <v>#REF!</v>
      </c>
      <c r="W20" s="52" t="e">
        <f>+#REF!</f>
        <v>#REF!</v>
      </c>
      <c r="X20" s="222" t="e">
        <f t="shared" si="3"/>
        <v>#REF!</v>
      </c>
      <c r="Y20" s="271"/>
      <c r="Z20" s="173">
        <v>0.82899999999999996</v>
      </c>
      <c r="AA20" s="173">
        <v>0.66</v>
      </c>
      <c r="AB20" s="184" t="e">
        <f t="shared" si="4"/>
        <v>#REF!</v>
      </c>
      <c r="AC20" s="216" t="e">
        <f t="shared" si="5"/>
        <v>#REF!</v>
      </c>
      <c r="AD20" s="216" t="e">
        <f t="shared" si="12"/>
        <v>#REF!</v>
      </c>
      <c r="AE20" s="307"/>
    </row>
    <row r="21" spans="1:31" s="29" customFormat="1" ht="34.5" customHeight="1">
      <c r="A21" s="63">
        <f t="shared" si="7"/>
        <v>10</v>
      </c>
      <c r="B21" s="275"/>
      <c r="C21" s="48" t="e">
        <f>+#REF!</f>
        <v>#REF!</v>
      </c>
      <c r="D21" s="49" t="e">
        <f>+#REF!</f>
        <v>#REF!</v>
      </c>
      <c r="E21" s="49" t="e">
        <f>+#REF!</f>
        <v>#REF!</v>
      </c>
      <c r="F21" s="49">
        <f t="shared" si="9"/>
        <v>45575</v>
      </c>
      <c r="G21" s="142" t="e">
        <f>+'TH LÚN'!E21</f>
        <v>#REF!</v>
      </c>
      <c r="H21" s="69">
        <f t="shared" si="10"/>
        <v>1160</v>
      </c>
      <c r="I21" s="71">
        <f t="shared" si="10"/>
        <v>54.1</v>
      </c>
      <c r="J21" s="71">
        <f>3.99-0.48</f>
        <v>3.5100000000000002</v>
      </c>
      <c r="K21" s="71">
        <f>3.99-0.18</f>
        <v>3.81</v>
      </c>
      <c r="L21" s="71">
        <f>3.99-0.18</f>
        <v>3.81</v>
      </c>
      <c r="M21" s="70">
        <f>3.99-1.23</f>
        <v>2.7600000000000002</v>
      </c>
      <c r="N21" s="72"/>
      <c r="O21" s="70">
        <f t="shared" si="1"/>
        <v>3.5100000000000002</v>
      </c>
      <c r="P21" s="73">
        <f t="shared" si="11"/>
        <v>10.5</v>
      </c>
      <c r="Q21" s="73">
        <f t="shared" si="11"/>
        <v>98.05</v>
      </c>
      <c r="R21" s="67" t="e">
        <f t="shared" si="8"/>
        <v>#REF!</v>
      </c>
      <c r="S21" s="139" t="e">
        <f>+'TH LÚN'!Y21</f>
        <v>#REF!</v>
      </c>
      <c r="T21" s="139" t="e">
        <f>+'TH LÚN'!Z21</f>
        <v>#REF!</v>
      </c>
      <c r="U21" s="139" t="e">
        <f>+'TH LÚN'!AA21</f>
        <v>#REF!</v>
      </c>
      <c r="V21" s="52" t="e">
        <f>+'TH LÚN'!AF21-$AC$11</f>
        <v>#REF!</v>
      </c>
      <c r="W21" s="52" t="e">
        <f>+#REF!</f>
        <v>#REF!</v>
      </c>
      <c r="X21" s="222" t="e">
        <f t="shared" si="3"/>
        <v>#REF!</v>
      </c>
      <c r="Y21" s="271"/>
      <c r="Z21" s="173">
        <v>0.84099999999999997</v>
      </c>
      <c r="AA21" s="173">
        <v>0.68</v>
      </c>
      <c r="AB21" s="184" t="e">
        <f t="shared" si="4"/>
        <v>#REF!</v>
      </c>
      <c r="AC21" s="216" t="e">
        <f t="shared" si="5"/>
        <v>#REF!</v>
      </c>
      <c r="AD21" s="216" t="e">
        <f t="shared" si="12"/>
        <v>#REF!</v>
      </c>
      <c r="AE21" s="307"/>
    </row>
    <row r="22" spans="1:31" s="29" customFormat="1" ht="34.5" customHeight="1">
      <c r="A22" s="63">
        <f t="shared" si="7"/>
        <v>11</v>
      </c>
      <c r="B22" s="275"/>
      <c r="C22" s="48" t="e">
        <f>+#REF!</f>
        <v>#REF!</v>
      </c>
      <c r="D22" s="49" t="e">
        <f>+#REF!</f>
        <v>#REF!</v>
      </c>
      <c r="E22" s="49" t="e">
        <f>+#REF!</f>
        <v>#REF!</v>
      </c>
      <c r="F22" s="49">
        <f t="shared" si="9"/>
        <v>45575</v>
      </c>
      <c r="G22" s="142" t="e">
        <f>+'TH LÚN'!E22</f>
        <v>#REF!</v>
      </c>
      <c r="H22" s="69">
        <f t="shared" si="10"/>
        <v>1160</v>
      </c>
      <c r="I22" s="71">
        <f t="shared" si="10"/>
        <v>54.1</v>
      </c>
      <c r="J22" s="71">
        <f>4.17-0.6</f>
        <v>3.57</v>
      </c>
      <c r="K22" s="71">
        <f>4.17-0.3</f>
        <v>3.87</v>
      </c>
      <c r="L22" s="71">
        <f>4.17-0.22</f>
        <v>3.9499999999999997</v>
      </c>
      <c r="M22" s="70">
        <f>4.17-1.23</f>
        <v>2.94</v>
      </c>
      <c r="N22" s="72"/>
      <c r="O22" s="70">
        <f t="shared" si="1"/>
        <v>3.57</v>
      </c>
      <c r="P22" s="73">
        <f t="shared" si="11"/>
        <v>10.5</v>
      </c>
      <c r="Q22" s="73">
        <f t="shared" si="11"/>
        <v>98.05</v>
      </c>
      <c r="R22" s="67" t="e">
        <f t="shared" si="8"/>
        <v>#REF!</v>
      </c>
      <c r="S22" s="139" t="e">
        <f>+'TH LÚN'!Y22</f>
        <v>#REF!</v>
      </c>
      <c r="T22" s="139" t="e">
        <f>+'TH LÚN'!Z22</f>
        <v>#REF!</v>
      </c>
      <c r="U22" s="139" t="e">
        <f>+'TH LÚN'!AA22</f>
        <v>#REF!</v>
      </c>
      <c r="V22" s="52" t="e">
        <f>+'TH LÚN'!AF22-$AC$11</f>
        <v>#REF!</v>
      </c>
      <c r="W22" s="52" t="e">
        <f>+#REF!</f>
        <v>#REF!</v>
      </c>
      <c r="X22" s="222" t="e">
        <f t="shared" si="3"/>
        <v>#REF!</v>
      </c>
      <c r="Y22" s="271"/>
      <c r="Z22" s="173">
        <v>0.83</v>
      </c>
      <c r="AA22" s="173">
        <v>0.67</v>
      </c>
      <c r="AB22" s="184" t="e">
        <f t="shared" si="4"/>
        <v>#REF!</v>
      </c>
      <c r="AC22" s="216" t="e">
        <f t="shared" si="5"/>
        <v>#REF!</v>
      </c>
      <c r="AD22" s="216" t="e">
        <f t="shared" si="12"/>
        <v>#REF!</v>
      </c>
      <c r="AE22" s="307"/>
    </row>
    <row r="23" spans="1:31" s="29" customFormat="1" ht="34.5" customHeight="1">
      <c r="A23" s="63">
        <f t="shared" si="7"/>
        <v>12</v>
      </c>
      <c r="B23" s="275"/>
      <c r="C23" s="48" t="e">
        <f>+#REF!</f>
        <v>#REF!</v>
      </c>
      <c r="D23" s="49" t="e">
        <f>+#REF!</f>
        <v>#REF!</v>
      </c>
      <c r="E23" s="49" t="e">
        <f>+#REF!</f>
        <v>#REF!</v>
      </c>
      <c r="F23" s="49">
        <v>45590</v>
      </c>
      <c r="G23" s="142" t="e">
        <f>+'TH LÚN'!E23</f>
        <v>#REF!</v>
      </c>
      <c r="H23" s="69">
        <f t="shared" si="10"/>
        <v>1160</v>
      </c>
      <c r="I23" s="71">
        <f t="shared" si="10"/>
        <v>54.1</v>
      </c>
      <c r="J23" s="71">
        <f>4.4-0.58</f>
        <v>3.8200000000000003</v>
      </c>
      <c r="K23" s="71">
        <f>4.4-0.28</f>
        <v>4.12</v>
      </c>
      <c r="L23" s="71">
        <f>4.4-0.24</f>
        <v>4.16</v>
      </c>
      <c r="M23" s="70">
        <f>4.4-1.23</f>
        <v>3.1700000000000004</v>
      </c>
      <c r="N23" s="72"/>
      <c r="O23" s="70">
        <f t="shared" si="1"/>
        <v>3.8200000000000003</v>
      </c>
      <c r="P23" s="73">
        <f t="shared" si="11"/>
        <v>10.5</v>
      </c>
      <c r="Q23" s="73">
        <f t="shared" si="11"/>
        <v>98.05</v>
      </c>
      <c r="R23" s="67" t="e">
        <f t="shared" si="8"/>
        <v>#REF!</v>
      </c>
      <c r="S23" s="139" t="e">
        <f>+'TH LÚN'!Y23</f>
        <v>#REF!</v>
      </c>
      <c r="T23" s="139" t="e">
        <f>+'TH LÚN'!Z23</f>
        <v>#REF!</v>
      </c>
      <c r="U23" s="139" t="e">
        <f>+'TH LÚN'!AA23</f>
        <v>#REF!</v>
      </c>
      <c r="V23" s="52" t="e">
        <f>+'TH LÚN'!AF23-$AC$11</f>
        <v>#REF!</v>
      </c>
      <c r="W23" s="52" t="e">
        <f>+#REF!</f>
        <v>#REF!</v>
      </c>
      <c r="X23" s="222" t="e">
        <f t="shared" si="3"/>
        <v>#REF!</v>
      </c>
      <c r="Y23" s="271"/>
      <c r="Z23" s="173"/>
      <c r="AA23" s="173"/>
      <c r="AB23" s="184" t="e">
        <f t="shared" si="4"/>
        <v>#REF!</v>
      </c>
      <c r="AC23" s="216" t="e">
        <f t="shared" si="5"/>
        <v>#REF!</v>
      </c>
      <c r="AD23" s="216" t="e">
        <f t="shared" si="12"/>
        <v>#REF!</v>
      </c>
      <c r="AE23" s="307"/>
    </row>
    <row r="24" spans="1:31" s="29" customFormat="1" ht="34.5" customHeight="1">
      <c r="A24" s="63">
        <f t="shared" si="7"/>
        <v>13</v>
      </c>
      <c r="B24" s="276"/>
      <c r="C24" s="48" t="e">
        <f>+#REF!</f>
        <v>#REF!</v>
      </c>
      <c r="D24" s="49" t="e">
        <f>+#REF!</f>
        <v>#REF!</v>
      </c>
      <c r="E24" s="49" t="e">
        <f>+#REF!</f>
        <v>#REF!</v>
      </c>
      <c r="F24" s="49">
        <f t="shared" si="9"/>
        <v>45590</v>
      </c>
      <c r="G24" s="142" t="e">
        <f>+'TH LÚN'!E24</f>
        <v>#REF!</v>
      </c>
      <c r="H24" s="69">
        <f t="shared" si="10"/>
        <v>1160</v>
      </c>
      <c r="I24" s="71">
        <f t="shared" si="10"/>
        <v>54.1</v>
      </c>
      <c r="J24" s="71">
        <f>4.63-0.58</f>
        <v>4.05</v>
      </c>
      <c r="K24" s="71">
        <f>4.63-0.28</f>
        <v>4.3499999999999996</v>
      </c>
      <c r="L24" s="71">
        <f>4.63-0.28</f>
        <v>4.3499999999999996</v>
      </c>
      <c r="M24" s="70">
        <f>4.63-1.23</f>
        <v>3.4</v>
      </c>
      <c r="N24" s="72"/>
      <c r="O24" s="70">
        <f t="shared" si="1"/>
        <v>4.05</v>
      </c>
      <c r="P24" s="73">
        <f t="shared" si="11"/>
        <v>10.5</v>
      </c>
      <c r="Q24" s="73">
        <f t="shared" si="11"/>
        <v>98.05</v>
      </c>
      <c r="R24" s="67" t="e">
        <f t="shared" si="8"/>
        <v>#REF!</v>
      </c>
      <c r="S24" s="139" t="e">
        <f>+'TH LÚN'!Y24</f>
        <v>#REF!</v>
      </c>
      <c r="T24" s="139" t="e">
        <f>+'TH LÚN'!Z24</f>
        <v>#REF!</v>
      </c>
      <c r="U24" s="139" t="e">
        <f>+'TH LÚN'!AA24</f>
        <v>#REF!</v>
      </c>
      <c r="V24" s="52" t="e">
        <f>+'TH LÚN'!AF24-$AC$11</f>
        <v>#REF!</v>
      </c>
      <c r="W24" s="52" t="e">
        <f>+#REF!</f>
        <v>#REF!</v>
      </c>
      <c r="X24" s="222" t="e">
        <f t="shared" si="3"/>
        <v>#REF!</v>
      </c>
      <c r="Y24" s="272"/>
      <c r="Z24" s="173"/>
      <c r="AA24" s="173"/>
      <c r="AB24" s="75" t="e">
        <f t="shared" si="4"/>
        <v>#REF!</v>
      </c>
      <c r="AC24" s="216" t="e">
        <f t="shared" si="5"/>
        <v>#REF!</v>
      </c>
      <c r="AD24" s="216" t="e">
        <f t="shared" si="12"/>
        <v>#REF!</v>
      </c>
      <c r="AE24" s="307"/>
    </row>
    <row r="25" spans="1:31" s="29" customFormat="1" ht="34.5" customHeight="1">
      <c r="A25" s="63">
        <f t="shared" si="7"/>
        <v>14</v>
      </c>
      <c r="B25" s="274" t="e">
        <f>+#REF!</f>
        <v>#REF!</v>
      </c>
      <c r="C25" s="48" t="e">
        <f>+#REF!</f>
        <v>#REF!</v>
      </c>
      <c r="D25" s="49" t="e">
        <f>+#REF!</f>
        <v>#REF!</v>
      </c>
      <c r="E25" s="49" t="e">
        <f>+#REF!</f>
        <v>#REF!</v>
      </c>
      <c r="F25" s="49">
        <v>45626</v>
      </c>
      <c r="G25" s="142" t="e">
        <f>+'TH LÚN'!E25</f>
        <v>#REF!</v>
      </c>
      <c r="H25" s="69">
        <f>1.46*1000</f>
        <v>1460</v>
      </c>
      <c r="I25" s="71">
        <f>7.25*10</f>
        <v>72.5</v>
      </c>
      <c r="J25" s="71">
        <f>4.46-0.58</f>
        <v>3.88</v>
      </c>
      <c r="K25" s="71">
        <f>4.46-0.28</f>
        <v>4.18</v>
      </c>
      <c r="L25" s="71">
        <f>4.46-0.28</f>
        <v>4.18</v>
      </c>
      <c r="M25" s="70">
        <f>4.46-1.66</f>
        <v>2.8</v>
      </c>
      <c r="N25" s="70">
        <f>5.01-4.46</f>
        <v>0.54999999999999982</v>
      </c>
      <c r="O25" s="70">
        <f t="shared" si="1"/>
        <v>4.43</v>
      </c>
      <c r="P25" s="74" t="s">
        <v>91</v>
      </c>
      <c r="Q25" s="73">
        <v>96.48</v>
      </c>
      <c r="R25" s="67" t="e">
        <f t="shared" si="8"/>
        <v>#REF!</v>
      </c>
      <c r="S25" s="139" t="e">
        <f>+'TH LÚN'!Y25</f>
        <v>#REF!</v>
      </c>
      <c r="T25" s="139" t="e">
        <f>+'TH LÚN'!Z25</f>
        <v>#REF!</v>
      </c>
      <c r="U25" s="139" t="e">
        <f>+'TH LÚN'!AA25</f>
        <v>#REF!</v>
      </c>
      <c r="V25" s="52" t="e">
        <f>+'TH LÚN'!AF25-$AC$11</f>
        <v>#REF!</v>
      </c>
      <c r="W25" s="52" t="e">
        <f>+#REF!</f>
        <v>#REF!</v>
      </c>
      <c r="X25" s="222" t="e">
        <f t="shared" si="3"/>
        <v>#REF!</v>
      </c>
      <c r="Y25" s="270" t="e">
        <f>+(X25+X26+X27+X28)/4</f>
        <v>#REF!</v>
      </c>
      <c r="Z25" s="173"/>
      <c r="AA25" s="174"/>
      <c r="AB25" s="75" t="e">
        <f t="shared" si="4"/>
        <v>#REF!</v>
      </c>
      <c r="AC25" s="216" t="e">
        <f t="shared" si="5"/>
        <v>#REF!</v>
      </c>
      <c r="AD25" s="216" t="e">
        <f>+T25</f>
        <v>#REF!</v>
      </c>
      <c r="AE25" s="307" t="e">
        <f>+(AD25+AD26+AD27+AD28)/4</f>
        <v>#REF!</v>
      </c>
    </row>
    <row r="26" spans="1:31" s="29" customFormat="1" ht="34.5" customHeight="1">
      <c r="A26" s="63">
        <f t="shared" si="7"/>
        <v>15</v>
      </c>
      <c r="B26" s="275"/>
      <c r="C26" s="48" t="e">
        <f>+#REF!</f>
        <v>#REF!</v>
      </c>
      <c r="D26" s="49" t="e">
        <f>+#REF!</f>
        <v>#REF!</v>
      </c>
      <c r="E26" s="49" t="e">
        <f>+#REF!</f>
        <v>#REF!</v>
      </c>
      <c r="F26" s="49">
        <f>+F25</f>
        <v>45626</v>
      </c>
      <c r="G26" s="142" t="e">
        <f>+'TH LÚN'!E26</f>
        <v>#REF!</v>
      </c>
      <c r="H26" s="69">
        <f t="shared" ref="H26:I28" si="13">+H25</f>
        <v>1460</v>
      </c>
      <c r="I26" s="71">
        <f t="shared" si="13"/>
        <v>72.5</v>
      </c>
      <c r="J26" s="71">
        <f>4.46-0.59</f>
        <v>3.87</v>
      </c>
      <c r="K26" s="71">
        <f>4.46-0.29</f>
        <v>4.17</v>
      </c>
      <c r="L26" s="71">
        <f>4.46-0.29</f>
        <v>4.17</v>
      </c>
      <c r="M26" s="70">
        <f>4.46-1.66</f>
        <v>2.8</v>
      </c>
      <c r="N26" s="70">
        <f>5.25-4.46</f>
        <v>0.79</v>
      </c>
      <c r="O26" s="70">
        <f t="shared" si="1"/>
        <v>4.66</v>
      </c>
      <c r="P26" s="73" t="str">
        <f t="shared" ref="P26:Q28" si="14">+P25</f>
        <v>3+6.9</v>
      </c>
      <c r="Q26" s="73">
        <f t="shared" si="14"/>
        <v>96.48</v>
      </c>
      <c r="R26" s="67" t="e">
        <f t="shared" si="8"/>
        <v>#REF!</v>
      </c>
      <c r="S26" s="139" t="e">
        <f>+'TH LÚN'!Y26</f>
        <v>#REF!</v>
      </c>
      <c r="T26" s="139" t="e">
        <f>+'TH LÚN'!Z26</f>
        <v>#REF!</v>
      </c>
      <c r="U26" s="139" t="e">
        <f>+'TH LÚN'!AA26</f>
        <v>#REF!</v>
      </c>
      <c r="V26" s="52" t="e">
        <f>+'TH LÚN'!AF26-$AC$11</f>
        <v>#REF!</v>
      </c>
      <c r="W26" s="52" t="e">
        <f>+#REF!</f>
        <v>#REF!</v>
      </c>
      <c r="X26" s="222" t="e">
        <f t="shared" si="3"/>
        <v>#REF!</v>
      </c>
      <c r="Y26" s="271"/>
      <c r="Z26" s="173"/>
      <c r="AA26" s="174"/>
      <c r="AB26" s="75" t="e">
        <f t="shared" si="4"/>
        <v>#REF!</v>
      </c>
      <c r="AC26" s="216" t="e">
        <f t="shared" si="5"/>
        <v>#REF!</v>
      </c>
      <c r="AD26" s="216" t="e">
        <f t="shared" ref="AD26:AD28" si="15">+T26</f>
        <v>#REF!</v>
      </c>
      <c r="AE26" s="307"/>
    </row>
    <row r="27" spans="1:31" s="29" customFormat="1" ht="34.5" customHeight="1">
      <c r="A27" s="63">
        <f t="shared" si="7"/>
        <v>16</v>
      </c>
      <c r="B27" s="275"/>
      <c r="C27" s="48" t="e">
        <f>+#REF!</f>
        <v>#REF!</v>
      </c>
      <c r="D27" s="49" t="e">
        <f>+#REF!</f>
        <v>#REF!</v>
      </c>
      <c r="E27" s="49" t="e">
        <f>+#REF!</f>
        <v>#REF!</v>
      </c>
      <c r="F27" s="49">
        <f>+F26</f>
        <v>45626</v>
      </c>
      <c r="G27" s="142" t="e">
        <f>+'TH LÚN'!E27</f>
        <v>#REF!</v>
      </c>
      <c r="H27" s="69">
        <f t="shared" si="13"/>
        <v>1460</v>
      </c>
      <c r="I27" s="71">
        <f t="shared" si="13"/>
        <v>72.5</v>
      </c>
      <c r="J27" s="71">
        <f>4.46-0.57</f>
        <v>3.89</v>
      </c>
      <c r="K27" s="71">
        <f>4.46-0.27</f>
        <v>4.1899999999999995</v>
      </c>
      <c r="L27" s="71">
        <f>4.46-0.27</f>
        <v>4.1899999999999995</v>
      </c>
      <c r="M27" s="70">
        <f>4.46-1.66</f>
        <v>2.8</v>
      </c>
      <c r="N27" s="70">
        <f>5.63-4.46</f>
        <v>1.17</v>
      </c>
      <c r="O27" s="70">
        <f t="shared" si="1"/>
        <v>5.0600000000000005</v>
      </c>
      <c r="P27" s="73" t="str">
        <f t="shared" si="14"/>
        <v>3+6.9</v>
      </c>
      <c r="Q27" s="73">
        <f t="shared" si="14"/>
        <v>96.48</v>
      </c>
      <c r="R27" s="67" t="e">
        <f t="shared" si="8"/>
        <v>#REF!</v>
      </c>
      <c r="S27" s="139" t="e">
        <f>+'TH LÚN'!Y27</f>
        <v>#REF!</v>
      </c>
      <c r="T27" s="139" t="e">
        <f>+'TH LÚN'!Z27</f>
        <v>#REF!</v>
      </c>
      <c r="U27" s="139" t="e">
        <f>+'TH LÚN'!AA27</f>
        <v>#REF!</v>
      </c>
      <c r="V27" s="52" t="e">
        <f>+'TH LÚN'!AF27-$AC$11</f>
        <v>#REF!</v>
      </c>
      <c r="W27" s="52" t="e">
        <f>+#REF!</f>
        <v>#REF!</v>
      </c>
      <c r="X27" s="222" t="e">
        <f t="shared" si="3"/>
        <v>#REF!</v>
      </c>
      <c r="Y27" s="271"/>
      <c r="Z27" s="173"/>
      <c r="AA27" s="174"/>
      <c r="AB27" s="75" t="e">
        <f t="shared" si="4"/>
        <v>#REF!</v>
      </c>
      <c r="AC27" s="216" t="e">
        <f t="shared" si="5"/>
        <v>#REF!</v>
      </c>
      <c r="AD27" s="216" t="e">
        <f t="shared" si="15"/>
        <v>#REF!</v>
      </c>
      <c r="AE27" s="307"/>
    </row>
    <row r="28" spans="1:31" s="29" customFormat="1" ht="34.5" customHeight="1">
      <c r="A28" s="63">
        <f t="shared" si="7"/>
        <v>17</v>
      </c>
      <c r="B28" s="276"/>
      <c r="C28" s="48" t="e">
        <f>+#REF!</f>
        <v>#REF!</v>
      </c>
      <c r="D28" s="49" t="e">
        <f>+#REF!</f>
        <v>#REF!</v>
      </c>
      <c r="E28" s="49" t="e">
        <f>+#REF!</f>
        <v>#REF!</v>
      </c>
      <c r="F28" s="49">
        <f>+F27</f>
        <v>45626</v>
      </c>
      <c r="G28" s="142" t="e">
        <f>+'TH LÚN'!E28</f>
        <v>#REF!</v>
      </c>
      <c r="H28" s="69">
        <f t="shared" si="13"/>
        <v>1460</v>
      </c>
      <c r="I28" s="71">
        <f t="shared" si="13"/>
        <v>72.5</v>
      </c>
      <c r="J28" s="71">
        <f>4.46-0.44</f>
        <v>4.0199999999999996</v>
      </c>
      <c r="K28" s="71">
        <f>4.46-0.14</f>
        <v>4.32</v>
      </c>
      <c r="L28" s="71">
        <f>4.46-0.14</f>
        <v>4.32</v>
      </c>
      <c r="M28" s="70">
        <f>4.46-1.66</f>
        <v>2.8</v>
      </c>
      <c r="N28" s="70">
        <f>6.24-4.46</f>
        <v>1.7800000000000002</v>
      </c>
      <c r="O28" s="70">
        <f t="shared" si="1"/>
        <v>5.8</v>
      </c>
      <c r="P28" s="73" t="str">
        <f t="shared" si="14"/>
        <v>3+6.9</v>
      </c>
      <c r="Q28" s="73">
        <f t="shared" si="14"/>
        <v>96.48</v>
      </c>
      <c r="R28" s="67" t="e">
        <f t="shared" si="8"/>
        <v>#REF!</v>
      </c>
      <c r="S28" s="139" t="e">
        <f>+'TH LÚN'!Y28</f>
        <v>#REF!</v>
      </c>
      <c r="T28" s="139" t="e">
        <f>+'TH LÚN'!Z28</f>
        <v>#REF!</v>
      </c>
      <c r="U28" s="139" t="e">
        <f>+'TH LÚN'!AA28</f>
        <v>#REF!</v>
      </c>
      <c r="V28" s="52" t="e">
        <f>+'TH LÚN'!AF28-$AC$11</f>
        <v>#REF!</v>
      </c>
      <c r="W28" s="52" t="e">
        <f>+#REF!</f>
        <v>#REF!</v>
      </c>
      <c r="X28" s="222" t="e">
        <f t="shared" si="3"/>
        <v>#REF!</v>
      </c>
      <c r="Y28" s="272"/>
      <c r="Z28" s="173"/>
      <c r="AA28" s="174"/>
      <c r="AB28" s="75" t="e">
        <f t="shared" si="4"/>
        <v>#REF!</v>
      </c>
      <c r="AC28" s="216" t="e">
        <f t="shared" si="5"/>
        <v>#REF!</v>
      </c>
      <c r="AD28" s="216" t="e">
        <f t="shared" si="15"/>
        <v>#REF!</v>
      </c>
      <c r="AE28" s="307"/>
    </row>
    <row r="29" spans="1:31" s="29" customFormat="1" ht="34.5" customHeight="1">
      <c r="A29" s="63">
        <f t="shared" si="7"/>
        <v>18</v>
      </c>
      <c r="B29" s="48" t="e">
        <f>+#REF!</f>
        <v>#REF!</v>
      </c>
      <c r="C29" s="48" t="e">
        <f>+#REF!</f>
        <v>#REF!</v>
      </c>
      <c r="D29" s="49" t="e">
        <f>+#REF!</f>
        <v>#REF!</v>
      </c>
      <c r="E29" s="49" t="e">
        <f>+#REF!</f>
        <v>#REF!</v>
      </c>
      <c r="F29" s="49">
        <f>+F28</f>
        <v>45626</v>
      </c>
      <c r="G29" s="142" t="e">
        <f>+'TH LÚN'!E29</f>
        <v>#REF!</v>
      </c>
      <c r="H29" s="69">
        <f>1.57*1000</f>
        <v>1570</v>
      </c>
      <c r="I29" s="71">
        <f>8.83*10</f>
        <v>88.3</v>
      </c>
      <c r="J29" s="71">
        <f>4.94-0.34</f>
        <v>4.6000000000000005</v>
      </c>
      <c r="K29" s="71">
        <f>4.94-0.04</f>
        <v>4.9000000000000004</v>
      </c>
      <c r="L29" s="71">
        <f>4.94-0.04</f>
        <v>4.9000000000000004</v>
      </c>
      <c r="M29" s="70">
        <f>4.94-1.94</f>
        <v>3.0000000000000004</v>
      </c>
      <c r="N29" s="70">
        <f>7.28-4.94</f>
        <v>2.34</v>
      </c>
      <c r="O29" s="70">
        <f t="shared" si="1"/>
        <v>6.94</v>
      </c>
      <c r="P29" s="74" t="s">
        <v>92</v>
      </c>
      <c r="Q29" s="73">
        <v>96</v>
      </c>
      <c r="R29" s="67" t="e">
        <f t="shared" si="8"/>
        <v>#REF!</v>
      </c>
      <c r="S29" s="139" t="e">
        <f>+'TH LÚN'!Y29</f>
        <v>#REF!</v>
      </c>
      <c r="T29" s="139" t="e">
        <f>+'TH LÚN'!Z29</f>
        <v>#REF!</v>
      </c>
      <c r="U29" s="139" t="e">
        <f>+'TH LÚN'!AA29</f>
        <v>#REF!</v>
      </c>
      <c r="V29" s="52" t="e">
        <f>+'TH LÚN'!AF29-$AC$11</f>
        <v>#REF!</v>
      </c>
      <c r="W29" s="52" t="e">
        <f>+#REF!</f>
        <v>#REF!</v>
      </c>
      <c r="X29" s="222" t="e">
        <f t="shared" si="3"/>
        <v>#REF!</v>
      </c>
      <c r="Y29" s="222" t="e">
        <f>+X29</f>
        <v>#REF!</v>
      </c>
      <c r="Z29" s="173"/>
      <c r="AA29" s="174"/>
      <c r="AB29" s="75" t="e">
        <f t="shared" si="4"/>
        <v>#REF!</v>
      </c>
      <c r="AC29" s="216" t="e">
        <f t="shared" si="5"/>
        <v>#REF!</v>
      </c>
      <c r="AD29" s="216" t="e">
        <f t="shared" ref="AD29:AD61" si="16">+(S29+T29+U29)/3</f>
        <v>#REF!</v>
      </c>
      <c r="AE29" s="216" t="e">
        <f>+AD29</f>
        <v>#REF!</v>
      </c>
    </row>
    <row r="30" spans="1:31" s="29" customFormat="1" ht="34.5" customHeight="1">
      <c r="A30" s="63">
        <f t="shared" si="7"/>
        <v>19</v>
      </c>
      <c r="B30" s="274" t="e">
        <f>+#REF!</f>
        <v>#REF!</v>
      </c>
      <c r="C30" s="48" t="e">
        <f>+#REF!</f>
        <v>#REF!</v>
      </c>
      <c r="D30" s="49" t="e">
        <f>+#REF!</f>
        <v>#REF!</v>
      </c>
      <c r="E30" s="49" t="e">
        <f>+#REF!</f>
        <v>#REF!</v>
      </c>
      <c r="F30" s="49">
        <v>45737</v>
      </c>
      <c r="G30" s="142" t="e">
        <f>+'TH LÚN'!E30</f>
        <v>#REF!</v>
      </c>
      <c r="H30" s="69">
        <f>1.6*1000</f>
        <v>1600</v>
      </c>
      <c r="I30" s="71">
        <f>8.67*10</f>
        <v>86.7</v>
      </c>
      <c r="J30" s="71">
        <f>4.9-0.99</f>
        <v>3.91</v>
      </c>
      <c r="K30" s="71">
        <f>4.9-0.69</f>
        <v>4.2100000000000009</v>
      </c>
      <c r="L30" s="71">
        <f>4.9+1.14</f>
        <v>6.04</v>
      </c>
      <c r="M30" s="70">
        <f>4.9-1.8</f>
        <v>3.1000000000000005</v>
      </c>
      <c r="N30" s="70">
        <f>7.49-4.9</f>
        <v>2.59</v>
      </c>
      <c r="O30" s="70">
        <f t="shared" si="1"/>
        <v>6.5</v>
      </c>
      <c r="P30" s="85" t="s">
        <v>104</v>
      </c>
      <c r="Q30" s="73">
        <v>94.44</v>
      </c>
      <c r="R30" s="221" t="e">
        <f>IF(F30="","",G30-F30)</f>
        <v>#REF!</v>
      </c>
      <c r="S30" s="139" t="e">
        <f>+'TH LÚN'!Y30</f>
        <v>#REF!</v>
      </c>
      <c r="T30" s="139" t="e">
        <f>+'TH LÚN'!Z30</f>
        <v>#REF!</v>
      </c>
      <c r="U30" s="139" t="e">
        <f>+'TH LÚN'!AA30</f>
        <v>#REF!</v>
      </c>
      <c r="V30" s="52" t="e">
        <f>+'TH LÚN'!AF30-$AC$11</f>
        <v>#REF!</v>
      </c>
      <c r="W30" s="52" t="e">
        <f>+#REF!</f>
        <v>#REF!</v>
      </c>
      <c r="X30" s="222" t="e">
        <f t="shared" si="3"/>
        <v>#REF!</v>
      </c>
      <c r="Y30" s="270" t="e">
        <f>+(X30+X31)/2</f>
        <v>#REF!</v>
      </c>
      <c r="Z30" s="173"/>
      <c r="AA30" s="174"/>
      <c r="AB30" s="75" t="e">
        <f t="shared" si="4"/>
        <v>#REF!</v>
      </c>
      <c r="AC30" s="216" t="e">
        <f t="shared" si="5"/>
        <v>#REF!</v>
      </c>
      <c r="AD30" s="216" t="e">
        <f>+T30</f>
        <v>#REF!</v>
      </c>
      <c r="AE30" s="307" t="e">
        <f>+(AD30+AD31)/2</f>
        <v>#REF!</v>
      </c>
    </row>
    <row r="31" spans="1:31" s="29" customFormat="1" ht="34.5" customHeight="1">
      <c r="A31" s="63">
        <f t="shared" si="7"/>
        <v>20</v>
      </c>
      <c r="B31" s="276"/>
      <c r="C31" s="48" t="e">
        <f>+#REF!</f>
        <v>#REF!</v>
      </c>
      <c r="D31" s="49" t="e">
        <f>+#REF!</f>
        <v>#REF!</v>
      </c>
      <c r="E31" s="49" t="e">
        <f>+#REF!</f>
        <v>#REF!</v>
      </c>
      <c r="F31" s="49">
        <v>45616</v>
      </c>
      <c r="G31" s="142" t="e">
        <f>+'TH LÚN'!E31</f>
        <v>#REF!</v>
      </c>
      <c r="H31" s="69">
        <f>+H30</f>
        <v>1600</v>
      </c>
      <c r="I31" s="71">
        <f>+I30</f>
        <v>86.7</v>
      </c>
      <c r="J31" s="71">
        <f>4.9-0.63</f>
        <v>4.2700000000000005</v>
      </c>
      <c r="K31" s="71">
        <f>4.9-0.33</f>
        <v>4.57</v>
      </c>
      <c r="L31" s="71">
        <f>4.9-0.08</f>
        <v>4.82</v>
      </c>
      <c r="M31" s="70">
        <f>4.9-1.8</f>
        <v>3.1000000000000005</v>
      </c>
      <c r="N31" s="70">
        <f>6.28-4.9</f>
        <v>1.38</v>
      </c>
      <c r="O31" s="70">
        <f t="shared" si="1"/>
        <v>5.65</v>
      </c>
      <c r="P31" s="85" t="s">
        <v>104</v>
      </c>
      <c r="Q31" s="73">
        <f>+Q30</f>
        <v>94.44</v>
      </c>
      <c r="R31" s="67" t="e">
        <f t="shared" si="8"/>
        <v>#REF!</v>
      </c>
      <c r="S31" s="139" t="e">
        <f>+'TH LÚN'!Y31</f>
        <v>#REF!</v>
      </c>
      <c r="T31" s="139" t="e">
        <f>+'TH LÚN'!Z31</f>
        <v>#REF!</v>
      </c>
      <c r="U31" s="139" t="e">
        <f>+'TH LÚN'!AA31</f>
        <v>#REF!</v>
      </c>
      <c r="V31" s="52" t="e">
        <f>+'TH LÚN'!AF31-$AC$11+0.03</f>
        <v>#REF!</v>
      </c>
      <c r="W31" s="52" t="e">
        <f>+#REF!</f>
        <v>#REF!</v>
      </c>
      <c r="X31" s="222" t="e">
        <f t="shared" si="3"/>
        <v>#REF!</v>
      </c>
      <c r="Y31" s="272"/>
      <c r="Z31" s="173"/>
      <c r="AA31" s="174"/>
      <c r="AB31" s="75" t="e">
        <f t="shared" si="4"/>
        <v>#REF!</v>
      </c>
      <c r="AC31" s="216" t="e">
        <f t="shared" si="5"/>
        <v>#REF!</v>
      </c>
      <c r="AD31" s="216" t="e">
        <f>+T31</f>
        <v>#REF!</v>
      </c>
      <c r="AE31" s="307"/>
    </row>
    <row r="32" spans="1:31" s="29" customFormat="1" ht="34.5" customHeight="1">
      <c r="A32" s="63">
        <f t="shared" si="7"/>
        <v>21</v>
      </c>
      <c r="B32" s="274" t="e">
        <f>+#REF!</f>
        <v>#REF!</v>
      </c>
      <c r="C32" s="48" t="e">
        <f>+#REF!</f>
        <v>#REF!</v>
      </c>
      <c r="D32" s="49" t="e">
        <f>+#REF!</f>
        <v>#REF!</v>
      </c>
      <c r="E32" s="49" t="e">
        <f>+#REF!</f>
        <v>#REF!</v>
      </c>
      <c r="F32" s="49">
        <f t="shared" ref="F32" si="17">+F31</f>
        <v>45616</v>
      </c>
      <c r="G32" s="142" t="e">
        <f>+'TH LÚN'!E32</f>
        <v>#REF!</v>
      </c>
      <c r="H32" s="69">
        <f>1.43*1000</f>
        <v>1430</v>
      </c>
      <c r="I32" s="71">
        <f>7.38*10</f>
        <v>73.8</v>
      </c>
      <c r="J32" s="71">
        <f>4.46-0.6</f>
        <v>3.86</v>
      </c>
      <c r="K32" s="71">
        <f>4.46-0.3</f>
        <v>4.16</v>
      </c>
      <c r="L32" s="71">
        <f>4.46-0.3</f>
        <v>4.16</v>
      </c>
      <c r="M32" s="70">
        <f>4.46-1.46</f>
        <v>3</v>
      </c>
      <c r="N32" s="70">
        <f>5.21-4.46</f>
        <v>0.75</v>
      </c>
      <c r="O32" s="70">
        <f t="shared" si="1"/>
        <v>4.6099999999999994</v>
      </c>
      <c r="P32" s="85" t="s">
        <v>97</v>
      </c>
      <c r="Q32" s="73">
        <v>94.5</v>
      </c>
      <c r="R32" s="67" t="e">
        <f t="shared" si="8"/>
        <v>#REF!</v>
      </c>
      <c r="S32" s="139" t="e">
        <f>+'TH LÚN'!Y32</f>
        <v>#REF!</v>
      </c>
      <c r="T32" s="139" t="e">
        <f>+'TH LÚN'!Z32</f>
        <v>#REF!</v>
      </c>
      <c r="U32" s="139" t="e">
        <f>+'TH LÚN'!AA32</f>
        <v>#REF!</v>
      </c>
      <c r="V32" s="52" t="e">
        <f>+'TH LÚN'!AF32-$AC$11</f>
        <v>#REF!</v>
      </c>
      <c r="W32" s="52" t="e">
        <f>+#REF!</f>
        <v>#REF!</v>
      </c>
      <c r="X32" s="222" t="e">
        <f t="shared" si="3"/>
        <v>#REF!</v>
      </c>
      <c r="Y32" s="270" t="e">
        <f>+(X32+X33+X34+X35)/4</f>
        <v>#REF!</v>
      </c>
      <c r="Z32" s="173"/>
      <c r="AA32" s="174"/>
      <c r="AB32" s="75" t="e">
        <f t="shared" si="4"/>
        <v>#REF!</v>
      </c>
      <c r="AC32" s="216" t="e">
        <f t="shared" si="5"/>
        <v>#REF!</v>
      </c>
      <c r="AD32" s="216" t="e">
        <f>+T32</f>
        <v>#REF!</v>
      </c>
      <c r="AE32" s="307" t="e">
        <f>+(AD32+AD33+AD34+AD35)/4</f>
        <v>#REF!</v>
      </c>
    </row>
    <row r="33" spans="1:31" s="29" customFormat="1" ht="34.5" customHeight="1">
      <c r="A33" s="63">
        <f t="shared" si="7"/>
        <v>22</v>
      </c>
      <c r="B33" s="275"/>
      <c r="C33" s="48" t="e">
        <f>+#REF!</f>
        <v>#REF!</v>
      </c>
      <c r="D33" s="49" t="e">
        <f>+#REF!</f>
        <v>#REF!</v>
      </c>
      <c r="E33" s="49" t="e">
        <f>+#REF!</f>
        <v>#REF!</v>
      </c>
      <c r="F33" s="49">
        <v>45462</v>
      </c>
      <c r="G33" s="142" t="e">
        <f>+'TH LÚN'!E33</f>
        <v>#REF!</v>
      </c>
      <c r="H33" s="69">
        <f t="shared" ref="H33:I35" si="18">+H32</f>
        <v>1430</v>
      </c>
      <c r="I33" s="71">
        <f t="shared" si="18"/>
        <v>73.8</v>
      </c>
      <c r="J33" s="71">
        <f>4.46-0.61</f>
        <v>3.85</v>
      </c>
      <c r="K33" s="71">
        <f>4.46-0.31</f>
        <v>4.1500000000000004</v>
      </c>
      <c r="L33" s="71">
        <f>4.46-0.31</f>
        <v>4.1500000000000004</v>
      </c>
      <c r="M33" s="70">
        <f>4.46-1.46</f>
        <v>3</v>
      </c>
      <c r="N33" s="70"/>
      <c r="O33" s="70">
        <f t="shared" si="1"/>
        <v>3.85</v>
      </c>
      <c r="P33" s="86" t="str">
        <f>+P32</f>
        <v>3+5.5</v>
      </c>
      <c r="Q33" s="73">
        <f>+Q32</f>
        <v>94.5</v>
      </c>
      <c r="R33" s="67" t="e">
        <f t="shared" si="8"/>
        <v>#REF!</v>
      </c>
      <c r="S33" s="139" t="e">
        <f>+'TH LÚN'!Y33</f>
        <v>#REF!</v>
      </c>
      <c r="T33" s="139" t="e">
        <f>+'TH LÚN'!Z33</f>
        <v>#REF!</v>
      </c>
      <c r="U33" s="139" t="e">
        <f>+'TH LÚN'!AA33</f>
        <v>#REF!</v>
      </c>
      <c r="V33" s="52" t="e">
        <f>+'TH LÚN'!AF33-$AC$11</f>
        <v>#REF!</v>
      </c>
      <c r="W33" s="52" t="e">
        <f>+#REF!</f>
        <v>#REF!</v>
      </c>
      <c r="X33" s="222" t="e">
        <f t="shared" si="3"/>
        <v>#REF!</v>
      </c>
      <c r="Y33" s="271"/>
      <c r="Z33" s="173"/>
      <c r="AA33" s="174"/>
      <c r="AB33" s="75" t="e">
        <f t="shared" si="4"/>
        <v>#REF!</v>
      </c>
      <c r="AC33" s="216" t="e">
        <f t="shared" si="5"/>
        <v>#REF!</v>
      </c>
      <c r="AD33" s="216" t="e">
        <f t="shared" ref="AD33:AD35" si="19">+T33</f>
        <v>#REF!</v>
      </c>
      <c r="AE33" s="307"/>
    </row>
    <row r="34" spans="1:31" s="29" customFormat="1" ht="34.5" customHeight="1">
      <c r="A34" s="63">
        <f t="shared" si="7"/>
        <v>23</v>
      </c>
      <c r="B34" s="275"/>
      <c r="C34" s="48" t="e">
        <f>+#REF!</f>
        <v>#REF!</v>
      </c>
      <c r="D34" s="49" t="e">
        <f>+#REF!</f>
        <v>#REF!</v>
      </c>
      <c r="E34" s="49" t="e">
        <f>+#REF!</f>
        <v>#REF!</v>
      </c>
      <c r="F34" s="49">
        <v>45472</v>
      </c>
      <c r="G34" s="142" t="e">
        <f>+'TH LÚN'!E34</f>
        <v>#REF!</v>
      </c>
      <c r="H34" s="69">
        <f t="shared" si="18"/>
        <v>1430</v>
      </c>
      <c r="I34" s="71">
        <f t="shared" si="18"/>
        <v>73.8</v>
      </c>
      <c r="J34" s="71">
        <f>4.46-0.61</f>
        <v>3.85</v>
      </c>
      <c r="K34" s="71">
        <f>4.46-0.31</f>
        <v>4.1500000000000004</v>
      </c>
      <c r="L34" s="71">
        <f>4.46-0.31</f>
        <v>4.1500000000000004</v>
      </c>
      <c r="M34" s="70">
        <f>4.46-1.46</f>
        <v>3</v>
      </c>
      <c r="N34" s="70">
        <f>4.74-4.46</f>
        <v>0.28000000000000025</v>
      </c>
      <c r="O34" s="70">
        <f t="shared" si="1"/>
        <v>4.1300000000000008</v>
      </c>
      <c r="P34" s="54" t="str">
        <f>+P32</f>
        <v>3+5.5</v>
      </c>
      <c r="Q34" s="73">
        <f>+Q33</f>
        <v>94.5</v>
      </c>
      <c r="R34" s="67" t="e">
        <f t="shared" si="8"/>
        <v>#REF!</v>
      </c>
      <c r="S34" s="139" t="e">
        <f>+'TH LÚN'!Y34</f>
        <v>#REF!</v>
      </c>
      <c r="T34" s="139" t="e">
        <f>+'TH LÚN'!Z34</f>
        <v>#REF!</v>
      </c>
      <c r="U34" s="139" t="e">
        <f>+'TH LÚN'!AA34</f>
        <v>#REF!</v>
      </c>
      <c r="V34" s="52" t="e">
        <f>+'TH LÚN'!AF34-$AC$11</f>
        <v>#REF!</v>
      </c>
      <c r="W34" s="52" t="e">
        <f>+#REF!</f>
        <v>#REF!</v>
      </c>
      <c r="X34" s="222" t="e">
        <f t="shared" si="3"/>
        <v>#REF!</v>
      </c>
      <c r="Y34" s="271"/>
      <c r="Z34" s="173"/>
      <c r="AA34" s="174"/>
      <c r="AB34" s="75" t="e">
        <f t="shared" si="4"/>
        <v>#REF!</v>
      </c>
      <c r="AC34" s="216" t="e">
        <f t="shared" si="5"/>
        <v>#REF!</v>
      </c>
      <c r="AD34" s="216" t="e">
        <f t="shared" si="19"/>
        <v>#REF!</v>
      </c>
      <c r="AE34" s="307"/>
    </row>
    <row r="35" spans="1:31" s="29" customFormat="1" ht="34.5" customHeight="1">
      <c r="A35" s="63">
        <f t="shared" si="7"/>
        <v>24</v>
      </c>
      <c r="B35" s="276"/>
      <c r="C35" s="48" t="e">
        <f>+#REF!</f>
        <v>#REF!</v>
      </c>
      <c r="D35" s="49" t="e">
        <f>+#REF!</f>
        <v>#REF!</v>
      </c>
      <c r="E35" s="49" t="e">
        <f>+#REF!</f>
        <v>#REF!</v>
      </c>
      <c r="F35" s="49">
        <f>+F32</f>
        <v>45616</v>
      </c>
      <c r="G35" s="142" t="e">
        <f>+'TH LÚN'!E35</f>
        <v>#REF!</v>
      </c>
      <c r="H35" s="69">
        <f t="shared" si="18"/>
        <v>1430</v>
      </c>
      <c r="I35" s="71">
        <f t="shared" si="18"/>
        <v>73.8</v>
      </c>
      <c r="J35" s="71">
        <f>4.46+0.56</f>
        <v>5.0199999999999996</v>
      </c>
      <c r="K35" s="71">
        <f>4.46+0.86</f>
        <v>5.32</v>
      </c>
      <c r="L35" s="71">
        <f>4.46+0.86</f>
        <v>5.32</v>
      </c>
      <c r="M35" s="70">
        <f>4.46-1.46</f>
        <v>3</v>
      </c>
      <c r="N35" s="70">
        <f>5.74-4.46</f>
        <v>1.2800000000000002</v>
      </c>
      <c r="O35" s="70">
        <f t="shared" si="1"/>
        <v>6.3</v>
      </c>
      <c r="P35" s="54" t="str">
        <f>+P34</f>
        <v>3+5.5</v>
      </c>
      <c r="Q35" s="73">
        <f>+Q34</f>
        <v>94.5</v>
      </c>
      <c r="R35" s="67" t="e">
        <f t="shared" si="8"/>
        <v>#REF!</v>
      </c>
      <c r="S35" s="139" t="e">
        <f>+'TH LÚN'!Y35</f>
        <v>#REF!</v>
      </c>
      <c r="T35" s="139" t="e">
        <f>+'TH LÚN'!Z35</f>
        <v>#REF!</v>
      </c>
      <c r="U35" s="139" t="e">
        <f>+'TH LÚN'!AA35</f>
        <v>#REF!</v>
      </c>
      <c r="V35" s="52" t="e">
        <f>+'TH LÚN'!AF35-$AC$11</f>
        <v>#REF!</v>
      </c>
      <c r="W35" s="52" t="e">
        <f>+#REF!</f>
        <v>#REF!</v>
      </c>
      <c r="X35" s="222" t="e">
        <f t="shared" si="3"/>
        <v>#REF!</v>
      </c>
      <c r="Y35" s="272"/>
      <c r="Z35" s="173"/>
      <c r="AA35" s="174"/>
      <c r="AB35" s="75" t="e">
        <f t="shared" si="4"/>
        <v>#REF!</v>
      </c>
      <c r="AC35" s="216" t="e">
        <f t="shared" si="5"/>
        <v>#REF!</v>
      </c>
      <c r="AD35" s="216" t="e">
        <f t="shared" si="19"/>
        <v>#REF!</v>
      </c>
      <c r="AE35" s="307"/>
    </row>
    <row r="36" spans="1:31" s="29" customFormat="1" ht="34.5" customHeight="1">
      <c r="A36" s="63">
        <f t="shared" si="7"/>
        <v>25</v>
      </c>
      <c r="B36" s="48" t="e">
        <f>+#REF!</f>
        <v>#REF!</v>
      </c>
      <c r="C36" s="48" t="e">
        <f>+#REF!</f>
        <v>#REF!</v>
      </c>
      <c r="D36" s="49" t="e">
        <f>+#REF!</f>
        <v>#REF!</v>
      </c>
      <c r="E36" s="49" t="e">
        <f>+#REF!</f>
        <v>#REF!</v>
      </c>
      <c r="F36" s="49">
        <v>45713</v>
      </c>
      <c r="G36" s="142" t="e">
        <f>+'TH LÚN'!E36</f>
        <v>#REF!</v>
      </c>
      <c r="H36" s="69">
        <f>2.23*1000</f>
        <v>2230</v>
      </c>
      <c r="I36" s="71">
        <f>7.6*10</f>
        <v>76</v>
      </c>
      <c r="J36" s="71">
        <f>4.42-0.75</f>
        <v>3.67</v>
      </c>
      <c r="K36" s="71">
        <f>4.42-0.45</f>
        <v>3.9699999999999998</v>
      </c>
      <c r="L36" s="71">
        <f>4.42-0.45</f>
        <v>3.9699999999999998</v>
      </c>
      <c r="M36" s="70">
        <f>4.42-2.82</f>
        <v>1.6</v>
      </c>
      <c r="N36" s="70">
        <f>7.14-4.42</f>
        <v>2.7199999999999998</v>
      </c>
      <c r="O36" s="70">
        <f t="shared" si="1"/>
        <v>6.39</v>
      </c>
      <c r="P36" s="141" t="s">
        <v>103</v>
      </c>
      <c r="Q36" s="73">
        <v>94.8</v>
      </c>
      <c r="R36" s="221" t="e">
        <f>IF(F36="","",G36-F36)</f>
        <v>#REF!</v>
      </c>
      <c r="S36" s="139" t="e">
        <f>+'TH LÚN'!Y36</f>
        <v>#REF!</v>
      </c>
      <c r="T36" s="139" t="e">
        <f>+'TH LÚN'!Z36</f>
        <v>#REF!</v>
      </c>
      <c r="U36" s="139" t="e">
        <f>+'TH LÚN'!AA36</f>
        <v>#REF!</v>
      </c>
      <c r="V36" s="52" t="e">
        <f>+'TH LÚN'!AF36-$AC$11</f>
        <v>#REF!</v>
      </c>
      <c r="W36" s="52" t="e">
        <f>+#REF!</f>
        <v>#REF!</v>
      </c>
      <c r="X36" s="222" t="e">
        <f t="shared" si="3"/>
        <v>#REF!</v>
      </c>
      <c r="Y36" s="222" t="e">
        <f>+X36</f>
        <v>#REF!</v>
      </c>
      <c r="Z36" s="173"/>
      <c r="AA36" s="174"/>
      <c r="AB36" s="75" t="e">
        <f t="shared" si="4"/>
        <v>#REF!</v>
      </c>
      <c r="AC36" s="216" t="e">
        <f t="shared" si="5"/>
        <v>#REF!</v>
      </c>
      <c r="AD36" s="216" t="e">
        <f>+T36</f>
        <v>#REF!</v>
      </c>
      <c r="AE36" s="216" t="e">
        <f>+AD36</f>
        <v>#REF!</v>
      </c>
    </row>
    <row r="37" spans="1:31" s="29" customFormat="1" ht="26.25" hidden="1" customHeight="1">
      <c r="A37" s="63">
        <f t="shared" si="7"/>
        <v>26</v>
      </c>
      <c r="B37" s="214" t="s">
        <v>45</v>
      </c>
      <c r="C37" s="48" t="s">
        <v>46</v>
      </c>
      <c r="D37" s="49"/>
      <c r="E37" s="49"/>
      <c r="F37" s="49"/>
      <c r="G37" s="142"/>
      <c r="H37" s="69"/>
      <c r="I37" s="71"/>
      <c r="J37" s="71"/>
      <c r="K37" s="71"/>
      <c r="L37" s="71"/>
      <c r="M37" s="70"/>
      <c r="N37" s="70"/>
      <c r="O37" s="70">
        <f t="shared" si="1"/>
        <v>0</v>
      </c>
      <c r="P37" s="86"/>
      <c r="Q37" s="73"/>
      <c r="R37" s="67" t="str">
        <f t="shared" si="8"/>
        <v/>
      </c>
      <c r="S37" s="139"/>
      <c r="T37" s="139"/>
      <c r="U37" s="139"/>
      <c r="V37" s="52">
        <f>+'TH LÚN'!AF37-$AC$11</f>
        <v>0</v>
      </c>
      <c r="W37" s="52"/>
      <c r="X37" s="222" t="e">
        <f t="shared" si="3"/>
        <v>#DIV/0!</v>
      </c>
      <c r="Y37" s="223"/>
      <c r="Z37" s="175"/>
      <c r="AA37" s="175"/>
      <c r="AB37" s="75">
        <f t="shared" si="4"/>
        <v>0</v>
      </c>
      <c r="AC37" s="273" t="str">
        <f>+AC43</f>
        <v>CDM</v>
      </c>
      <c r="AD37" s="216">
        <f t="shared" si="16"/>
        <v>0</v>
      </c>
      <c r="AE37" s="216"/>
    </row>
    <row r="38" spans="1:31" s="29" customFormat="1" ht="26.25" hidden="1" customHeight="1">
      <c r="A38" s="63">
        <f t="shared" si="7"/>
        <v>27</v>
      </c>
      <c r="B38" s="214" t="s">
        <v>47</v>
      </c>
      <c r="C38" s="48" t="s">
        <v>48</v>
      </c>
      <c r="D38" s="49"/>
      <c r="E38" s="49"/>
      <c r="F38" s="49"/>
      <c r="G38" s="142"/>
      <c r="H38" s="69"/>
      <c r="I38" s="71"/>
      <c r="J38" s="71"/>
      <c r="K38" s="71"/>
      <c r="L38" s="71"/>
      <c r="M38" s="70"/>
      <c r="N38" s="70"/>
      <c r="O38" s="70">
        <f t="shared" si="1"/>
        <v>0</v>
      </c>
      <c r="P38" s="86"/>
      <c r="Q38" s="73"/>
      <c r="R38" s="67" t="str">
        <f t="shared" si="8"/>
        <v/>
      </c>
      <c r="S38" s="144"/>
      <c r="T38" s="144"/>
      <c r="U38" s="139"/>
      <c r="V38" s="52">
        <f>+'TH LÚN'!AF38-$AC$11</f>
        <v>0</v>
      </c>
      <c r="W38" s="52"/>
      <c r="X38" s="222" t="e">
        <f t="shared" si="3"/>
        <v>#DIV/0!</v>
      </c>
      <c r="Y38" s="223"/>
      <c r="Z38" s="175"/>
      <c r="AA38" s="175"/>
      <c r="AB38" s="75">
        <f t="shared" si="4"/>
        <v>0</v>
      </c>
      <c r="AC38" s="273"/>
      <c r="AD38" s="216">
        <f t="shared" si="16"/>
        <v>0</v>
      </c>
      <c r="AE38" s="216"/>
    </row>
    <row r="39" spans="1:31" s="29" customFormat="1" ht="31.5" customHeight="1">
      <c r="A39" s="63">
        <f>+A36+1</f>
        <v>26</v>
      </c>
      <c r="B39" s="214" t="s">
        <v>49</v>
      </c>
      <c r="C39" s="48" t="s">
        <v>96</v>
      </c>
      <c r="D39" s="49" t="e">
        <f>+#REF!</f>
        <v>#REF!</v>
      </c>
      <c r="E39" s="49" t="e">
        <f>+#REF!</f>
        <v>#REF!</v>
      </c>
      <c r="F39" s="49">
        <v>45728</v>
      </c>
      <c r="G39" s="142" t="e">
        <f>+'TH LÚN'!E39</f>
        <v>#REF!</v>
      </c>
      <c r="H39" s="69">
        <f>2.22*1000</f>
        <v>2220</v>
      </c>
      <c r="I39" s="71">
        <f>7.6*10</f>
        <v>76</v>
      </c>
      <c r="J39" s="71">
        <f>4.09-0.26</f>
        <v>3.83</v>
      </c>
      <c r="K39" s="71">
        <f>4.09+0.04</f>
        <v>4.13</v>
      </c>
      <c r="L39" s="71">
        <f>4.09+0.48</f>
        <v>4.57</v>
      </c>
      <c r="M39" s="70">
        <f>4.09-1.89</f>
        <v>2.2000000000000002</v>
      </c>
      <c r="N39" s="70">
        <f>7.15-4.09</f>
        <v>3.0600000000000005</v>
      </c>
      <c r="O39" s="70">
        <f t="shared" si="1"/>
        <v>6.8900000000000006</v>
      </c>
      <c r="P39" s="141" t="s">
        <v>106</v>
      </c>
      <c r="Q39" s="73">
        <v>95.9</v>
      </c>
      <c r="R39" s="221" t="e">
        <f>IF(F39="","",G39-F39)</f>
        <v>#REF!</v>
      </c>
      <c r="S39" s="139" t="e">
        <f>+'TH LÚN'!Y39</f>
        <v>#REF!</v>
      </c>
      <c r="T39" s="139" t="e">
        <f>+'TH LÚN'!Z39</f>
        <v>#REF!</v>
      </c>
      <c r="U39" s="139" t="e">
        <f>+'TH LÚN'!AA39</f>
        <v>#REF!</v>
      </c>
      <c r="V39" s="52" t="e">
        <f>+'TH LÚN'!AF39-$AC$11</f>
        <v>#REF!</v>
      </c>
      <c r="W39" s="52" t="e">
        <f>+#REF!</f>
        <v>#REF!</v>
      </c>
      <c r="X39" s="222" t="e">
        <f t="shared" si="3"/>
        <v>#REF!</v>
      </c>
      <c r="Y39" s="222" t="e">
        <f>+X39</f>
        <v>#REF!</v>
      </c>
      <c r="Z39" s="173"/>
      <c r="AA39" s="173"/>
      <c r="AB39" s="75" t="e">
        <f t="shared" si="4"/>
        <v>#REF!</v>
      </c>
      <c r="AC39" s="216" t="e">
        <f t="shared" ref="AC39:AC61" si="20">+V39-O39</f>
        <v>#REF!</v>
      </c>
      <c r="AD39" s="216" t="e">
        <f>+T39</f>
        <v>#REF!</v>
      </c>
      <c r="AE39" s="216" t="e">
        <f>+AD39</f>
        <v>#REF!</v>
      </c>
    </row>
    <row r="40" spans="1:31" s="29" customFormat="1" ht="31.5" customHeight="1">
      <c r="A40" s="63">
        <f t="shared" si="7"/>
        <v>27</v>
      </c>
      <c r="B40" s="274" t="s">
        <v>50</v>
      </c>
      <c r="C40" s="48" t="s">
        <v>51</v>
      </c>
      <c r="D40" s="49" t="e">
        <f>+#REF!</f>
        <v>#REF!</v>
      </c>
      <c r="E40" s="49" t="e">
        <f>+#REF!</f>
        <v>#REF!</v>
      </c>
      <c r="F40" s="49">
        <f t="shared" ref="F40:F41" si="21">+F39</f>
        <v>45728</v>
      </c>
      <c r="G40" s="142" t="e">
        <f>+'TH LÚN'!E40</f>
        <v>#REF!</v>
      </c>
      <c r="H40" s="69">
        <f>1.85*1000</f>
        <v>1850</v>
      </c>
      <c r="I40" s="71">
        <v>86</v>
      </c>
      <c r="J40" s="71">
        <f>6.38-0.53</f>
        <v>5.85</v>
      </c>
      <c r="K40" s="71">
        <f>6.38-0.23</f>
        <v>6.1499999999999995</v>
      </c>
      <c r="L40" s="71">
        <f>6.38-0.21</f>
        <v>6.17</v>
      </c>
      <c r="M40" s="70">
        <f>6.38-2.05</f>
        <v>4.33</v>
      </c>
      <c r="N40" s="70"/>
      <c r="O40" s="70">
        <f t="shared" si="1"/>
        <v>5.85</v>
      </c>
      <c r="P40" s="73">
        <v>9.5</v>
      </c>
      <c r="Q40" s="73">
        <v>94.5</v>
      </c>
      <c r="R40" s="221" t="e">
        <f>IF(F40="","",G40-F40)</f>
        <v>#REF!</v>
      </c>
      <c r="S40" s="139" t="e">
        <f>+'TH LÚN'!Y40</f>
        <v>#REF!</v>
      </c>
      <c r="T40" s="139" t="e">
        <f>+'TH LÚN'!Z40</f>
        <v>#REF!</v>
      </c>
      <c r="U40" s="139" t="e">
        <f>+'TH LÚN'!AA40</f>
        <v>#REF!</v>
      </c>
      <c r="V40" s="52" t="e">
        <f>+'TH LÚN'!AF40-$AC$11</f>
        <v>#REF!</v>
      </c>
      <c r="W40" s="52" t="e">
        <f>+#REF!</f>
        <v>#REF!</v>
      </c>
      <c r="X40" s="222" t="e">
        <f t="shared" si="3"/>
        <v>#REF!</v>
      </c>
      <c r="Y40" s="270" t="e">
        <f>+(X40+X41+X42)/3</f>
        <v>#REF!</v>
      </c>
      <c r="Z40" s="173"/>
      <c r="AA40" s="173"/>
      <c r="AB40" s="75" t="e">
        <f t="shared" si="4"/>
        <v>#REF!</v>
      </c>
      <c r="AC40" s="216" t="e">
        <f t="shared" si="20"/>
        <v>#REF!</v>
      </c>
      <c r="AD40" s="216" t="e">
        <f>+T40</f>
        <v>#REF!</v>
      </c>
      <c r="AE40" s="307" t="e">
        <f>+(AD40+AD41+AD42)/3</f>
        <v>#REF!</v>
      </c>
    </row>
    <row r="41" spans="1:31" s="29" customFormat="1" ht="31.5" customHeight="1">
      <c r="A41" s="63">
        <f t="shared" si="7"/>
        <v>28</v>
      </c>
      <c r="B41" s="275"/>
      <c r="C41" s="48" t="s">
        <v>52</v>
      </c>
      <c r="D41" s="49" t="e">
        <f>+#REF!</f>
        <v>#REF!</v>
      </c>
      <c r="E41" s="49" t="e">
        <f>+#REF!</f>
        <v>#REF!</v>
      </c>
      <c r="F41" s="49">
        <f t="shared" si="21"/>
        <v>45728</v>
      </c>
      <c r="G41" s="142" t="e">
        <f>+'TH LÚN'!E41</f>
        <v>#REF!</v>
      </c>
      <c r="H41" s="69">
        <f>+H40</f>
        <v>1850</v>
      </c>
      <c r="I41" s="71">
        <f>+I40</f>
        <v>86</v>
      </c>
      <c r="J41" s="71">
        <f>5.92+0.2</f>
        <v>6.12</v>
      </c>
      <c r="K41" s="71">
        <f>5.92+0.44</f>
        <v>6.36</v>
      </c>
      <c r="L41" s="71">
        <f>5.92+0.44</f>
        <v>6.36</v>
      </c>
      <c r="M41" s="70">
        <f>5.92-2.05</f>
        <v>3.87</v>
      </c>
      <c r="N41" s="70"/>
      <c r="O41" s="70">
        <f t="shared" si="1"/>
        <v>6.12</v>
      </c>
      <c r="P41" s="73">
        <f>+P40</f>
        <v>9.5</v>
      </c>
      <c r="Q41" s="73">
        <f>+Q40</f>
        <v>94.5</v>
      </c>
      <c r="R41" s="221" t="e">
        <f>IF(F41="","",G41-F41)</f>
        <v>#REF!</v>
      </c>
      <c r="S41" s="139" t="e">
        <f>+'TH LÚN'!Y41</f>
        <v>#REF!</v>
      </c>
      <c r="T41" s="139" t="e">
        <f>+'TH LÚN'!Z41</f>
        <v>#REF!</v>
      </c>
      <c r="U41" s="139" t="e">
        <f>+'TH LÚN'!AA41</f>
        <v>#REF!</v>
      </c>
      <c r="V41" s="52" t="e">
        <f>+'TH LÚN'!AF41-$AC$11</f>
        <v>#REF!</v>
      </c>
      <c r="W41" s="52" t="e">
        <f>+#REF!</f>
        <v>#REF!</v>
      </c>
      <c r="X41" s="222" t="e">
        <f t="shared" si="3"/>
        <v>#REF!</v>
      </c>
      <c r="Y41" s="271"/>
      <c r="Z41" s="173"/>
      <c r="AA41" s="173"/>
      <c r="AB41" s="75" t="e">
        <f t="shared" si="4"/>
        <v>#REF!</v>
      </c>
      <c r="AC41" s="216" t="e">
        <f t="shared" si="20"/>
        <v>#REF!</v>
      </c>
      <c r="AD41" s="216" t="e">
        <f>+T41</f>
        <v>#REF!</v>
      </c>
      <c r="AE41" s="307"/>
    </row>
    <row r="42" spans="1:31" s="29" customFormat="1" ht="31.5" customHeight="1">
      <c r="A42" s="63">
        <f t="shared" si="7"/>
        <v>29</v>
      </c>
      <c r="B42" s="276"/>
      <c r="C42" s="48" t="s">
        <v>53</v>
      </c>
      <c r="D42" s="49" t="e">
        <f>+#REF!</f>
        <v>#REF!</v>
      </c>
      <c r="E42" s="49" t="e">
        <f>+#REF!</f>
        <v>#REF!</v>
      </c>
      <c r="F42" s="49" t="s">
        <v>105</v>
      </c>
      <c r="G42" s="142" t="e">
        <f>+'TH LÚN'!E42</f>
        <v>#REF!</v>
      </c>
      <c r="H42" s="69">
        <f>+H41</f>
        <v>1850</v>
      </c>
      <c r="I42" s="71">
        <f>+I41</f>
        <v>86</v>
      </c>
      <c r="J42" s="71">
        <f>5.79-0.86</f>
        <v>4.93</v>
      </c>
      <c r="K42" s="71">
        <f>5.79-0.56</f>
        <v>5.23</v>
      </c>
      <c r="L42" s="71">
        <f>5.79-0.18</f>
        <v>5.61</v>
      </c>
      <c r="M42" s="70">
        <f>5.79-2.05</f>
        <v>3.74</v>
      </c>
      <c r="N42" s="70"/>
      <c r="O42" s="70">
        <f t="shared" si="1"/>
        <v>4.93</v>
      </c>
      <c r="P42" s="73">
        <f>+P41</f>
        <v>9.5</v>
      </c>
      <c r="Q42" s="73">
        <f>+Q41</f>
        <v>94.5</v>
      </c>
      <c r="R42" s="221" t="e">
        <f>IF(F42="","",G42-F42)</f>
        <v>#REF!</v>
      </c>
      <c r="S42" s="139" t="e">
        <f>+'TH LÚN'!Y42</f>
        <v>#REF!</v>
      </c>
      <c r="T42" s="139" t="e">
        <f>+'TH LÚN'!Z42</f>
        <v>#REF!</v>
      </c>
      <c r="U42" s="139" t="e">
        <f>+'TH LÚN'!AA42</f>
        <v>#REF!</v>
      </c>
      <c r="V42" s="52" t="e">
        <f>+'TH LÚN'!AF42-$AC$11</f>
        <v>#REF!</v>
      </c>
      <c r="W42" s="52" t="e">
        <f>+#REF!</f>
        <v>#REF!</v>
      </c>
      <c r="X42" s="222" t="e">
        <f t="shared" si="3"/>
        <v>#REF!</v>
      </c>
      <c r="Y42" s="272"/>
      <c r="Z42" s="173"/>
      <c r="AA42" s="173"/>
      <c r="AB42" s="75" t="e">
        <f t="shared" si="4"/>
        <v>#REF!</v>
      </c>
      <c r="AC42" s="216" t="e">
        <f t="shared" si="20"/>
        <v>#REF!</v>
      </c>
      <c r="AD42" s="216" t="e">
        <f>+T42</f>
        <v>#REF!</v>
      </c>
      <c r="AE42" s="307"/>
    </row>
    <row r="43" spans="1:31" s="29" customFormat="1" ht="31.5" hidden="1" customHeight="1">
      <c r="A43" s="63">
        <f t="shared" si="7"/>
        <v>30</v>
      </c>
      <c r="B43" s="214" t="s">
        <v>54</v>
      </c>
      <c r="C43" s="48" t="s">
        <v>55</v>
      </c>
      <c r="D43" s="49"/>
      <c r="E43" s="49"/>
      <c r="F43" s="49"/>
      <c r="G43" s="142"/>
      <c r="H43" s="69"/>
      <c r="I43" s="71"/>
      <c r="J43" s="71"/>
      <c r="K43" s="71"/>
      <c r="L43" s="71"/>
      <c r="M43" s="70"/>
      <c r="N43" s="70"/>
      <c r="O43" s="70">
        <f t="shared" si="1"/>
        <v>0</v>
      </c>
      <c r="P43" s="73"/>
      <c r="Q43" s="73"/>
      <c r="R43" s="67" t="str">
        <f t="shared" si="8"/>
        <v/>
      </c>
      <c r="S43" s="139"/>
      <c r="T43" s="139"/>
      <c r="U43" s="139"/>
      <c r="V43" s="52">
        <f>+'TH LÚN'!AF43-$AC$11</f>
        <v>0</v>
      </c>
      <c r="W43" s="52"/>
      <c r="X43" s="222" t="e">
        <f t="shared" si="3"/>
        <v>#DIV/0!</v>
      </c>
      <c r="Y43" s="223"/>
      <c r="Z43" s="175"/>
      <c r="AA43" s="175"/>
      <c r="AB43" s="75">
        <f t="shared" si="4"/>
        <v>0</v>
      </c>
      <c r="AC43" s="4" t="s">
        <v>65</v>
      </c>
      <c r="AD43" s="216">
        <f t="shared" si="16"/>
        <v>0</v>
      </c>
      <c r="AE43" s="216"/>
    </row>
    <row r="44" spans="1:31" s="29" customFormat="1" ht="31.5" customHeight="1">
      <c r="A44" s="63">
        <f t="shared" si="7"/>
        <v>31</v>
      </c>
      <c r="B44" s="274" t="s">
        <v>56</v>
      </c>
      <c r="C44" s="48" t="s">
        <v>57</v>
      </c>
      <c r="D44" s="49" t="e">
        <f>+#REF!</f>
        <v>#REF!</v>
      </c>
      <c r="E44" s="49" t="e">
        <f>+#REF!</f>
        <v>#REF!</v>
      </c>
      <c r="F44" s="49">
        <v>45657</v>
      </c>
      <c r="G44" s="142" t="e">
        <f>+'TH LÚN'!E44</f>
        <v>#REF!</v>
      </c>
      <c r="H44" s="69">
        <f>1.7*1000</f>
        <v>1700</v>
      </c>
      <c r="I44" s="71">
        <v>94</v>
      </c>
      <c r="J44" s="71">
        <f>5.57-0.34</f>
        <v>5.23</v>
      </c>
      <c r="K44" s="71">
        <f>5.57-0.04</f>
        <v>5.53</v>
      </c>
      <c r="L44" s="71">
        <f>5.57-0.04</f>
        <v>5.53</v>
      </c>
      <c r="M44" s="70">
        <f>5.57-1.76</f>
        <v>3.8100000000000005</v>
      </c>
      <c r="N44" s="70"/>
      <c r="O44" s="70">
        <f t="shared" si="1"/>
        <v>5.23</v>
      </c>
      <c r="P44" s="73">
        <v>9</v>
      </c>
      <c r="Q44" s="73">
        <v>93.4</v>
      </c>
      <c r="R44" s="221" t="e">
        <f>IF(F44="","",G44-F44)</f>
        <v>#REF!</v>
      </c>
      <c r="S44" s="139" t="e">
        <f>+'TH LÚN'!Y44</f>
        <v>#REF!</v>
      </c>
      <c r="T44" s="139" t="e">
        <f>+'TH LÚN'!Z44</f>
        <v>#REF!</v>
      </c>
      <c r="U44" s="139" t="e">
        <f>+'TH LÚN'!AA44</f>
        <v>#REF!</v>
      </c>
      <c r="V44" s="52" t="e">
        <f>+'TH LÚN'!AF44-$AC$11</f>
        <v>#REF!</v>
      </c>
      <c r="W44" s="52" t="e">
        <f>+#REF!</f>
        <v>#REF!</v>
      </c>
      <c r="X44" s="222" t="e">
        <f t="shared" si="3"/>
        <v>#REF!</v>
      </c>
      <c r="Y44" s="270" t="e">
        <f>+(X44+X45+X46)/3</f>
        <v>#REF!</v>
      </c>
      <c r="Z44" s="173"/>
      <c r="AA44" s="173"/>
      <c r="AB44" s="75" t="e">
        <f t="shared" si="4"/>
        <v>#REF!</v>
      </c>
      <c r="AC44" s="216" t="e">
        <f t="shared" si="20"/>
        <v>#REF!</v>
      </c>
      <c r="AD44" s="216" t="e">
        <f>+T44</f>
        <v>#REF!</v>
      </c>
      <c r="AE44" s="307" t="e">
        <f>+(AD44+AD45+AD46)/3</f>
        <v>#REF!</v>
      </c>
    </row>
    <row r="45" spans="1:31" s="29" customFormat="1" ht="31.5" customHeight="1">
      <c r="A45" s="63">
        <f t="shared" si="7"/>
        <v>32</v>
      </c>
      <c r="B45" s="275"/>
      <c r="C45" s="48" t="s">
        <v>58</v>
      </c>
      <c r="D45" s="49" t="e">
        <f>+#REF!</f>
        <v>#REF!</v>
      </c>
      <c r="E45" s="49" t="e">
        <f>+#REF!</f>
        <v>#REF!</v>
      </c>
      <c r="F45" s="49">
        <f t="shared" ref="F45:I46" si="22">+F44</f>
        <v>45657</v>
      </c>
      <c r="G45" s="142" t="e">
        <f>+'TH LÚN'!E45</f>
        <v>#REF!</v>
      </c>
      <c r="H45" s="69">
        <f t="shared" si="22"/>
        <v>1700</v>
      </c>
      <c r="I45" s="71">
        <f t="shared" si="22"/>
        <v>94</v>
      </c>
      <c r="J45" s="71">
        <f>5.52-0.53</f>
        <v>4.9899999999999993</v>
      </c>
      <c r="K45" s="71">
        <f>5.52-0.23</f>
        <v>5.2899999999999991</v>
      </c>
      <c r="L45" s="71">
        <f>5.52-0.23</f>
        <v>5.2899999999999991</v>
      </c>
      <c r="M45" s="70">
        <f>5.52-1.76</f>
        <v>3.76</v>
      </c>
      <c r="N45" s="70"/>
      <c r="O45" s="70">
        <f t="shared" si="1"/>
        <v>4.9899999999999993</v>
      </c>
      <c r="P45" s="73">
        <f>+P44</f>
        <v>9</v>
      </c>
      <c r="Q45" s="73">
        <f>+Q44</f>
        <v>93.4</v>
      </c>
      <c r="R45" s="221" t="e">
        <f t="shared" si="8"/>
        <v>#REF!</v>
      </c>
      <c r="S45" s="139" t="e">
        <f>+'TH LÚN'!Y45</f>
        <v>#REF!</v>
      </c>
      <c r="T45" s="139" t="e">
        <f>+'TH LÚN'!Z45</f>
        <v>#REF!</v>
      </c>
      <c r="U45" s="139" t="e">
        <f>+'TH LÚN'!AA45</f>
        <v>#REF!</v>
      </c>
      <c r="V45" s="52" t="e">
        <f>+'TH LÚN'!AF45-$AC$11</f>
        <v>#REF!</v>
      </c>
      <c r="W45" s="52" t="e">
        <f>+#REF!</f>
        <v>#REF!</v>
      </c>
      <c r="X45" s="222" t="e">
        <f t="shared" si="3"/>
        <v>#REF!</v>
      </c>
      <c r="Y45" s="271"/>
      <c r="Z45" s="173"/>
      <c r="AA45" s="173"/>
      <c r="AB45" s="75" t="e">
        <f t="shared" si="4"/>
        <v>#REF!</v>
      </c>
      <c r="AC45" s="216" t="e">
        <f t="shared" si="20"/>
        <v>#REF!</v>
      </c>
      <c r="AD45" s="216" t="e">
        <f t="shared" ref="AD45:AD46" si="23">+T45</f>
        <v>#REF!</v>
      </c>
      <c r="AE45" s="307"/>
    </row>
    <row r="46" spans="1:31" s="29" customFormat="1" ht="31.5" customHeight="1">
      <c r="A46" s="63">
        <f t="shared" si="7"/>
        <v>33</v>
      </c>
      <c r="B46" s="276"/>
      <c r="C46" s="48" t="s">
        <v>59</v>
      </c>
      <c r="D46" s="49" t="e">
        <f>+#REF!</f>
        <v>#REF!</v>
      </c>
      <c r="E46" s="49" t="e">
        <f>+#REF!</f>
        <v>#REF!</v>
      </c>
      <c r="F46" s="49">
        <v>45706</v>
      </c>
      <c r="G46" s="142" t="e">
        <f>+'TH LÚN'!E46</f>
        <v>#REF!</v>
      </c>
      <c r="H46" s="69">
        <f t="shared" si="22"/>
        <v>1700</v>
      </c>
      <c r="I46" s="71">
        <f t="shared" si="22"/>
        <v>94</v>
      </c>
      <c r="J46" s="71">
        <f>5.37-0.52</f>
        <v>4.8499999999999996</v>
      </c>
      <c r="K46" s="71">
        <f>5.37-0.22</f>
        <v>5.15</v>
      </c>
      <c r="L46" s="71">
        <f>5.37-0.22</f>
        <v>5.15</v>
      </c>
      <c r="M46" s="70">
        <f>5.37-1.76</f>
        <v>3.6100000000000003</v>
      </c>
      <c r="N46" s="70"/>
      <c r="O46" s="70">
        <f t="shared" si="1"/>
        <v>4.8499999999999996</v>
      </c>
      <c r="P46" s="73">
        <f>+P45</f>
        <v>9</v>
      </c>
      <c r="Q46" s="73">
        <f>+Q45</f>
        <v>93.4</v>
      </c>
      <c r="R46" s="221" t="e">
        <f t="shared" si="8"/>
        <v>#REF!</v>
      </c>
      <c r="S46" s="139" t="e">
        <f>+'TH LÚN'!Y46</f>
        <v>#REF!</v>
      </c>
      <c r="T46" s="139" t="e">
        <f>+'TH LÚN'!Z46</f>
        <v>#REF!</v>
      </c>
      <c r="U46" s="139" t="e">
        <f>+'TH LÚN'!AA46</f>
        <v>#REF!</v>
      </c>
      <c r="V46" s="52" t="e">
        <f>+'TH LÚN'!AF46-$AC$11</f>
        <v>#REF!</v>
      </c>
      <c r="W46" s="52" t="e">
        <f>+#REF!</f>
        <v>#REF!</v>
      </c>
      <c r="X46" s="222" t="e">
        <f t="shared" si="3"/>
        <v>#REF!</v>
      </c>
      <c r="Y46" s="272"/>
      <c r="Z46" s="173"/>
      <c r="AA46" s="173"/>
      <c r="AB46" s="75" t="e">
        <f t="shared" si="4"/>
        <v>#REF!</v>
      </c>
      <c r="AC46" s="216" t="e">
        <f t="shared" si="20"/>
        <v>#REF!</v>
      </c>
      <c r="AD46" s="216" t="e">
        <f t="shared" si="23"/>
        <v>#REF!</v>
      </c>
      <c r="AE46" s="307"/>
    </row>
    <row r="47" spans="1:31" s="29" customFormat="1" ht="26.25" hidden="1" customHeight="1">
      <c r="A47" s="63">
        <f t="shared" si="7"/>
        <v>34</v>
      </c>
      <c r="B47" s="214" t="s">
        <v>60</v>
      </c>
      <c r="C47" s="48" t="s">
        <v>61</v>
      </c>
      <c r="D47" s="49"/>
      <c r="E47" s="49"/>
      <c r="F47" s="49"/>
      <c r="G47" s="142"/>
      <c r="H47" s="69"/>
      <c r="I47" s="71"/>
      <c r="J47" s="71"/>
      <c r="K47" s="71"/>
      <c r="L47" s="71"/>
      <c r="M47" s="70"/>
      <c r="N47" s="70"/>
      <c r="O47" s="70">
        <f t="shared" si="1"/>
        <v>0</v>
      </c>
      <c r="P47" s="73"/>
      <c r="Q47" s="54"/>
      <c r="R47" s="67"/>
      <c r="S47" s="139"/>
      <c r="T47" s="139"/>
      <c r="U47" s="139"/>
      <c r="V47" s="52">
        <f>+'TH LÚN'!AF47-$AC$11</f>
        <v>0</v>
      </c>
      <c r="W47" s="52"/>
      <c r="X47" s="222" t="e">
        <f t="shared" si="3"/>
        <v>#DIV/0!</v>
      </c>
      <c r="Y47" s="223"/>
      <c r="Z47" s="175"/>
      <c r="AA47" s="175"/>
      <c r="AB47" s="75">
        <f t="shared" si="4"/>
        <v>0</v>
      </c>
      <c r="AC47" s="4" t="str">
        <f>+AC43</f>
        <v>CDM</v>
      </c>
      <c r="AD47" s="216">
        <f t="shared" si="16"/>
        <v>0</v>
      </c>
      <c r="AE47" s="216"/>
    </row>
    <row r="48" spans="1:31" s="29" customFormat="1" ht="31.5" customHeight="1">
      <c r="A48" s="63">
        <f>+A46+1</f>
        <v>34</v>
      </c>
      <c r="B48" s="279" t="s">
        <v>42</v>
      </c>
      <c r="C48" s="48" t="e">
        <f>+#REF!</f>
        <v>#REF!</v>
      </c>
      <c r="D48" s="49" t="e">
        <f>+#REF!</f>
        <v>#REF!</v>
      </c>
      <c r="E48" s="49" t="e">
        <f>+#REF!</f>
        <v>#REF!</v>
      </c>
      <c r="F48" s="49">
        <v>45721</v>
      </c>
      <c r="G48" s="142" t="e">
        <f>+'TH LÚN'!E48</f>
        <v>#REF!</v>
      </c>
      <c r="H48" s="69">
        <f>1.63*1000</f>
        <v>1630</v>
      </c>
      <c r="I48" s="71">
        <v>90</v>
      </c>
      <c r="J48" s="71">
        <f>5.1-1.19</f>
        <v>3.9099999999999997</v>
      </c>
      <c r="K48" s="71">
        <f>5.1-1.19</f>
        <v>3.9099999999999997</v>
      </c>
      <c r="L48" s="71">
        <f>5.1+0.035</f>
        <v>5.1349999999999998</v>
      </c>
      <c r="M48" s="70">
        <f>5.1-1.79</f>
        <v>3.3099999999999996</v>
      </c>
      <c r="N48" s="70"/>
      <c r="O48" s="70">
        <f t="shared" si="1"/>
        <v>3.9099999999999997</v>
      </c>
      <c r="P48" s="73">
        <v>9</v>
      </c>
      <c r="Q48" s="73">
        <v>93.3</v>
      </c>
      <c r="R48" s="221" t="e">
        <f t="shared" si="8"/>
        <v>#REF!</v>
      </c>
      <c r="S48" s="139" t="e">
        <f>+'TH LÚN'!Y48</f>
        <v>#REF!</v>
      </c>
      <c r="T48" s="139" t="e">
        <f>+'TH LÚN'!Z48</f>
        <v>#REF!</v>
      </c>
      <c r="U48" s="139" t="e">
        <f>+'TH LÚN'!AA48</f>
        <v>#REF!</v>
      </c>
      <c r="V48" s="52" t="e">
        <f>+'TH LÚN'!AF48-$AC$11</f>
        <v>#REF!</v>
      </c>
      <c r="W48" s="52" t="e">
        <f>+#REF!</f>
        <v>#REF!</v>
      </c>
      <c r="X48" s="222" t="e">
        <f t="shared" si="3"/>
        <v>#REF!</v>
      </c>
      <c r="Y48" s="270" t="e">
        <f>+(X48+X49+X50+X51)/4</f>
        <v>#REF!</v>
      </c>
      <c r="Z48" s="173"/>
      <c r="AA48" s="173"/>
      <c r="AB48" s="75" t="e">
        <f t="shared" si="4"/>
        <v>#REF!</v>
      </c>
      <c r="AC48" s="216" t="e">
        <f t="shared" si="20"/>
        <v>#REF!</v>
      </c>
      <c r="AD48" s="216" t="e">
        <f>+T48</f>
        <v>#REF!</v>
      </c>
      <c r="AE48" s="307" t="e">
        <f>+(AD48+AD49+AD50+AD51)/4</f>
        <v>#REF!</v>
      </c>
    </row>
    <row r="49" spans="1:36" s="29" customFormat="1" ht="31.5" customHeight="1">
      <c r="A49" s="63">
        <f t="shared" si="7"/>
        <v>35</v>
      </c>
      <c r="B49" s="280"/>
      <c r="C49" s="48" t="e">
        <f>+#REF!</f>
        <v>#REF!</v>
      </c>
      <c r="D49" s="49" t="e">
        <f>+#REF!</f>
        <v>#REF!</v>
      </c>
      <c r="E49" s="49" t="e">
        <f>+#REF!</f>
        <v>#REF!</v>
      </c>
      <c r="F49" s="49">
        <v>45706</v>
      </c>
      <c r="G49" s="142" t="e">
        <f>+'TH LÚN'!E49</f>
        <v>#REF!</v>
      </c>
      <c r="H49" s="69">
        <f t="shared" ref="H49:I51" si="24">+H48</f>
        <v>1630</v>
      </c>
      <c r="I49" s="71">
        <f t="shared" si="24"/>
        <v>90</v>
      </c>
      <c r="J49" s="71">
        <f>4.9-0.337</f>
        <v>4.5630000000000006</v>
      </c>
      <c r="K49" s="71">
        <f>4.9-0.037</f>
        <v>4.8630000000000004</v>
      </c>
      <c r="L49" s="71">
        <f>4.9-0.037</f>
        <v>4.8630000000000004</v>
      </c>
      <c r="M49" s="70">
        <f>4.9-1.79</f>
        <v>3.1100000000000003</v>
      </c>
      <c r="N49" s="70"/>
      <c r="O49" s="70">
        <f t="shared" si="1"/>
        <v>4.5630000000000006</v>
      </c>
      <c r="P49" s="73">
        <f t="shared" ref="P49:Q51" si="25">+P48</f>
        <v>9</v>
      </c>
      <c r="Q49" s="73">
        <f t="shared" si="25"/>
        <v>93.3</v>
      </c>
      <c r="R49" s="67" t="e">
        <f t="shared" si="8"/>
        <v>#REF!</v>
      </c>
      <c r="S49" s="139" t="e">
        <f>+'TH LÚN'!Y49</f>
        <v>#REF!</v>
      </c>
      <c r="T49" s="139" t="e">
        <f>+'TH LÚN'!Z49</f>
        <v>#REF!</v>
      </c>
      <c r="U49" s="139" t="e">
        <f>+'TH LÚN'!AA49</f>
        <v>#REF!</v>
      </c>
      <c r="V49" s="52" t="e">
        <f>+'TH LÚN'!AF49-$AC$11</f>
        <v>#REF!</v>
      </c>
      <c r="W49" s="52" t="e">
        <f>+#REF!</f>
        <v>#REF!</v>
      </c>
      <c r="X49" s="222" t="e">
        <f t="shared" si="3"/>
        <v>#REF!</v>
      </c>
      <c r="Y49" s="271"/>
      <c r="Z49" s="173"/>
      <c r="AA49" s="173"/>
      <c r="AB49" s="75" t="e">
        <f t="shared" si="4"/>
        <v>#REF!</v>
      </c>
      <c r="AC49" s="216" t="e">
        <f t="shared" si="20"/>
        <v>#REF!</v>
      </c>
      <c r="AD49" s="216" t="e">
        <f t="shared" ref="AD49:AD51" si="26">+T49</f>
        <v>#REF!</v>
      </c>
      <c r="AE49" s="307"/>
    </row>
    <row r="50" spans="1:36" s="29" customFormat="1" ht="31.5" customHeight="1">
      <c r="A50" s="63">
        <f t="shared" si="7"/>
        <v>36</v>
      </c>
      <c r="B50" s="280"/>
      <c r="C50" s="48" t="e">
        <f>+#REF!</f>
        <v>#REF!</v>
      </c>
      <c r="D50" s="49" t="e">
        <f>+#REF!</f>
        <v>#REF!</v>
      </c>
      <c r="E50" s="49" t="e">
        <f>+#REF!</f>
        <v>#REF!</v>
      </c>
      <c r="F50" s="49">
        <f>+F48</f>
        <v>45721</v>
      </c>
      <c r="G50" s="142" t="e">
        <f>+'TH LÚN'!E50</f>
        <v>#REF!</v>
      </c>
      <c r="H50" s="69">
        <f t="shared" si="24"/>
        <v>1630</v>
      </c>
      <c r="I50" s="71">
        <f t="shared" si="24"/>
        <v>90</v>
      </c>
      <c r="J50" s="71">
        <f>4.69-0.315</f>
        <v>4.375</v>
      </c>
      <c r="K50" s="71">
        <f>4.69-0.015</f>
        <v>4.6750000000000007</v>
      </c>
      <c r="L50" s="71">
        <f>4.69-0.015</f>
        <v>4.6750000000000007</v>
      </c>
      <c r="M50" s="70">
        <f>4.69-1.79</f>
        <v>2.9000000000000004</v>
      </c>
      <c r="N50" s="70"/>
      <c r="O50" s="70">
        <f t="shared" si="1"/>
        <v>4.375</v>
      </c>
      <c r="P50" s="73">
        <f t="shared" si="25"/>
        <v>9</v>
      </c>
      <c r="Q50" s="73">
        <f t="shared" si="25"/>
        <v>93.3</v>
      </c>
      <c r="R50" s="221" t="e">
        <f t="shared" si="8"/>
        <v>#REF!</v>
      </c>
      <c r="S50" s="139" t="e">
        <f>+'TH LÚN'!Y50</f>
        <v>#REF!</v>
      </c>
      <c r="T50" s="139" t="e">
        <f>+'TH LÚN'!Z50</f>
        <v>#REF!</v>
      </c>
      <c r="U50" s="139" t="e">
        <f>+'TH LÚN'!AA50</f>
        <v>#REF!</v>
      </c>
      <c r="V50" s="52" t="e">
        <f>+'TH LÚN'!AF50-$AC$11</f>
        <v>#REF!</v>
      </c>
      <c r="W50" s="52" t="e">
        <f>+#REF!</f>
        <v>#REF!</v>
      </c>
      <c r="X50" s="222" t="e">
        <f t="shared" si="3"/>
        <v>#REF!</v>
      </c>
      <c r="Y50" s="271"/>
      <c r="Z50" s="173"/>
      <c r="AA50" s="173"/>
      <c r="AB50" s="75" t="e">
        <f t="shared" si="4"/>
        <v>#REF!</v>
      </c>
      <c r="AC50" s="216" t="e">
        <f t="shared" si="20"/>
        <v>#REF!</v>
      </c>
      <c r="AD50" s="216" t="e">
        <f t="shared" si="26"/>
        <v>#REF!</v>
      </c>
      <c r="AE50" s="307"/>
    </row>
    <row r="51" spans="1:36" s="29" customFormat="1" ht="31.5" customHeight="1">
      <c r="A51" s="63">
        <f t="shared" si="7"/>
        <v>37</v>
      </c>
      <c r="B51" s="281"/>
      <c r="C51" s="48" t="e">
        <f>+#REF!</f>
        <v>#REF!</v>
      </c>
      <c r="D51" s="49" t="e">
        <f>+#REF!</f>
        <v>#REF!</v>
      </c>
      <c r="E51" s="49" t="e">
        <f>+#REF!</f>
        <v>#REF!</v>
      </c>
      <c r="F51" s="49">
        <f>+F50</f>
        <v>45721</v>
      </c>
      <c r="G51" s="142" t="e">
        <f>+'TH LÚN'!E51</f>
        <v>#REF!</v>
      </c>
      <c r="H51" s="69">
        <f t="shared" si="24"/>
        <v>1630</v>
      </c>
      <c r="I51" s="71">
        <f t="shared" si="24"/>
        <v>90</v>
      </c>
      <c r="J51" s="71">
        <f>4.77-0.308</f>
        <v>4.4619999999999997</v>
      </c>
      <c r="K51" s="71">
        <f>4.77+0.008</f>
        <v>4.7779999999999996</v>
      </c>
      <c r="L51" s="71">
        <f>4.77+0.008</f>
        <v>4.7779999999999996</v>
      </c>
      <c r="M51" s="70">
        <f>4.77-1.39</f>
        <v>3.38</v>
      </c>
      <c r="N51" s="70"/>
      <c r="O51" s="70">
        <f t="shared" si="1"/>
        <v>4.4619999999999997</v>
      </c>
      <c r="P51" s="73">
        <f t="shared" si="25"/>
        <v>9</v>
      </c>
      <c r="Q51" s="73">
        <f t="shared" si="25"/>
        <v>93.3</v>
      </c>
      <c r="R51" s="221" t="e">
        <f t="shared" si="8"/>
        <v>#REF!</v>
      </c>
      <c r="S51" s="139" t="e">
        <f>+'TH LÚN'!Y51</f>
        <v>#REF!</v>
      </c>
      <c r="T51" s="139" t="e">
        <f>+'TH LÚN'!Z51</f>
        <v>#REF!</v>
      </c>
      <c r="U51" s="139" t="e">
        <f>+'TH LÚN'!AA51</f>
        <v>#REF!</v>
      </c>
      <c r="V51" s="52" t="e">
        <f>+'TH LÚN'!AF51-$AC$11</f>
        <v>#REF!</v>
      </c>
      <c r="W51" s="52" t="e">
        <f>+#REF!</f>
        <v>#REF!</v>
      </c>
      <c r="X51" s="222" t="e">
        <f t="shared" si="3"/>
        <v>#REF!</v>
      </c>
      <c r="Y51" s="272"/>
      <c r="Z51" s="173"/>
      <c r="AA51" s="173"/>
      <c r="AB51" s="75" t="e">
        <f t="shared" si="4"/>
        <v>#REF!</v>
      </c>
      <c r="AC51" s="216" t="e">
        <f t="shared" si="20"/>
        <v>#REF!</v>
      </c>
      <c r="AD51" s="216" t="e">
        <f t="shared" si="26"/>
        <v>#REF!</v>
      </c>
      <c r="AE51" s="307"/>
    </row>
    <row r="52" spans="1:36" s="29" customFormat="1" ht="31.5" customHeight="1">
      <c r="A52" s="63">
        <f t="shared" si="7"/>
        <v>38</v>
      </c>
      <c r="B52" s="274" t="e">
        <f>+#REF!</f>
        <v>#REF!</v>
      </c>
      <c r="C52" s="48" t="e">
        <f>+#REF!</f>
        <v>#REF!</v>
      </c>
      <c r="D52" s="49" t="e">
        <f>+#REF!</f>
        <v>#REF!</v>
      </c>
      <c r="E52" s="49" t="e">
        <f>+#REF!</f>
        <v>#REF!</v>
      </c>
      <c r="F52" s="49">
        <v>45631</v>
      </c>
      <c r="G52" s="142" t="e">
        <f>+'TH LÚN'!E52</f>
        <v>#REF!</v>
      </c>
      <c r="H52" s="69">
        <f>1.37*1000</f>
        <v>1370</v>
      </c>
      <c r="I52" s="71">
        <v>109</v>
      </c>
      <c r="J52" s="71">
        <f>4.59-0.3</f>
        <v>4.29</v>
      </c>
      <c r="K52" s="71">
        <f>4.59-0</f>
        <v>4.59</v>
      </c>
      <c r="L52" s="71">
        <f>4.59+0.028</f>
        <v>4.6179999999999994</v>
      </c>
      <c r="M52" s="70">
        <f>4.59-1.39</f>
        <v>3.2</v>
      </c>
      <c r="N52" s="70"/>
      <c r="O52" s="70">
        <f t="shared" si="1"/>
        <v>4.29</v>
      </c>
      <c r="P52" s="73">
        <v>7</v>
      </c>
      <c r="Q52" s="73">
        <v>90.4</v>
      </c>
      <c r="R52" s="67" t="e">
        <f t="shared" si="8"/>
        <v>#REF!</v>
      </c>
      <c r="S52" s="139" t="e">
        <f>+'TH LÚN'!Y52</f>
        <v>#REF!</v>
      </c>
      <c r="T52" s="139" t="e">
        <f>+'TH LÚN'!Z52</f>
        <v>#REF!</v>
      </c>
      <c r="U52" s="139" t="e">
        <f>+'TH LÚN'!AA52</f>
        <v>#REF!</v>
      </c>
      <c r="V52" s="52" t="e">
        <f>+'TH LÚN'!AF52-$AC$11</f>
        <v>#REF!</v>
      </c>
      <c r="W52" s="52" t="e">
        <f>+#REF!</f>
        <v>#REF!</v>
      </c>
      <c r="X52" s="222" t="e">
        <f t="shared" si="3"/>
        <v>#REF!</v>
      </c>
      <c r="Y52" s="270" t="e">
        <f>+(X52+X53)/2</f>
        <v>#REF!</v>
      </c>
      <c r="Z52" s="173"/>
      <c r="AA52" s="173"/>
      <c r="AB52" s="75" t="e">
        <f t="shared" si="4"/>
        <v>#REF!</v>
      </c>
      <c r="AC52" s="216" t="e">
        <f t="shared" si="20"/>
        <v>#REF!</v>
      </c>
      <c r="AD52" s="216" t="e">
        <f>+T52</f>
        <v>#REF!</v>
      </c>
      <c r="AE52" s="307" t="e">
        <f>+(AD52+AD53)/2</f>
        <v>#REF!</v>
      </c>
    </row>
    <row r="53" spans="1:36" s="29" customFormat="1" ht="31.5" customHeight="1">
      <c r="A53" s="63">
        <f t="shared" si="7"/>
        <v>39</v>
      </c>
      <c r="B53" s="276"/>
      <c r="C53" s="48" t="e">
        <f>+#REF!</f>
        <v>#REF!</v>
      </c>
      <c r="D53" s="49" t="e">
        <f>+#REF!</f>
        <v>#REF!</v>
      </c>
      <c r="E53" s="49" t="e">
        <f>+#REF!</f>
        <v>#REF!</v>
      </c>
      <c r="F53" s="49">
        <f t="shared" ref="F53:F56" si="27">+F52</f>
        <v>45631</v>
      </c>
      <c r="G53" s="142" t="e">
        <f>+'TH LÚN'!E53</f>
        <v>#REF!</v>
      </c>
      <c r="H53" s="69">
        <f>+H52</f>
        <v>1370</v>
      </c>
      <c r="I53" s="71">
        <v>109</v>
      </c>
      <c r="J53" s="71">
        <f>4.65-0.316</f>
        <v>4.3340000000000005</v>
      </c>
      <c r="K53" s="71">
        <f>4.65-0.015</f>
        <v>4.6350000000000007</v>
      </c>
      <c r="L53" s="71">
        <f>4.65+0.024</f>
        <v>4.6740000000000004</v>
      </c>
      <c r="M53" s="70">
        <f>4.65-1.39</f>
        <v>3.2600000000000007</v>
      </c>
      <c r="N53" s="70"/>
      <c r="O53" s="70">
        <f t="shared" si="1"/>
        <v>4.3340000000000005</v>
      </c>
      <c r="P53" s="73">
        <f>+P52</f>
        <v>7</v>
      </c>
      <c r="Q53" s="73">
        <f>+Q52</f>
        <v>90.4</v>
      </c>
      <c r="R53" s="67" t="e">
        <f t="shared" si="8"/>
        <v>#REF!</v>
      </c>
      <c r="S53" s="139" t="e">
        <f>+'TH LÚN'!Y53</f>
        <v>#REF!</v>
      </c>
      <c r="T53" s="139" t="e">
        <f>+'TH LÚN'!Z53</f>
        <v>#REF!</v>
      </c>
      <c r="U53" s="139" t="e">
        <f>+'TH LÚN'!AA53</f>
        <v>#REF!</v>
      </c>
      <c r="V53" s="52" t="e">
        <f>+'TH LÚN'!AF53-$AC$11</f>
        <v>#REF!</v>
      </c>
      <c r="W53" s="52" t="e">
        <f>+#REF!</f>
        <v>#REF!</v>
      </c>
      <c r="X53" s="222" t="e">
        <f t="shared" si="3"/>
        <v>#REF!</v>
      </c>
      <c r="Y53" s="272"/>
      <c r="Z53" s="173"/>
      <c r="AA53" s="173"/>
      <c r="AB53" s="75" t="e">
        <f t="shared" si="4"/>
        <v>#REF!</v>
      </c>
      <c r="AC53" s="216" t="e">
        <f t="shared" si="20"/>
        <v>#REF!</v>
      </c>
      <c r="AD53" s="216" t="e">
        <f>+T53</f>
        <v>#REF!</v>
      </c>
      <c r="AE53" s="307"/>
    </row>
    <row r="54" spans="1:36" s="29" customFormat="1" ht="31.5" customHeight="1">
      <c r="A54" s="63">
        <f t="shared" si="7"/>
        <v>40</v>
      </c>
      <c r="B54" s="48" t="e">
        <f>+#REF!</f>
        <v>#REF!</v>
      </c>
      <c r="C54" s="48" t="e">
        <f>+#REF!</f>
        <v>#REF!</v>
      </c>
      <c r="D54" s="49" t="e">
        <f>+#REF!</f>
        <v>#REF!</v>
      </c>
      <c r="E54" s="49" t="e">
        <f>+#REF!</f>
        <v>#REF!</v>
      </c>
      <c r="F54" s="49" t="str">
        <f>+F55</f>
        <v>Đang thực hiện</v>
      </c>
      <c r="G54" s="142" t="e">
        <f>+'TH LÚN'!E54</f>
        <v>#REF!</v>
      </c>
      <c r="H54" s="69">
        <v>2030</v>
      </c>
      <c r="I54" s="71">
        <v>66</v>
      </c>
      <c r="J54" s="71">
        <f>4.41-0.72</f>
        <v>3.6900000000000004</v>
      </c>
      <c r="K54" s="71">
        <f>4.41-0.42</f>
        <v>3.99</v>
      </c>
      <c r="L54" s="71">
        <f>4.41+0.78</f>
        <v>5.19</v>
      </c>
      <c r="M54" s="70">
        <f>4.41-2.11</f>
        <v>2.3000000000000003</v>
      </c>
      <c r="N54" s="70">
        <f>7.54-4.41</f>
        <v>3.13</v>
      </c>
      <c r="O54" s="70">
        <f t="shared" si="1"/>
        <v>6.82</v>
      </c>
      <c r="P54" s="85" t="s">
        <v>107</v>
      </c>
      <c r="Q54" s="73">
        <v>96.1</v>
      </c>
      <c r="R54" s="221" t="e">
        <f t="shared" si="8"/>
        <v>#REF!</v>
      </c>
      <c r="S54" s="139" t="e">
        <f>+'TH LÚN'!Y54</f>
        <v>#REF!</v>
      </c>
      <c r="T54" s="139" t="e">
        <f>+'TH LÚN'!Z54</f>
        <v>#REF!</v>
      </c>
      <c r="U54" s="139" t="e">
        <f>+'TH LÚN'!AA54</f>
        <v>#REF!</v>
      </c>
      <c r="V54" s="52" t="e">
        <f>+'TH LÚN'!AF54-$AC$11</f>
        <v>#REF!</v>
      </c>
      <c r="W54" s="52" t="e">
        <f>+#REF!</f>
        <v>#REF!</v>
      </c>
      <c r="X54" s="222" t="e">
        <f t="shared" si="3"/>
        <v>#REF!</v>
      </c>
      <c r="Y54" s="222" t="e">
        <f>+X54</f>
        <v>#REF!</v>
      </c>
      <c r="Z54" s="173"/>
      <c r="AA54" s="173"/>
      <c r="AB54" s="75" t="e">
        <f t="shared" si="4"/>
        <v>#REF!</v>
      </c>
      <c r="AC54" s="216" t="e">
        <f t="shared" si="20"/>
        <v>#REF!</v>
      </c>
      <c r="AD54" s="216" t="e">
        <f t="shared" si="16"/>
        <v>#REF!</v>
      </c>
      <c r="AE54" s="216" t="e">
        <f>+AD54</f>
        <v>#REF!</v>
      </c>
    </row>
    <row r="55" spans="1:36" s="29" customFormat="1" ht="31.5" customHeight="1">
      <c r="A55" s="208">
        <f t="shared" si="7"/>
        <v>41</v>
      </c>
      <c r="B55" s="76"/>
      <c r="C55" s="76" t="e">
        <f>+#REF!</f>
        <v>#REF!</v>
      </c>
      <c r="D55" s="77" t="e">
        <f>+#REF!</f>
        <v>#REF!</v>
      </c>
      <c r="E55" s="77" t="e">
        <f>+#REF!</f>
        <v>#REF!</v>
      </c>
      <c r="F55" s="77" t="s">
        <v>105</v>
      </c>
      <c r="G55" s="226" t="e">
        <f>+'TH LÚN'!E55</f>
        <v>#REF!</v>
      </c>
      <c r="H55" s="210">
        <v>2080</v>
      </c>
      <c r="I55" s="212">
        <v>83</v>
      </c>
      <c r="J55" s="212">
        <f>3.81-1.17</f>
        <v>2.64</v>
      </c>
      <c r="K55" s="212">
        <f>3.81-0.87</f>
        <v>2.94</v>
      </c>
      <c r="L55" s="212">
        <f>3.81+0.52</f>
        <v>4.33</v>
      </c>
      <c r="M55" s="209">
        <f>3.81-2.01</f>
        <v>1.8000000000000003</v>
      </c>
      <c r="N55" s="209">
        <f>7.22-3.81</f>
        <v>3.4099999999999997</v>
      </c>
      <c r="O55" s="209">
        <f t="shared" si="1"/>
        <v>6.05</v>
      </c>
      <c r="P55" s="227" t="s">
        <v>103</v>
      </c>
      <c r="Q55" s="219">
        <v>95.2</v>
      </c>
      <c r="R55" s="228" t="e">
        <f t="shared" si="8"/>
        <v>#REF!</v>
      </c>
      <c r="S55" s="140" t="e">
        <f>+'TH LÚN'!Y55</f>
        <v>#REF!</v>
      </c>
      <c r="T55" s="140" t="e">
        <f>+'TH LÚN'!Z55</f>
        <v>#REF!</v>
      </c>
      <c r="U55" s="140" t="e">
        <f>+'TH LÚN'!AA55</f>
        <v>#REF!</v>
      </c>
      <c r="V55" s="81" t="e">
        <f>+'TH LÚN'!AF55-$AC$11</f>
        <v>#REF!</v>
      </c>
      <c r="W55" s="81" t="e">
        <f>+#REF!</f>
        <v>#REF!</v>
      </c>
      <c r="X55" s="229" t="e">
        <f t="shared" si="3"/>
        <v>#REF!</v>
      </c>
      <c r="Y55" s="283" t="e">
        <f>+(X55+X56)/2</f>
        <v>#REF!</v>
      </c>
      <c r="Z55" s="173"/>
      <c r="AA55" s="173"/>
      <c r="AB55" s="75" t="e">
        <f t="shared" si="4"/>
        <v>#REF!</v>
      </c>
      <c r="AC55" s="216" t="e">
        <f t="shared" si="20"/>
        <v>#REF!</v>
      </c>
      <c r="AD55" s="216" t="e">
        <f>+T55</f>
        <v>#REF!</v>
      </c>
      <c r="AE55" s="307" t="e">
        <f>+(AD55+AD56)/2</f>
        <v>#REF!</v>
      </c>
    </row>
    <row r="56" spans="1:36" s="29" customFormat="1" ht="31.5" customHeight="1">
      <c r="A56" s="208">
        <f t="shared" si="7"/>
        <v>42</v>
      </c>
      <c r="B56" s="76"/>
      <c r="C56" s="76" t="e">
        <f>+#REF!</f>
        <v>#REF!</v>
      </c>
      <c r="D56" s="77" t="e">
        <f>+#REF!</f>
        <v>#REF!</v>
      </c>
      <c r="E56" s="77" t="e">
        <f>+#REF!</f>
        <v>#REF!</v>
      </c>
      <c r="F56" s="77" t="str">
        <f t="shared" si="27"/>
        <v>Đang thực hiện</v>
      </c>
      <c r="G56" s="226" t="e">
        <f>+'TH LÚN'!E56</f>
        <v>#REF!</v>
      </c>
      <c r="H56" s="210">
        <f>+H55</f>
        <v>2080</v>
      </c>
      <c r="I56" s="212">
        <f>+I55</f>
        <v>83</v>
      </c>
      <c r="J56" s="212">
        <f>3.81-0.36</f>
        <v>3.45</v>
      </c>
      <c r="K56" s="212">
        <f>3.81-0.06</f>
        <v>3.75</v>
      </c>
      <c r="L56" s="212">
        <f>3.81-0.06</f>
        <v>3.75</v>
      </c>
      <c r="M56" s="209">
        <f>3.81-2.01</f>
        <v>1.8000000000000003</v>
      </c>
      <c r="N56" s="209">
        <f>6.14-3.81</f>
        <v>2.3299999999999996</v>
      </c>
      <c r="O56" s="209">
        <f t="shared" si="1"/>
        <v>5.7799999999999994</v>
      </c>
      <c r="P56" s="79" t="str">
        <f>+P55</f>
        <v>1.5+7.5</v>
      </c>
      <c r="Q56" s="219">
        <f>+Q55</f>
        <v>95.2</v>
      </c>
      <c r="R56" s="228" t="e">
        <f t="shared" si="8"/>
        <v>#REF!</v>
      </c>
      <c r="S56" s="140" t="e">
        <f>+'TH LÚN'!Y56</f>
        <v>#REF!</v>
      </c>
      <c r="T56" s="140" t="e">
        <f>+'TH LÚN'!Z56</f>
        <v>#REF!</v>
      </c>
      <c r="U56" s="140" t="e">
        <f>+'TH LÚN'!AA56</f>
        <v>#REF!</v>
      </c>
      <c r="V56" s="81" t="e">
        <f>+'TH LÚN'!AF56-$AC$11</f>
        <v>#REF!</v>
      </c>
      <c r="W56" s="81" t="e">
        <f>+#REF!</f>
        <v>#REF!</v>
      </c>
      <c r="X56" s="229" t="e">
        <f t="shared" si="3"/>
        <v>#REF!</v>
      </c>
      <c r="Y56" s="284"/>
      <c r="Z56" s="173"/>
      <c r="AA56" s="173"/>
      <c r="AB56" s="75" t="e">
        <f t="shared" si="4"/>
        <v>#REF!</v>
      </c>
      <c r="AC56" s="216" t="e">
        <f t="shared" si="20"/>
        <v>#REF!</v>
      </c>
      <c r="AD56" s="216" t="e">
        <f>+T56</f>
        <v>#REF!</v>
      </c>
      <c r="AE56" s="307"/>
    </row>
    <row r="57" spans="1:36" s="29" customFormat="1" ht="31.5" customHeight="1">
      <c r="A57" s="63">
        <f t="shared" si="7"/>
        <v>43</v>
      </c>
      <c r="B57" s="48"/>
      <c r="C57" s="48" t="e">
        <f>+#REF!</f>
        <v>#REF!</v>
      </c>
      <c r="D57" s="49" t="e">
        <f>+#REF!</f>
        <v>#REF!</v>
      </c>
      <c r="E57" s="49" t="e">
        <f>+#REF!</f>
        <v>#REF!</v>
      </c>
      <c r="F57" s="49">
        <v>45634</v>
      </c>
      <c r="G57" s="142" t="e">
        <f>+'TH LÚN'!E57</f>
        <v>#REF!</v>
      </c>
      <c r="H57" s="69">
        <v>1710</v>
      </c>
      <c r="I57" s="71">
        <v>94</v>
      </c>
      <c r="J57" s="71">
        <f>5.18-0.28</f>
        <v>4.8999999999999995</v>
      </c>
      <c r="K57" s="71">
        <f>5.18+0.02</f>
        <v>5.1999999999999993</v>
      </c>
      <c r="L57" s="71">
        <f>5.18+0.02</f>
        <v>5.1999999999999993</v>
      </c>
      <c r="M57" s="70">
        <f>5.18-1.76</f>
        <v>3.42</v>
      </c>
      <c r="N57" s="70"/>
      <c r="O57" s="70">
        <f t="shared" si="1"/>
        <v>4.8999999999999995</v>
      </c>
      <c r="P57" s="73">
        <v>9</v>
      </c>
      <c r="Q57" s="73">
        <v>93.4</v>
      </c>
      <c r="R57" s="67" t="e">
        <f t="shared" si="8"/>
        <v>#REF!</v>
      </c>
      <c r="S57" s="139" t="e">
        <f>+'TH LÚN'!Y57</f>
        <v>#REF!</v>
      </c>
      <c r="T57" s="139" t="e">
        <f>+'TH LÚN'!Z57</f>
        <v>#REF!</v>
      </c>
      <c r="U57" s="139" t="e">
        <f>+'TH LÚN'!AA57</f>
        <v>#REF!</v>
      </c>
      <c r="V57" s="52" t="e">
        <f>+'TH LÚN'!AF57-$AC$11</f>
        <v>#REF!</v>
      </c>
      <c r="W57" s="52" t="e">
        <f>+#REF!</f>
        <v>#REF!</v>
      </c>
      <c r="X57" s="222" t="e">
        <f t="shared" si="3"/>
        <v>#REF!</v>
      </c>
      <c r="Y57" s="222" t="e">
        <f>+X57</f>
        <v>#REF!</v>
      </c>
      <c r="Z57" s="173"/>
      <c r="AA57" s="173"/>
      <c r="AB57" s="75" t="e">
        <f t="shared" si="4"/>
        <v>#REF!</v>
      </c>
      <c r="AC57" s="216" t="e">
        <f t="shared" si="20"/>
        <v>#REF!</v>
      </c>
      <c r="AD57" s="216" t="e">
        <f>+T57</f>
        <v>#REF!</v>
      </c>
      <c r="AE57" s="216" t="e">
        <f>+AD57</f>
        <v>#REF!</v>
      </c>
    </row>
    <row r="58" spans="1:36" s="29" customFormat="1" ht="31.5" customHeight="1">
      <c r="A58" s="63">
        <f t="shared" si="7"/>
        <v>44</v>
      </c>
      <c r="B58" s="48"/>
      <c r="C58" s="48" t="e">
        <f>+#REF!</f>
        <v>#REF!</v>
      </c>
      <c r="D58" s="49" t="e">
        <f>+#REF!</f>
        <v>#REF!</v>
      </c>
      <c r="E58" s="49" t="e">
        <f>+#REF!</f>
        <v>#REF!</v>
      </c>
      <c r="F58" s="49" t="str">
        <f>+F60</f>
        <v>Đang thực hiện</v>
      </c>
      <c r="G58" s="142" t="e">
        <f>+'TH LÚN'!E58</f>
        <v>#REF!</v>
      </c>
      <c r="H58" s="69">
        <v>1560</v>
      </c>
      <c r="I58" s="71">
        <v>83</v>
      </c>
      <c r="J58" s="71">
        <f>5.03-0.34</f>
        <v>4.6900000000000004</v>
      </c>
      <c r="K58" s="71">
        <f>5.03-0.04</f>
        <v>4.99</v>
      </c>
      <c r="L58" s="71">
        <f>5.03-0.04</f>
        <v>4.99</v>
      </c>
      <c r="M58" s="70">
        <f>5.03-1.63</f>
        <v>3.4000000000000004</v>
      </c>
      <c r="N58" s="70"/>
      <c r="O58" s="70">
        <f t="shared" si="1"/>
        <v>4.6900000000000004</v>
      </c>
      <c r="P58" s="73">
        <f>+P57</f>
        <v>9</v>
      </c>
      <c r="Q58" s="73">
        <v>93.6</v>
      </c>
      <c r="R58" s="221" t="e">
        <f t="shared" si="8"/>
        <v>#REF!</v>
      </c>
      <c r="S58" s="139" t="e">
        <f>+'TH LÚN'!Y58</f>
        <v>#REF!</v>
      </c>
      <c r="T58" s="139" t="e">
        <f>+'TH LÚN'!Z58</f>
        <v>#REF!</v>
      </c>
      <c r="U58" s="139" t="e">
        <f>+'TH LÚN'!AA58</f>
        <v>#REF!</v>
      </c>
      <c r="V58" s="52" t="e">
        <f>+'TH LÚN'!AF58-$AC$11</f>
        <v>#REF!</v>
      </c>
      <c r="W58" s="52" t="e">
        <f>+#REF!</f>
        <v>#REF!</v>
      </c>
      <c r="X58" s="222" t="e">
        <f t="shared" si="3"/>
        <v>#REF!</v>
      </c>
      <c r="Y58" s="270" t="e">
        <f>+(X58+X59+X60)/3</f>
        <v>#REF!</v>
      </c>
      <c r="Z58" s="173"/>
      <c r="AA58" s="173"/>
      <c r="AB58" s="75" t="e">
        <f t="shared" si="4"/>
        <v>#REF!</v>
      </c>
      <c r="AC58" s="216" t="e">
        <f t="shared" si="20"/>
        <v>#REF!</v>
      </c>
      <c r="AD58" s="216" t="e">
        <f>+T58</f>
        <v>#REF!</v>
      </c>
      <c r="AE58" s="307" t="e">
        <f>+(AD58+AD59+AD60)/3</f>
        <v>#REF!</v>
      </c>
    </row>
    <row r="59" spans="1:36" s="29" customFormat="1" ht="31.5" customHeight="1">
      <c r="A59" s="63">
        <f t="shared" si="7"/>
        <v>45</v>
      </c>
      <c r="B59" s="48"/>
      <c r="C59" s="48" t="e">
        <f>+#REF!</f>
        <v>#REF!</v>
      </c>
      <c r="D59" s="49" t="e">
        <f>+D58</f>
        <v>#REF!</v>
      </c>
      <c r="E59" s="49" t="e">
        <f>+#REF!</f>
        <v>#REF!</v>
      </c>
      <c r="F59" s="49" t="str">
        <f>+F58</f>
        <v>Đang thực hiện</v>
      </c>
      <c r="G59" s="142" t="e">
        <f>+'TH LÚN'!E59</f>
        <v>#REF!</v>
      </c>
      <c r="H59" s="69">
        <f>+H58</f>
        <v>1560</v>
      </c>
      <c r="I59" s="71">
        <f>+I58</f>
        <v>83</v>
      </c>
      <c r="J59" s="71">
        <f>5.03-0.4</f>
        <v>4.63</v>
      </c>
      <c r="K59" s="71">
        <f>5.03-0.1</f>
        <v>4.9300000000000006</v>
      </c>
      <c r="L59" s="71">
        <f>5.03-0.01</f>
        <v>5.0200000000000005</v>
      </c>
      <c r="M59" s="70">
        <f>5.03-1.63</f>
        <v>3.4000000000000004</v>
      </c>
      <c r="N59" s="70"/>
      <c r="O59" s="70">
        <f t="shared" si="1"/>
        <v>4.63</v>
      </c>
      <c r="P59" s="73">
        <f>+P58</f>
        <v>9</v>
      </c>
      <c r="Q59" s="73">
        <f>+Q58</f>
        <v>93.6</v>
      </c>
      <c r="R59" s="221" t="e">
        <f t="shared" si="8"/>
        <v>#REF!</v>
      </c>
      <c r="S59" s="139" t="e">
        <f>+'TH LÚN'!Y59</f>
        <v>#REF!</v>
      </c>
      <c r="T59" s="139" t="e">
        <f>+'TH LÚN'!Z59</f>
        <v>#REF!</v>
      </c>
      <c r="U59" s="139" t="e">
        <f>+'TH LÚN'!AA59</f>
        <v>#REF!</v>
      </c>
      <c r="V59" s="52" t="e">
        <f>+'TH LÚN'!AF59-$AC$11</f>
        <v>#REF!</v>
      </c>
      <c r="W59" s="52" t="e">
        <f>+#REF!</f>
        <v>#REF!</v>
      </c>
      <c r="X59" s="222" t="e">
        <f t="shared" si="3"/>
        <v>#REF!</v>
      </c>
      <c r="Y59" s="271"/>
      <c r="Z59" s="173"/>
      <c r="AA59" s="173"/>
      <c r="AB59" s="75" t="e">
        <f t="shared" si="4"/>
        <v>#REF!</v>
      </c>
      <c r="AC59" s="216" t="e">
        <f t="shared" si="20"/>
        <v>#REF!</v>
      </c>
      <c r="AD59" s="216" t="e">
        <f t="shared" ref="AD59:AD60" si="28">+T59</f>
        <v>#REF!</v>
      </c>
      <c r="AE59" s="307"/>
    </row>
    <row r="60" spans="1:36" s="29" customFormat="1" ht="31.5" customHeight="1">
      <c r="A60" s="63">
        <f t="shared" si="7"/>
        <v>46</v>
      </c>
      <c r="B60" s="48"/>
      <c r="C60" s="48" t="e">
        <f>+#REF!</f>
        <v>#REF!</v>
      </c>
      <c r="D60" s="49" t="e">
        <f>+#REF!</f>
        <v>#REF!</v>
      </c>
      <c r="E60" s="49" t="e">
        <f>+#REF!</f>
        <v>#REF!</v>
      </c>
      <c r="F60" s="49" t="str">
        <f>+F56</f>
        <v>Đang thực hiện</v>
      </c>
      <c r="G60" s="142" t="e">
        <f>+'TH LÚN'!E60</f>
        <v>#REF!</v>
      </c>
      <c r="H60" s="69">
        <f>+H59</f>
        <v>1560</v>
      </c>
      <c r="I60" s="71">
        <f>+I59</f>
        <v>83</v>
      </c>
      <c r="J60" s="71">
        <f>5.03-0.4</f>
        <v>4.63</v>
      </c>
      <c r="K60" s="71">
        <f>5.03-0.1</f>
        <v>4.9300000000000006</v>
      </c>
      <c r="L60" s="71">
        <f>5.03-0.06</f>
        <v>4.9700000000000006</v>
      </c>
      <c r="M60" s="70">
        <f>5.03-1.63</f>
        <v>3.4000000000000004</v>
      </c>
      <c r="N60" s="70"/>
      <c r="O60" s="70">
        <f t="shared" si="1"/>
        <v>4.63</v>
      </c>
      <c r="P60" s="73">
        <f>+P59</f>
        <v>9</v>
      </c>
      <c r="Q60" s="73">
        <f>+Q59</f>
        <v>93.6</v>
      </c>
      <c r="R60" s="221" t="e">
        <f t="shared" si="8"/>
        <v>#REF!</v>
      </c>
      <c r="S60" s="139" t="e">
        <f>+'TH LÚN'!Y60</f>
        <v>#REF!</v>
      </c>
      <c r="T60" s="139" t="e">
        <f>+'TH LÚN'!Z60</f>
        <v>#REF!</v>
      </c>
      <c r="U60" s="139" t="e">
        <f>+'TH LÚN'!AA60</f>
        <v>#REF!</v>
      </c>
      <c r="V60" s="52" t="e">
        <f>+'TH LÚN'!AF60-$AC$11</f>
        <v>#REF!</v>
      </c>
      <c r="W60" s="52" t="e">
        <f>+#REF!</f>
        <v>#REF!</v>
      </c>
      <c r="X60" s="222" t="e">
        <f t="shared" si="3"/>
        <v>#REF!</v>
      </c>
      <c r="Y60" s="272"/>
      <c r="Z60" s="173"/>
      <c r="AA60" s="173"/>
      <c r="AB60" s="75" t="e">
        <f t="shared" si="4"/>
        <v>#REF!</v>
      </c>
      <c r="AC60" s="216" t="e">
        <f t="shared" si="20"/>
        <v>#REF!</v>
      </c>
      <c r="AD60" s="216" t="e">
        <f t="shared" si="28"/>
        <v>#REF!</v>
      </c>
      <c r="AE60" s="307"/>
    </row>
    <row r="61" spans="1:36" s="5" customFormat="1" ht="32.25" customHeight="1">
      <c r="A61" s="63">
        <f t="shared" si="7"/>
        <v>47</v>
      </c>
      <c r="B61" s="146"/>
      <c r="C61" s="48" t="e">
        <f>+'TH LÚN'!C61</f>
        <v>#REF!</v>
      </c>
      <c r="D61" s="49">
        <v>45606</v>
      </c>
      <c r="E61" s="49">
        <v>45611</v>
      </c>
      <c r="F61" s="49" t="str">
        <f>+F60</f>
        <v>Đang thực hiện</v>
      </c>
      <c r="G61" s="142" t="e">
        <f>+'TH LÚN'!E61</f>
        <v>#REF!</v>
      </c>
      <c r="H61" s="69">
        <v>1074</v>
      </c>
      <c r="I61" s="71">
        <v>83</v>
      </c>
      <c r="J61" s="71">
        <f>5.13-0.43</f>
        <v>4.7</v>
      </c>
      <c r="K61" s="71">
        <f>5.13-0.13</f>
        <v>5</v>
      </c>
      <c r="L61" s="71">
        <f>5.13-0.13</f>
        <v>5</v>
      </c>
      <c r="M61" s="70">
        <f>5.13-1.63</f>
        <v>3.5</v>
      </c>
      <c r="N61" s="147"/>
      <c r="O61" s="70">
        <f t="shared" si="1"/>
        <v>4.7</v>
      </c>
      <c r="P61" s="73">
        <v>9</v>
      </c>
      <c r="Q61" s="73">
        <v>95.6</v>
      </c>
      <c r="R61" s="221" t="e">
        <f t="shared" si="8"/>
        <v>#REF!</v>
      </c>
      <c r="S61" s="139" t="e">
        <f>+'TH LÚN'!Y61</f>
        <v>#REF!</v>
      </c>
      <c r="T61" s="139" t="e">
        <f>+'TH LÚN'!Z61</f>
        <v>#REF!</v>
      </c>
      <c r="U61" s="139" t="e">
        <f>+'TH LÚN'!AA61</f>
        <v>#REF!</v>
      </c>
      <c r="V61" s="52" t="e">
        <f>+'TH LÚN'!AF61-$AC$11</f>
        <v>#REF!</v>
      </c>
      <c r="W61" s="52" t="e">
        <f>+#REF!</f>
        <v>#REF!</v>
      </c>
      <c r="X61" s="222" t="e">
        <f t="shared" si="3"/>
        <v>#REF!</v>
      </c>
      <c r="Y61" s="224" t="e">
        <f>+X61</f>
        <v>#REF!</v>
      </c>
      <c r="Z61" s="173"/>
      <c r="AA61" s="173"/>
      <c r="AB61" s="75" t="e">
        <f t="shared" si="4"/>
        <v>#REF!</v>
      </c>
      <c r="AC61" s="216" t="e">
        <f t="shared" si="20"/>
        <v>#REF!</v>
      </c>
      <c r="AD61" s="216" t="e">
        <f t="shared" si="16"/>
        <v>#REF!</v>
      </c>
      <c r="AE61" s="216" t="e">
        <f>+AD61</f>
        <v>#REF!</v>
      </c>
    </row>
    <row r="62" spans="1:36" s="35" customFormat="1" ht="25.5" customHeight="1">
      <c r="A62" s="36"/>
      <c r="B62" s="30"/>
      <c r="D62" s="30"/>
      <c r="E62" s="35" t="s">
        <v>40</v>
      </c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35" t="s">
        <v>39</v>
      </c>
      <c r="X62" s="36"/>
      <c r="Y62" s="36"/>
      <c r="Z62" s="176"/>
      <c r="AA62" s="176"/>
      <c r="AB62" s="36"/>
      <c r="AG62" s="37"/>
      <c r="AH62" s="37"/>
      <c r="AI62" s="37"/>
      <c r="AJ62" s="38"/>
    </row>
    <row r="63" spans="1:36">
      <c r="B63" s="22"/>
      <c r="C63" s="22"/>
      <c r="E63" s="18"/>
      <c r="F63" s="18"/>
      <c r="G63" s="18"/>
      <c r="H63" s="32"/>
      <c r="U63" s="18"/>
      <c r="V63" s="18"/>
      <c r="W63" s="18"/>
      <c r="AC63" s="21"/>
      <c r="AD63" s="21"/>
      <c r="AE63" s="21"/>
      <c r="AF63" s="21"/>
      <c r="AG63" s="39"/>
      <c r="AH63" s="40"/>
      <c r="AI63" s="40"/>
      <c r="AJ63" s="41"/>
    </row>
    <row r="64" spans="1:36">
      <c r="B64" s="22"/>
      <c r="C64" s="22"/>
      <c r="E64" s="18"/>
      <c r="F64" s="18"/>
      <c r="G64" s="18"/>
      <c r="H64" s="32"/>
      <c r="U64" s="18"/>
      <c r="V64" s="18"/>
      <c r="W64" s="18"/>
      <c r="AG64" s="40"/>
      <c r="AH64" s="40"/>
      <c r="AI64" s="40"/>
      <c r="AJ64" s="41"/>
    </row>
    <row r="65" spans="1:36">
      <c r="B65" s="22"/>
      <c r="C65" s="22"/>
      <c r="E65" s="18"/>
      <c r="F65" s="18"/>
      <c r="G65" s="18"/>
      <c r="H65" s="32"/>
      <c r="U65" s="18"/>
      <c r="V65" s="18"/>
      <c r="W65" s="18"/>
      <c r="AG65" s="40"/>
      <c r="AH65" s="40"/>
      <c r="AI65" s="40"/>
      <c r="AJ65" s="41"/>
    </row>
    <row r="66" spans="1:36">
      <c r="B66" s="22"/>
      <c r="C66" s="22"/>
      <c r="E66" s="18"/>
      <c r="F66" s="18"/>
      <c r="G66" s="18"/>
      <c r="H66" s="32"/>
      <c r="U66" s="18"/>
      <c r="V66" s="18"/>
      <c r="W66" s="18"/>
      <c r="AG66" s="40"/>
      <c r="AH66" s="40"/>
      <c r="AI66" s="40"/>
      <c r="AJ66" s="41"/>
    </row>
    <row r="67" spans="1:36" s="33" customFormat="1" ht="16.8">
      <c r="A67" s="42"/>
      <c r="B67" s="31"/>
      <c r="C67" s="31"/>
      <c r="D67" s="31"/>
      <c r="H67" s="61"/>
      <c r="I67" s="61"/>
      <c r="J67" s="61"/>
      <c r="K67" s="61"/>
      <c r="L67" s="61"/>
      <c r="M67" s="61"/>
      <c r="N67" s="61"/>
      <c r="O67" s="61"/>
      <c r="P67" s="61"/>
      <c r="Q67" s="61"/>
      <c r="X67" s="42"/>
      <c r="Y67" s="42"/>
      <c r="Z67" s="178"/>
      <c r="AA67" s="178"/>
      <c r="AB67" s="42"/>
      <c r="AG67" s="43"/>
      <c r="AH67" s="43"/>
      <c r="AI67" s="43"/>
      <c r="AJ67" s="44"/>
    </row>
    <row r="68" spans="1:36" s="56" customFormat="1" ht="17.399999999999999">
      <c r="A68" s="215"/>
      <c r="B68" s="55"/>
      <c r="C68" s="277"/>
      <c r="D68" s="277"/>
      <c r="E68" s="277" t="s">
        <v>23</v>
      </c>
      <c r="F68" s="277"/>
      <c r="G68" s="277"/>
      <c r="H68" s="55"/>
      <c r="I68" s="62"/>
      <c r="J68" s="62"/>
      <c r="K68" s="62"/>
      <c r="L68" s="62"/>
      <c r="M68" s="278"/>
      <c r="N68" s="278"/>
      <c r="O68" s="278"/>
      <c r="P68" s="278"/>
      <c r="Q68" s="278"/>
      <c r="R68" s="282" t="s">
        <v>62</v>
      </c>
      <c r="S68" s="282"/>
      <c r="T68" s="282"/>
      <c r="U68" s="282"/>
      <c r="Z68" s="179"/>
      <c r="AA68" s="179"/>
      <c r="AG68" s="57"/>
      <c r="AH68" s="57"/>
      <c r="AI68" s="57"/>
      <c r="AJ68" s="58"/>
    </row>
    <row r="70" spans="1:36" ht="19.2">
      <c r="R70" s="34"/>
      <c r="S70" s="82"/>
      <c r="T70" s="82"/>
      <c r="U70" s="82"/>
      <c r="V70" s="186"/>
      <c r="W70" s="186"/>
    </row>
  </sheetData>
  <mergeCells count="57">
    <mergeCell ref="AE58:AE60"/>
    <mergeCell ref="AE40:AE42"/>
    <mergeCell ref="AE44:AE46"/>
    <mergeCell ref="AE48:AE51"/>
    <mergeCell ref="AE52:AE53"/>
    <mergeCell ref="AE55:AE56"/>
    <mergeCell ref="AE12:AE16"/>
    <mergeCell ref="AE17:AE24"/>
    <mergeCell ref="AE25:AE28"/>
    <mergeCell ref="AE30:AE31"/>
    <mergeCell ref="AE32:AE35"/>
    <mergeCell ref="Z10:AA10"/>
    <mergeCell ref="E4:V4"/>
    <mergeCell ref="B25:B28"/>
    <mergeCell ref="B30:B31"/>
    <mergeCell ref="B12:B16"/>
    <mergeCell ref="B17:B24"/>
    <mergeCell ref="A9:D9"/>
    <mergeCell ref="E9:P9"/>
    <mergeCell ref="D10:G10"/>
    <mergeCell ref="Y12:Y16"/>
    <mergeCell ref="Y17:Y24"/>
    <mergeCell ref="Y25:Y28"/>
    <mergeCell ref="Y30:Y31"/>
    <mergeCell ref="R10:Y10"/>
    <mergeCell ref="B32:B35"/>
    <mergeCell ref="A1:H1"/>
    <mergeCell ref="A2:H2"/>
    <mergeCell ref="S2:X2"/>
    <mergeCell ref="A3:X3"/>
    <mergeCell ref="R1:X1"/>
    <mergeCell ref="A10:A11"/>
    <mergeCell ref="C10:C11"/>
    <mergeCell ref="A5:D5"/>
    <mergeCell ref="A6:D6"/>
    <mergeCell ref="E6:X6"/>
    <mergeCell ref="A7:D7"/>
    <mergeCell ref="E7:I7"/>
    <mergeCell ref="A8:D8"/>
    <mergeCell ref="E8:P8"/>
    <mergeCell ref="H10:Q10"/>
    <mergeCell ref="AC37:AC38"/>
    <mergeCell ref="B40:B42"/>
    <mergeCell ref="B52:B53"/>
    <mergeCell ref="C68:D68"/>
    <mergeCell ref="M68:Q68"/>
    <mergeCell ref="B44:B46"/>
    <mergeCell ref="B48:B51"/>
    <mergeCell ref="R68:U68"/>
    <mergeCell ref="E68:G68"/>
    <mergeCell ref="Y55:Y56"/>
    <mergeCell ref="Y58:Y60"/>
    <mergeCell ref="Y32:Y35"/>
    <mergeCell ref="Y40:Y42"/>
    <mergeCell ref="Y44:Y46"/>
    <mergeCell ref="Y48:Y51"/>
    <mergeCell ref="Y52:Y53"/>
  </mergeCells>
  <pageMargins left="0.2" right="0.2" top="0.5" bottom="0.5" header="0.2" footer="0.2"/>
  <pageSetup paperSize="8" orientation="landscape" r:id="rId1"/>
  <headerFooter>
    <oddFooter>&amp;R&amp;"Times New Roman,Italic"&amp;10Trang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AO69"/>
  <sheetViews>
    <sheetView view="pageBreakPreview" topLeftCell="A8" zoomScale="85" zoomScaleNormal="100" zoomScaleSheetLayoutView="85" workbookViewId="0">
      <pane xSplit="5" ySplit="4" topLeftCell="F12" activePane="bottomRight" state="frozen"/>
      <selection activeCell="E20" sqref="E20:F20"/>
      <selection pane="topRight" activeCell="E20" sqref="E20:F20"/>
      <selection pane="bottomLeft" activeCell="E20" sqref="E20:F20"/>
      <selection pane="bottomRight" activeCell="E20" sqref="E20:F20"/>
    </sheetView>
  </sheetViews>
  <sheetFormatPr defaultColWidth="8.90625" defaultRowHeight="15.6"/>
  <cols>
    <col min="1" max="1" width="4" style="1" customWidth="1"/>
    <col min="2" max="2" width="11.08984375" style="1" customWidth="1"/>
    <col min="3" max="3" width="9.36328125" style="1" customWidth="1"/>
    <col min="4" max="4" width="8.90625" style="7" customWidth="1"/>
    <col min="5" max="5" width="9" style="7" customWidth="1"/>
    <col min="6" max="6" width="8.6328125" style="7" customWidth="1"/>
    <col min="7" max="9" width="6.453125" style="1" customWidth="1"/>
    <col min="10" max="10" width="7.36328125" style="1" customWidth="1"/>
    <col min="11" max="11" width="7.36328125" style="18" customWidth="1"/>
    <col min="12" max="12" width="7.36328125" style="1" customWidth="1"/>
    <col min="13" max="13" width="6.54296875" style="1" customWidth="1"/>
    <col min="14" max="14" width="6.81640625" style="1" customWidth="1"/>
    <col min="15" max="15" width="6.90625" style="1" customWidth="1"/>
    <col min="16" max="16" width="6.1796875" style="1" customWidth="1"/>
    <col min="17" max="17" width="6.6328125" style="1" customWidth="1"/>
    <col min="18" max="18" width="7.453125" style="1" customWidth="1"/>
    <col min="19" max="24" width="5.6328125" style="1" hidden="1" customWidth="1"/>
    <col min="25" max="26" width="6.6328125" style="20" customWidth="1"/>
    <col min="27" max="27" width="6.453125" style="20" customWidth="1"/>
    <col min="28" max="30" width="6.08984375" style="1" customWidth="1"/>
    <col min="31" max="31" width="6.6328125" style="1" customWidth="1"/>
    <col min="32" max="32" width="6.453125" style="1" customWidth="1"/>
    <col min="33" max="33" width="10.81640625" style="89" customWidth="1"/>
    <col min="34" max="34" width="8.6328125" style="151" customWidth="1"/>
    <col min="35" max="35" width="9.08984375" style="89" customWidth="1"/>
    <col min="36" max="36" width="6" style="1" customWidth="1"/>
    <col min="37" max="37" width="7.81640625" style="1" customWidth="1"/>
    <col min="38" max="247" width="8.90625" style="1" customWidth="1"/>
    <col min="248" max="16384" width="8.90625" style="1"/>
  </cols>
  <sheetData>
    <row r="1" spans="1:37" s="9" customFormat="1" ht="25.5" customHeight="1">
      <c r="A1" s="330" t="s">
        <v>12</v>
      </c>
      <c r="B1" s="330"/>
      <c r="C1" s="330"/>
      <c r="D1" s="330"/>
      <c r="E1" s="330"/>
      <c r="F1" s="330"/>
      <c r="G1" s="8"/>
      <c r="H1" s="8"/>
      <c r="I1" s="8"/>
      <c r="J1" s="8"/>
      <c r="K1" s="23"/>
      <c r="L1" s="8"/>
      <c r="M1" s="8"/>
      <c r="N1" s="331" t="s">
        <v>14</v>
      </c>
      <c r="O1" s="331"/>
      <c r="P1" s="331"/>
      <c r="Q1" s="331"/>
      <c r="R1" s="331"/>
      <c r="S1" s="331"/>
      <c r="T1" s="331"/>
      <c r="U1" s="331"/>
      <c r="V1" s="331"/>
      <c r="W1" s="331"/>
      <c r="X1" s="331"/>
      <c r="Y1" s="331"/>
      <c r="Z1" s="331"/>
      <c r="AA1" s="331"/>
      <c r="AB1" s="331"/>
      <c r="AC1" s="331"/>
      <c r="AD1" s="331"/>
      <c r="AE1" s="331"/>
      <c r="AF1" s="331"/>
      <c r="AG1" s="89"/>
      <c r="AH1" s="151"/>
      <c r="AI1" s="89"/>
    </row>
    <row r="2" spans="1:37" s="9" customFormat="1" ht="30.9" customHeight="1">
      <c r="A2" s="332" t="s">
        <v>13</v>
      </c>
      <c r="B2" s="332"/>
      <c r="C2" s="332"/>
      <c r="D2" s="331"/>
      <c r="E2" s="331"/>
      <c r="F2" s="331"/>
      <c r="G2" s="10"/>
      <c r="H2" s="10"/>
      <c r="I2" s="10"/>
      <c r="J2" s="10"/>
      <c r="K2" s="24"/>
      <c r="L2" s="10"/>
      <c r="M2" s="10"/>
      <c r="N2" s="332" t="s">
        <v>15</v>
      </c>
      <c r="O2" s="331"/>
      <c r="P2" s="331"/>
      <c r="Q2" s="331"/>
      <c r="R2" s="331"/>
      <c r="S2" s="331"/>
      <c r="T2" s="331"/>
      <c r="U2" s="331"/>
      <c r="V2" s="331"/>
      <c r="W2" s="331"/>
      <c r="X2" s="331"/>
      <c r="Y2" s="331"/>
      <c r="Z2" s="331"/>
      <c r="AA2" s="331"/>
      <c r="AB2" s="331"/>
      <c r="AC2" s="331"/>
      <c r="AD2" s="331"/>
      <c r="AE2" s="331"/>
      <c r="AF2" s="331"/>
      <c r="AG2" s="89"/>
      <c r="AH2" s="151"/>
      <c r="AI2" s="89"/>
    </row>
    <row r="3" spans="1:37" ht="13.5" customHeight="1">
      <c r="A3" s="333"/>
      <c r="B3" s="333"/>
      <c r="C3" s="333"/>
      <c r="D3" s="333"/>
      <c r="E3" s="333"/>
      <c r="F3" s="333"/>
      <c r="G3" s="333"/>
      <c r="H3" s="333"/>
      <c r="I3" s="333"/>
      <c r="J3" s="333"/>
      <c r="K3" s="333"/>
      <c r="L3" s="333"/>
      <c r="M3" s="333"/>
      <c r="N3" s="333"/>
      <c r="O3" s="333"/>
      <c r="P3" s="333"/>
      <c r="Q3" s="333"/>
      <c r="R3" s="333"/>
      <c r="S3" s="333"/>
      <c r="T3" s="333"/>
      <c r="U3" s="333"/>
      <c r="V3" s="333"/>
      <c r="W3" s="333"/>
      <c r="X3" s="333"/>
      <c r="Y3" s="333"/>
      <c r="Z3" s="333"/>
      <c r="AA3" s="333"/>
      <c r="AB3" s="333"/>
      <c r="AC3" s="333"/>
      <c r="AD3" s="333"/>
      <c r="AE3" s="333"/>
      <c r="AF3" s="333"/>
    </row>
    <row r="4" spans="1:37" ht="34.5" customHeight="1">
      <c r="A4" s="25"/>
      <c r="B4" s="25"/>
      <c r="C4" s="25"/>
      <c r="D4" s="25"/>
      <c r="E4" s="329" t="str">
        <f>"BẢNG TỔNG HỢP KẾT QUẢ QUAN TRẮC LÚN THÁNG "&amp;INDEX(AG4,0)&amp;"/"&amp;"2024"</f>
        <v>BẢNG TỔNG HỢP KẾT QUẢ QUAN TRẮC LÚN THÁNG 8/2024</v>
      </c>
      <c r="F4" s="329"/>
      <c r="G4" s="329"/>
      <c r="H4" s="329"/>
      <c r="I4" s="329"/>
      <c r="J4" s="329"/>
      <c r="K4" s="329"/>
      <c r="L4" s="329"/>
      <c r="M4" s="329"/>
      <c r="N4" s="329"/>
      <c r="O4" s="329"/>
      <c r="P4" s="329"/>
      <c r="Q4" s="329"/>
      <c r="R4" s="329"/>
      <c r="S4" s="329"/>
      <c r="T4" s="329"/>
      <c r="U4" s="329"/>
      <c r="V4" s="329"/>
      <c r="W4" s="90"/>
      <c r="X4" s="90"/>
      <c r="Y4" s="13"/>
      <c r="Z4" s="13"/>
      <c r="AA4" s="13"/>
      <c r="AB4" s="90"/>
      <c r="AC4" s="90"/>
      <c r="AD4" s="90"/>
      <c r="AE4" s="90"/>
      <c r="AF4" s="90"/>
      <c r="AG4" s="89">
        <v>8</v>
      </c>
    </row>
    <row r="5" spans="1:37" ht="37.5" customHeight="1">
      <c r="A5" s="323" t="s">
        <v>16</v>
      </c>
      <c r="B5" s="323"/>
      <c r="C5" s="323"/>
      <c r="D5" s="323"/>
      <c r="E5" s="12" t="s">
        <v>17</v>
      </c>
      <c r="F5" s="12"/>
      <c r="G5" s="12"/>
      <c r="H5" s="12"/>
      <c r="I5" s="12"/>
      <c r="J5" s="12"/>
      <c r="K5" s="14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4"/>
      <c r="Z5" s="14"/>
      <c r="AA5" s="14"/>
      <c r="AB5" s="25"/>
      <c r="AC5" s="25"/>
      <c r="AD5" s="25"/>
      <c r="AE5" s="25"/>
      <c r="AF5" s="25"/>
    </row>
    <row r="6" spans="1:37" ht="37.5" customHeight="1">
      <c r="A6" s="323" t="s">
        <v>18</v>
      </c>
      <c r="B6" s="323"/>
      <c r="C6" s="323"/>
      <c r="D6" s="323"/>
      <c r="E6" s="328" t="s">
        <v>19</v>
      </c>
      <c r="F6" s="328"/>
      <c r="G6" s="328"/>
      <c r="H6" s="328"/>
      <c r="I6" s="328"/>
      <c r="J6" s="328"/>
      <c r="K6" s="328"/>
      <c r="L6" s="328"/>
      <c r="M6" s="328"/>
      <c r="N6" s="328"/>
      <c r="O6" s="328"/>
      <c r="P6" s="328"/>
      <c r="Q6" s="328"/>
      <c r="R6" s="328"/>
      <c r="S6" s="328"/>
      <c r="T6" s="328"/>
      <c r="U6" s="328"/>
      <c r="V6" s="328"/>
      <c r="W6" s="328"/>
      <c r="X6" s="328"/>
      <c r="Y6" s="328"/>
      <c r="Z6" s="328"/>
      <c r="AA6" s="328"/>
      <c r="AB6" s="328"/>
      <c r="AC6" s="328"/>
      <c r="AD6" s="25"/>
      <c r="AE6" s="25"/>
      <c r="AF6" s="25"/>
    </row>
    <row r="7" spans="1:37" ht="37.5" customHeight="1">
      <c r="A7" s="323" t="s">
        <v>20</v>
      </c>
      <c r="B7" s="323"/>
      <c r="C7" s="323"/>
      <c r="D7" s="323"/>
      <c r="E7" s="328" t="s">
        <v>69</v>
      </c>
      <c r="F7" s="328"/>
      <c r="G7" s="328"/>
      <c r="H7" s="25"/>
      <c r="I7" s="25"/>
      <c r="J7" s="25"/>
      <c r="K7" s="1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15"/>
      <c r="Z7" s="15"/>
      <c r="AA7" s="15"/>
      <c r="AB7" s="25"/>
      <c r="AC7" s="25"/>
      <c r="AD7" s="25"/>
      <c r="AE7" s="25"/>
      <c r="AF7" s="25"/>
    </row>
    <row r="8" spans="1:37" s="11" customFormat="1" ht="37.5" customHeight="1">
      <c r="A8" s="324" t="s">
        <v>21</v>
      </c>
      <c r="B8" s="324"/>
      <c r="C8" s="324"/>
      <c r="D8" s="324"/>
      <c r="E8" s="311" t="s">
        <v>22</v>
      </c>
      <c r="F8" s="311"/>
      <c r="G8" s="311"/>
      <c r="H8" s="311"/>
      <c r="I8" s="311"/>
      <c r="J8" s="311"/>
      <c r="K8" s="1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16"/>
      <c r="Z8" s="16"/>
      <c r="AA8" s="16"/>
      <c r="AB8" s="26"/>
      <c r="AC8" s="26"/>
      <c r="AD8" s="26"/>
      <c r="AE8" s="26"/>
      <c r="AF8" s="26"/>
      <c r="AG8" s="89"/>
      <c r="AH8" s="151"/>
      <c r="AI8" s="89">
        <f>3.94+1.25</f>
        <v>5.1899999999999995</v>
      </c>
      <c r="AJ8" s="160"/>
    </row>
    <row r="9" spans="1:37" ht="37.5" customHeight="1">
      <c r="A9" s="324" t="s">
        <v>37</v>
      </c>
      <c r="B9" s="324"/>
      <c r="C9" s="324"/>
      <c r="D9" s="324"/>
      <c r="E9" s="311" t="s">
        <v>38</v>
      </c>
      <c r="F9" s="311"/>
      <c r="G9" s="311"/>
      <c r="H9" s="311"/>
      <c r="I9" s="311"/>
      <c r="J9" s="311"/>
      <c r="K9" s="1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7"/>
      <c r="Z9" s="17"/>
      <c r="AA9" s="17"/>
      <c r="AB9" s="2"/>
      <c r="AC9" s="2"/>
      <c r="AD9" s="2"/>
      <c r="AE9" s="2"/>
      <c r="AF9" s="2"/>
    </row>
    <row r="10" spans="1:37" s="96" customFormat="1" ht="65.25" customHeight="1">
      <c r="A10" s="91" t="s">
        <v>1</v>
      </c>
      <c r="B10" s="91" t="s">
        <v>34</v>
      </c>
      <c r="C10" s="91" t="s">
        <v>29</v>
      </c>
      <c r="D10" s="316" t="s">
        <v>30</v>
      </c>
      <c r="E10" s="316"/>
      <c r="F10" s="91" t="s">
        <v>63</v>
      </c>
      <c r="G10" s="317" t="s">
        <v>64</v>
      </c>
      <c r="H10" s="318"/>
      <c r="I10" s="319"/>
      <c r="J10" s="316" t="s">
        <v>24</v>
      </c>
      <c r="K10" s="316"/>
      <c r="L10" s="316"/>
      <c r="M10" s="316" t="s">
        <v>25</v>
      </c>
      <c r="N10" s="316"/>
      <c r="O10" s="316"/>
      <c r="P10" s="316" t="s">
        <v>26</v>
      </c>
      <c r="Q10" s="316"/>
      <c r="R10" s="316"/>
      <c r="S10" s="316" t="s">
        <v>27</v>
      </c>
      <c r="T10" s="316"/>
      <c r="U10" s="316"/>
      <c r="V10" s="316" t="s">
        <v>28</v>
      </c>
      <c r="W10" s="316"/>
      <c r="X10" s="316"/>
      <c r="Y10" s="312" t="s">
        <v>35</v>
      </c>
      <c r="Z10" s="313"/>
      <c r="AA10" s="314"/>
      <c r="AB10" s="315" t="s">
        <v>36</v>
      </c>
      <c r="AC10" s="315"/>
      <c r="AD10" s="315"/>
      <c r="AE10" s="315" t="s">
        <v>4</v>
      </c>
      <c r="AF10" s="315" t="s">
        <v>5</v>
      </c>
      <c r="AG10" s="92" t="s">
        <v>44</v>
      </c>
      <c r="AH10" s="150" t="s">
        <v>109</v>
      </c>
      <c r="AI10" s="93" t="s">
        <v>43</v>
      </c>
      <c r="AJ10" s="94" t="s">
        <v>102</v>
      </c>
      <c r="AK10" s="95"/>
    </row>
    <row r="11" spans="1:37" s="103" customFormat="1" ht="21" customHeight="1">
      <c r="A11" s="97"/>
      <c r="B11" s="97"/>
      <c r="C11" s="97"/>
      <c r="D11" s="98" t="s">
        <v>31</v>
      </c>
      <c r="E11" s="99" t="s">
        <v>32</v>
      </c>
      <c r="F11" s="97" t="s">
        <v>33</v>
      </c>
      <c r="G11" s="100" t="s">
        <v>6</v>
      </c>
      <c r="H11" s="100" t="s">
        <v>7</v>
      </c>
      <c r="I11" s="100" t="s">
        <v>8</v>
      </c>
      <c r="J11" s="100" t="s">
        <v>6</v>
      </c>
      <c r="K11" s="146" t="s">
        <v>7</v>
      </c>
      <c r="L11" s="100" t="s">
        <v>8</v>
      </c>
      <c r="M11" s="100" t="s">
        <v>6</v>
      </c>
      <c r="N11" s="100" t="s">
        <v>7</v>
      </c>
      <c r="O11" s="100" t="s">
        <v>8</v>
      </c>
      <c r="P11" s="100" t="s">
        <v>6</v>
      </c>
      <c r="Q11" s="100" t="s">
        <v>7</v>
      </c>
      <c r="R11" s="100" t="s">
        <v>8</v>
      </c>
      <c r="S11" s="100" t="s">
        <v>6</v>
      </c>
      <c r="T11" s="100" t="s">
        <v>7</v>
      </c>
      <c r="U11" s="100" t="s">
        <v>8</v>
      </c>
      <c r="V11" s="100" t="s">
        <v>6</v>
      </c>
      <c r="W11" s="100" t="s">
        <v>7</v>
      </c>
      <c r="X11" s="100" t="s">
        <v>8</v>
      </c>
      <c r="Y11" s="146" t="s">
        <v>6</v>
      </c>
      <c r="Z11" s="146" t="s">
        <v>7</v>
      </c>
      <c r="AA11" s="146" t="s">
        <v>8</v>
      </c>
      <c r="AB11" s="100" t="s">
        <v>6</v>
      </c>
      <c r="AC11" s="100" t="s">
        <v>7</v>
      </c>
      <c r="AD11" s="100" t="s">
        <v>8</v>
      </c>
      <c r="AE11" s="315"/>
      <c r="AF11" s="315"/>
      <c r="AG11" s="101"/>
      <c r="AH11" s="152"/>
      <c r="AI11" s="101"/>
      <c r="AJ11" s="102"/>
    </row>
    <row r="12" spans="1:37" s="68" customFormat="1" ht="30.75" customHeight="1">
      <c r="A12" s="325">
        <v>1</v>
      </c>
      <c r="B12" s="325" t="s">
        <v>41</v>
      </c>
      <c r="C12" s="208">
        <f>+'Km83+720'!I5</f>
        <v>0</v>
      </c>
      <c r="D12" s="230" t="e">
        <f>+'Km83+720'!#REF!</f>
        <v>#REF!</v>
      </c>
      <c r="E12" s="77" t="e">
        <f>'Km83+720'!#REF!</f>
        <v>#REF!</v>
      </c>
      <c r="F12" s="213" t="e">
        <f>+E12-D12</f>
        <v>#REF!</v>
      </c>
      <c r="G12" s="76" t="e">
        <f>+'Km83+720'!#REF!</f>
        <v>#REF!</v>
      </c>
      <c r="H12" s="76" t="e">
        <f>+'Km83+720'!#REF!</f>
        <v>#REF!</v>
      </c>
      <c r="I12" s="76" t="e">
        <f>+'Km83+720'!#REF!</f>
        <v>#REF!</v>
      </c>
      <c r="J12" s="231" t="e">
        <f>+'Km83+720'!#REF!</f>
        <v>#REF!</v>
      </c>
      <c r="K12" s="231" t="e">
        <f>+'Km83+720'!#REF!</f>
        <v>#REF!</v>
      </c>
      <c r="L12" s="231" t="e">
        <f>+'Km83+720'!#REF!</f>
        <v>#REF!</v>
      </c>
      <c r="M12" s="211" t="e">
        <f>'Km83+720'!#REF!</f>
        <v>#REF!</v>
      </c>
      <c r="N12" s="211" t="e">
        <f>'Km83+720'!#REF!</f>
        <v>#REF!</v>
      </c>
      <c r="O12" s="232" t="e">
        <f>'Km83+720'!#REF!</f>
        <v>#REF!</v>
      </c>
      <c r="P12" s="233" t="e">
        <f>+M12</f>
        <v>#REF!</v>
      </c>
      <c r="Q12" s="233" t="e">
        <f>+N12</f>
        <v>#REF!</v>
      </c>
      <c r="R12" s="233" t="e">
        <f>+O12</f>
        <v>#REF!</v>
      </c>
      <c r="S12" s="76"/>
      <c r="T12" s="76"/>
      <c r="U12" s="76"/>
      <c r="V12" s="76"/>
      <c r="W12" s="76"/>
      <c r="X12" s="76"/>
      <c r="Y12" s="80" t="e">
        <f>(+P12-J12)*1000*(-1)</f>
        <v>#REF!</v>
      </c>
      <c r="Z12" s="80" t="e">
        <f>+(Q12-K12)*1000*(-1)</f>
        <v>#REF!</v>
      </c>
      <c r="AA12" s="80" t="e">
        <f>+(R12-L12)*1000*(-1)</f>
        <v>#REF!</v>
      </c>
      <c r="AB12" s="80" t="e">
        <f>+Y12/F12</f>
        <v>#REF!</v>
      </c>
      <c r="AC12" s="106" t="e">
        <f>+Z12/F12</f>
        <v>#REF!</v>
      </c>
      <c r="AD12" s="106" t="e">
        <f>+AA12/F12</f>
        <v>#REF!</v>
      </c>
      <c r="AE12" s="196" t="e">
        <f>+'Km83+720'!#REF!</f>
        <v>#REF!</v>
      </c>
      <c r="AF12" s="197" t="e">
        <f>+AE12-K12</f>
        <v>#REF!</v>
      </c>
      <c r="AG12" s="198" t="e">
        <f t="shared" ref="AG12:AG36" si="0">+(Y12+Z12+AA12)/3</f>
        <v>#REF!</v>
      </c>
      <c r="AH12" s="199" t="e">
        <f>3.94-Z12/1000</f>
        <v>#REF!</v>
      </c>
      <c r="AI12" s="310" t="e">
        <f>SUM(AG12:AG16)/5</f>
        <v>#REF!</v>
      </c>
      <c r="AJ12" s="337" t="e">
        <f>SUM(Z12:Z16)/5</f>
        <v>#REF!</v>
      </c>
      <c r="AK12" s="68">
        <v>3.67</v>
      </c>
    </row>
    <row r="13" spans="1:37" s="68" customFormat="1" ht="30.75" customHeight="1">
      <c r="A13" s="326"/>
      <c r="B13" s="326"/>
      <c r="C13" s="208" t="e">
        <f>+#REF!</f>
        <v>#REF!</v>
      </c>
      <c r="D13" s="230" t="e">
        <f>+#REF!</f>
        <v>#REF!</v>
      </c>
      <c r="E13" s="77" t="e">
        <f>#REF!</f>
        <v>#REF!</v>
      </c>
      <c r="F13" s="213" t="e">
        <f>+E13-D13</f>
        <v>#REF!</v>
      </c>
      <c r="G13" s="76" t="e">
        <f>+#REF!</f>
        <v>#REF!</v>
      </c>
      <c r="H13" s="78" t="e">
        <f>+#REF!</f>
        <v>#REF!</v>
      </c>
      <c r="I13" s="76" t="e">
        <f>+#REF!</f>
        <v>#REF!</v>
      </c>
      <c r="J13" s="231" t="e">
        <f>+#REF!</f>
        <v>#REF!</v>
      </c>
      <c r="K13" s="231" t="e">
        <f>+#REF!</f>
        <v>#REF!</v>
      </c>
      <c r="L13" s="231" t="e">
        <f>+#REF!</f>
        <v>#REF!</v>
      </c>
      <c r="M13" s="211" t="e">
        <f>#REF!</f>
        <v>#REF!</v>
      </c>
      <c r="N13" s="211" t="e">
        <f>#REF!</f>
        <v>#REF!</v>
      </c>
      <c r="O13" s="211" t="e">
        <f>#REF!</f>
        <v>#REF!</v>
      </c>
      <c r="P13" s="233" t="e">
        <f t="shared" ref="P13:P16" si="1">+M13</f>
        <v>#REF!</v>
      </c>
      <c r="Q13" s="233" t="e">
        <f t="shared" ref="Q13:Q16" si="2">+N13</f>
        <v>#REF!</v>
      </c>
      <c r="R13" s="233" t="e">
        <f t="shared" ref="R13:R16" si="3">+O13</f>
        <v>#REF!</v>
      </c>
      <c r="S13" s="76"/>
      <c r="T13" s="76"/>
      <c r="U13" s="76"/>
      <c r="V13" s="76"/>
      <c r="W13" s="76"/>
      <c r="X13" s="76"/>
      <c r="Y13" s="80" t="e">
        <f>(+P13-J13)*1000*(-1)</f>
        <v>#REF!</v>
      </c>
      <c r="Z13" s="80" t="e">
        <f>+(Q13-K13)*1000*(-1)</f>
        <v>#REF!</v>
      </c>
      <c r="AA13" s="80" t="e">
        <f>+(R13-L13)*1000*(-1)</f>
        <v>#REF!</v>
      </c>
      <c r="AB13" s="80" t="e">
        <f>+Y13/F13</f>
        <v>#REF!</v>
      </c>
      <c r="AC13" s="106" t="e">
        <f t="shared" ref="AC13:AC16" si="4">+Z13/F13</f>
        <v>#REF!</v>
      </c>
      <c r="AD13" s="106" t="e">
        <f>+AA13/F13</f>
        <v>#REF!</v>
      </c>
      <c r="AE13" s="196" t="e">
        <f>+#REF!</f>
        <v>#REF!</v>
      </c>
      <c r="AF13" s="197" t="e">
        <f>+AE13-K13</f>
        <v>#REF!</v>
      </c>
      <c r="AG13" s="198" t="e">
        <f t="shared" si="0"/>
        <v>#REF!</v>
      </c>
      <c r="AH13" s="199" t="e">
        <f>3.68-Z13/1000</f>
        <v>#REF!</v>
      </c>
      <c r="AI13" s="310"/>
      <c r="AJ13" s="337"/>
      <c r="AK13" s="68">
        <v>3.68</v>
      </c>
    </row>
    <row r="14" spans="1:37" s="68" customFormat="1" ht="30.75" customHeight="1">
      <c r="A14" s="326"/>
      <c r="B14" s="326"/>
      <c r="C14" s="208" t="e">
        <f>+#REF!</f>
        <v>#REF!</v>
      </c>
      <c r="D14" s="230" t="e">
        <f>+#REF!</f>
        <v>#REF!</v>
      </c>
      <c r="E14" s="77" t="e">
        <f>#REF!</f>
        <v>#REF!</v>
      </c>
      <c r="F14" s="213" t="e">
        <f>+E14-D14</f>
        <v>#REF!</v>
      </c>
      <c r="G14" s="76" t="e">
        <f>+#REF!</f>
        <v>#REF!</v>
      </c>
      <c r="H14" s="76" t="e">
        <f>+#REF!</f>
        <v>#REF!</v>
      </c>
      <c r="I14" s="76" t="e">
        <f>+#REF!</f>
        <v>#REF!</v>
      </c>
      <c r="J14" s="231" t="e">
        <f>+#REF!</f>
        <v>#REF!</v>
      </c>
      <c r="K14" s="231" t="e">
        <f>+#REF!</f>
        <v>#REF!</v>
      </c>
      <c r="L14" s="231" t="e">
        <f>+#REF!</f>
        <v>#REF!</v>
      </c>
      <c r="M14" s="211" t="e">
        <f>#REF!</f>
        <v>#REF!</v>
      </c>
      <c r="N14" s="211" t="e">
        <f>#REF!</f>
        <v>#REF!</v>
      </c>
      <c r="O14" s="211" t="e">
        <f>#REF!</f>
        <v>#REF!</v>
      </c>
      <c r="P14" s="233" t="e">
        <f t="shared" si="1"/>
        <v>#REF!</v>
      </c>
      <c r="Q14" s="233" t="e">
        <f t="shared" si="2"/>
        <v>#REF!</v>
      </c>
      <c r="R14" s="233" t="e">
        <f t="shared" si="3"/>
        <v>#REF!</v>
      </c>
      <c r="S14" s="76"/>
      <c r="T14" s="76"/>
      <c r="U14" s="76"/>
      <c r="V14" s="76"/>
      <c r="W14" s="76"/>
      <c r="X14" s="76"/>
      <c r="Y14" s="80" t="e">
        <f t="shared" ref="Y14:Y61" si="5">(+P14-J14)*1000*(-1)</f>
        <v>#REF!</v>
      </c>
      <c r="Z14" s="80" t="e">
        <f t="shared" ref="Z14:Z61" si="6">+(Q14-K14)*1000*(-1)</f>
        <v>#REF!</v>
      </c>
      <c r="AA14" s="80" t="e">
        <f t="shared" ref="AA14:AA61" si="7">+(R14-L14)*1000*(-1)</f>
        <v>#REF!</v>
      </c>
      <c r="AB14" s="80" t="e">
        <f t="shared" ref="AB14:AB16" si="8">+Y14/F14</f>
        <v>#REF!</v>
      </c>
      <c r="AC14" s="106" t="e">
        <f t="shared" si="4"/>
        <v>#REF!</v>
      </c>
      <c r="AD14" s="106" t="e">
        <f t="shared" ref="AD14:AD16" si="9">+AA14/F14</f>
        <v>#REF!</v>
      </c>
      <c r="AE14" s="196" t="e">
        <f>+#REF!</f>
        <v>#REF!</v>
      </c>
      <c r="AF14" s="197" t="e">
        <f t="shared" ref="AF14" si="10">+AE14-K14</f>
        <v>#REF!</v>
      </c>
      <c r="AG14" s="198" t="e">
        <f t="shared" si="0"/>
        <v>#REF!</v>
      </c>
      <c r="AH14" s="199" t="e">
        <f>4.1-Z14/1000</f>
        <v>#REF!</v>
      </c>
      <c r="AI14" s="310"/>
      <c r="AJ14" s="337"/>
      <c r="AK14" s="68">
        <v>4.0999999999999996</v>
      </c>
    </row>
    <row r="15" spans="1:37" s="68" customFormat="1" ht="30.75" customHeight="1">
      <c r="A15" s="326"/>
      <c r="B15" s="326"/>
      <c r="C15" s="190" t="e">
        <f>+#REF!</f>
        <v>#REF!</v>
      </c>
      <c r="D15" s="191" t="e">
        <f>+#REF!</f>
        <v>#REF!</v>
      </c>
      <c r="E15" s="104" t="e">
        <f>#REF!</f>
        <v>#REF!</v>
      </c>
      <c r="F15" s="192" t="e">
        <f t="shared" ref="F15:F19" si="11">+E15-D15</f>
        <v>#REF!</v>
      </c>
      <c r="G15" s="105" t="e">
        <f>+#REF!</f>
        <v>#REF!</v>
      </c>
      <c r="H15" s="105" t="e">
        <f>+#REF!</f>
        <v>#REF!</v>
      </c>
      <c r="I15" s="105" t="e">
        <f>+#REF!</f>
        <v>#REF!</v>
      </c>
      <c r="J15" s="193" t="e">
        <f>+#REF!</f>
        <v>#REF!</v>
      </c>
      <c r="K15" s="193" t="e">
        <f>+#REF!</f>
        <v>#REF!</v>
      </c>
      <c r="L15" s="193" t="e">
        <f>+#REF!</f>
        <v>#REF!</v>
      </c>
      <c r="M15" s="194" t="e">
        <f>#REF!</f>
        <v>#REF!</v>
      </c>
      <c r="N15" s="194" t="e">
        <f>#REF!</f>
        <v>#REF!</v>
      </c>
      <c r="O15" s="194" t="e">
        <f>#REF!</f>
        <v>#REF!</v>
      </c>
      <c r="P15" s="195" t="e">
        <f t="shared" si="1"/>
        <v>#REF!</v>
      </c>
      <c r="Q15" s="195" t="e">
        <f t="shared" si="2"/>
        <v>#REF!</v>
      </c>
      <c r="R15" s="195" t="e">
        <f t="shared" si="3"/>
        <v>#REF!</v>
      </c>
      <c r="S15" s="105"/>
      <c r="T15" s="105"/>
      <c r="U15" s="105"/>
      <c r="V15" s="105"/>
      <c r="W15" s="105"/>
      <c r="X15" s="105"/>
      <c r="Y15" s="80" t="e">
        <f t="shared" si="5"/>
        <v>#REF!</v>
      </c>
      <c r="Z15" s="80" t="e">
        <f t="shared" si="6"/>
        <v>#REF!</v>
      </c>
      <c r="AA15" s="80" t="e">
        <f t="shared" si="7"/>
        <v>#REF!</v>
      </c>
      <c r="AB15" s="106" t="e">
        <f t="shared" si="8"/>
        <v>#REF!</v>
      </c>
      <c r="AC15" s="106" t="e">
        <f t="shared" si="4"/>
        <v>#REF!</v>
      </c>
      <c r="AD15" s="106" t="e">
        <f t="shared" si="9"/>
        <v>#REF!</v>
      </c>
      <c r="AE15" s="196" t="e">
        <f>+#REF!</f>
        <v>#REF!</v>
      </c>
      <c r="AF15" s="197" t="e">
        <f t="shared" ref="AF15:AF18" si="12">+AE15-K15</f>
        <v>#REF!</v>
      </c>
      <c r="AG15" s="198" t="e">
        <f t="shared" si="0"/>
        <v>#REF!</v>
      </c>
      <c r="AH15" s="199" t="e">
        <f>4.18-Z15/1000</f>
        <v>#REF!</v>
      </c>
      <c r="AI15" s="310"/>
      <c r="AJ15" s="337"/>
      <c r="AK15" s="68">
        <v>3.99</v>
      </c>
    </row>
    <row r="16" spans="1:37" s="68" customFormat="1" ht="30.75" customHeight="1">
      <c r="A16" s="327"/>
      <c r="B16" s="327"/>
      <c r="C16" s="190" t="e">
        <f>+#REF!</f>
        <v>#REF!</v>
      </c>
      <c r="D16" s="191" t="e">
        <f>+#REF!</f>
        <v>#REF!</v>
      </c>
      <c r="E16" s="104" t="e">
        <f>#REF!</f>
        <v>#REF!</v>
      </c>
      <c r="F16" s="192" t="e">
        <f>+E16-D16</f>
        <v>#REF!</v>
      </c>
      <c r="G16" s="107" t="e">
        <f>+#REF!</f>
        <v>#REF!</v>
      </c>
      <c r="H16" s="107" t="e">
        <f>+#REF!</f>
        <v>#REF!</v>
      </c>
      <c r="I16" s="107" t="e">
        <f>+#REF!</f>
        <v>#REF!</v>
      </c>
      <c r="J16" s="193" t="e">
        <f>+#REF!</f>
        <v>#REF!</v>
      </c>
      <c r="K16" s="193" t="e">
        <f>+#REF!</f>
        <v>#REF!</v>
      </c>
      <c r="L16" s="193" t="e">
        <f>+#REF!</f>
        <v>#REF!</v>
      </c>
      <c r="M16" s="194" t="e">
        <f>#REF!</f>
        <v>#REF!</v>
      </c>
      <c r="N16" s="194" t="e">
        <f>#REF!</f>
        <v>#REF!</v>
      </c>
      <c r="O16" s="194" t="e">
        <f>#REF!</f>
        <v>#REF!</v>
      </c>
      <c r="P16" s="195" t="e">
        <f t="shared" si="1"/>
        <v>#REF!</v>
      </c>
      <c r="Q16" s="195" t="e">
        <f t="shared" si="2"/>
        <v>#REF!</v>
      </c>
      <c r="R16" s="195" t="e">
        <f t="shared" si="3"/>
        <v>#REF!</v>
      </c>
      <c r="S16" s="105"/>
      <c r="T16" s="105"/>
      <c r="U16" s="105"/>
      <c r="V16" s="105"/>
      <c r="W16" s="105"/>
      <c r="X16" s="105"/>
      <c r="Y16" s="80" t="e">
        <f t="shared" si="5"/>
        <v>#REF!</v>
      </c>
      <c r="Z16" s="80" t="e">
        <f t="shared" si="6"/>
        <v>#REF!</v>
      </c>
      <c r="AA16" s="80" t="e">
        <f t="shared" si="7"/>
        <v>#REF!</v>
      </c>
      <c r="AB16" s="106" t="e">
        <f t="shared" si="8"/>
        <v>#REF!</v>
      </c>
      <c r="AC16" s="106" t="e">
        <f t="shared" si="4"/>
        <v>#REF!</v>
      </c>
      <c r="AD16" s="106" t="e">
        <f t="shared" si="9"/>
        <v>#REF!</v>
      </c>
      <c r="AE16" s="196" t="e">
        <f>+#REF!</f>
        <v>#REF!</v>
      </c>
      <c r="AF16" s="197" t="e">
        <f t="shared" si="12"/>
        <v>#REF!</v>
      </c>
      <c r="AG16" s="198" t="e">
        <f t="shared" si="0"/>
        <v>#REF!</v>
      </c>
      <c r="AH16" s="199" t="e">
        <f>4.17-Z16/1000</f>
        <v>#REF!</v>
      </c>
      <c r="AI16" s="310"/>
      <c r="AJ16" s="337"/>
      <c r="AK16" s="68">
        <v>4.08</v>
      </c>
    </row>
    <row r="17" spans="1:37" s="68" customFormat="1" ht="30.75" customHeight="1">
      <c r="A17" s="320">
        <v>2</v>
      </c>
      <c r="B17" s="320" t="e">
        <f>+#REF!</f>
        <v>#REF!</v>
      </c>
      <c r="C17" s="190" t="e">
        <f>+#REF!</f>
        <v>#REF!</v>
      </c>
      <c r="D17" s="191" t="e">
        <f>+#REF!</f>
        <v>#REF!</v>
      </c>
      <c r="E17" s="104" t="e">
        <f>#REF!</f>
        <v>#REF!</v>
      </c>
      <c r="F17" s="192" t="e">
        <f>+E17-D17</f>
        <v>#REF!</v>
      </c>
      <c r="G17" s="105" t="e">
        <f>#REF!</f>
        <v>#REF!</v>
      </c>
      <c r="H17" s="105" t="e">
        <f>#REF!</f>
        <v>#REF!</v>
      </c>
      <c r="I17" s="105" t="e">
        <f>#REF!</f>
        <v>#REF!</v>
      </c>
      <c r="J17" s="193" t="e">
        <f>+#REF!</f>
        <v>#REF!</v>
      </c>
      <c r="K17" s="193" t="e">
        <f>+#REF!</f>
        <v>#REF!</v>
      </c>
      <c r="L17" s="193" t="e">
        <f>+#REF!</f>
        <v>#REF!</v>
      </c>
      <c r="M17" s="194" t="e">
        <f>#REF!</f>
        <v>#REF!</v>
      </c>
      <c r="N17" s="194" t="e">
        <f>#REF!</f>
        <v>#REF!</v>
      </c>
      <c r="O17" s="194" t="e">
        <f>#REF!</f>
        <v>#REF!</v>
      </c>
      <c r="P17" s="195" t="e">
        <f t="shared" ref="P17:R19" si="13">+M17</f>
        <v>#REF!</v>
      </c>
      <c r="Q17" s="195" t="e">
        <f t="shared" si="13"/>
        <v>#REF!</v>
      </c>
      <c r="R17" s="195" t="e">
        <f t="shared" si="13"/>
        <v>#REF!</v>
      </c>
      <c r="S17" s="105"/>
      <c r="T17" s="105"/>
      <c r="U17" s="105"/>
      <c r="V17" s="105"/>
      <c r="W17" s="105"/>
      <c r="X17" s="105"/>
      <c r="Y17" s="80" t="e">
        <f t="shared" si="5"/>
        <v>#REF!</v>
      </c>
      <c r="Z17" s="80" t="e">
        <f t="shared" si="6"/>
        <v>#REF!</v>
      </c>
      <c r="AA17" s="80" t="e">
        <f t="shared" si="7"/>
        <v>#REF!</v>
      </c>
      <c r="AB17" s="106" t="e">
        <f>+Y17/F17</f>
        <v>#REF!</v>
      </c>
      <c r="AC17" s="106" t="e">
        <f>+Z17/F17</f>
        <v>#REF!</v>
      </c>
      <c r="AD17" s="106" t="e">
        <f>+AA17/F17</f>
        <v>#REF!</v>
      </c>
      <c r="AE17" s="196" t="e">
        <f>+#REF!</f>
        <v>#REF!</v>
      </c>
      <c r="AF17" s="197" t="e">
        <f t="shared" si="12"/>
        <v>#REF!</v>
      </c>
      <c r="AG17" s="198" t="e">
        <f t="shared" si="0"/>
        <v>#REF!</v>
      </c>
      <c r="AH17" s="199" t="e">
        <f>3.23-Z17/1000</f>
        <v>#REF!</v>
      </c>
      <c r="AI17" s="310" t="e">
        <f>SUM(AG17:AG24)/8</f>
        <v>#REF!</v>
      </c>
      <c r="AJ17" s="123" t="e">
        <f>SUM(Z17:Z24)/8</f>
        <v>#REF!</v>
      </c>
    </row>
    <row r="18" spans="1:37" s="68" customFormat="1" ht="30.75" customHeight="1">
      <c r="A18" s="321"/>
      <c r="B18" s="321"/>
      <c r="C18" s="190" t="e">
        <f>+#REF!</f>
        <v>#REF!</v>
      </c>
      <c r="D18" s="191" t="e">
        <f>+#REF!</f>
        <v>#REF!</v>
      </c>
      <c r="E18" s="104" t="e">
        <f>#REF!</f>
        <v>#REF!</v>
      </c>
      <c r="F18" s="192" t="e">
        <f t="shared" si="11"/>
        <v>#REF!</v>
      </c>
      <c r="G18" s="107" t="e">
        <f>+#REF!</f>
        <v>#REF!</v>
      </c>
      <c r="H18" s="107" t="e">
        <f>+#REF!</f>
        <v>#REF!</v>
      </c>
      <c r="I18" s="107" t="e">
        <f>+#REF!</f>
        <v>#REF!</v>
      </c>
      <c r="J18" s="193" t="e">
        <f>+#REF!</f>
        <v>#REF!</v>
      </c>
      <c r="K18" s="193" t="e">
        <f>+#REF!</f>
        <v>#REF!</v>
      </c>
      <c r="L18" s="193" t="e">
        <f>+#REF!</f>
        <v>#REF!</v>
      </c>
      <c r="M18" s="194" t="e">
        <f>#REF!</f>
        <v>#REF!</v>
      </c>
      <c r="N18" s="194" t="e">
        <f>#REF!</f>
        <v>#REF!</v>
      </c>
      <c r="O18" s="194" t="e">
        <f>#REF!</f>
        <v>#REF!</v>
      </c>
      <c r="P18" s="195" t="e">
        <f t="shared" si="13"/>
        <v>#REF!</v>
      </c>
      <c r="Q18" s="195" t="e">
        <f t="shared" si="13"/>
        <v>#REF!</v>
      </c>
      <c r="R18" s="195" t="e">
        <f t="shared" si="13"/>
        <v>#REF!</v>
      </c>
      <c r="S18" s="105"/>
      <c r="T18" s="105"/>
      <c r="U18" s="105"/>
      <c r="V18" s="105"/>
      <c r="W18" s="105"/>
      <c r="X18" s="105"/>
      <c r="Y18" s="80" t="e">
        <f t="shared" si="5"/>
        <v>#REF!</v>
      </c>
      <c r="Z18" s="80" t="e">
        <f t="shared" si="6"/>
        <v>#REF!</v>
      </c>
      <c r="AA18" s="80" t="e">
        <f t="shared" si="7"/>
        <v>#REF!</v>
      </c>
      <c r="AB18" s="106" t="e">
        <f>+Y18/F18</f>
        <v>#REF!</v>
      </c>
      <c r="AC18" s="106" t="e">
        <f>+Z18/F18</f>
        <v>#REF!</v>
      </c>
      <c r="AD18" s="106" t="e">
        <f>+AA18/F18</f>
        <v>#REF!</v>
      </c>
      <c r="AE18" s="196" t="e">
        <f>+#REF!</f>
        <v>#REF!</v>
      </c>
      <c r="AF18" s="197" t="e">
        <f t="shared" si="12"/>
        <v>#REF!</v>
      </c>
      <c r="AG18" s="198" t="e">
        <f t="shared" si="0"/>
        <v>#REF!</v>
      </c>
      <c r="AH18" s="199" t="e">
        <f>4.16-Z18/1000</f>
        <v>#REF!</v>
      </c>
      <c r="AI18" s="310"/>
      <c r="AJ18" s="201"/>
      <c r="AK18" s="202" t="e">
        <f>4.16-AH18</f>
        <v>#REF!</v>
      </c>
    </row>
    <row r="19" spans="1:37" s="68" customFormat="1" ht="30.75" customHeight="1">
      <c r="A19" s="321"/>
      <c r="B19" s="321"/>
      <c r="C19" s="190" t="e">
        <f>+#REF!</f>
        <v>#REF!</v>
      </c>
      <c r="D19" s="104" t="e">
        <f>+#REF!</f>
        <v>#REF!</v>
      </c>
      <c r="E19" s="104" t="e">
        <f>#REF!</f>
        <v>#REF!</v>
      </c>
      <c r="F19" s="192" t="e">
        <f t="shared" si="11"/>
        <v>#REF!</v>
      </c>
      <c r="G19" s="105" t="e">
        <f>+#REF!</f>
        <v>#REF!</v>
      </c>
      <c r="H19" s="105" t="e">
        <f>+#REF!</f>
        <v>#REF!</v>
      </c>
      <c r="I19" s="105" t="e">
        <f>+#REF!</f>
        <v>#REF!</v>
      </c>
      <c r="J19" s="193" t="e">
        <f>+#REF!</f>
        <v>#REF!</v>
      </c>
      <c r="K19" s="193" t="e">
        <f>+#REF!</f>
        <v>#REF!</v>
      </c>
      <c r="L19" s="193" t="e">
        <f>+#REF!</f>
        <v>#REF!</v>
      </c>
      <c r="M19" s="194" t="e">
        <f>#REF!</f>
        <v>#REF!</v>
      </c>
      <c r="N19" s="194" t="e">
        <f>#REF!</f>
        <v>#REF!</v>
      </c>
      <c r="O19" s="194" t="e">
        <f>#REF!</f>
        <v>#REF!</v>
      </c>
      <c r="P19" s="195" t="e">
        <f t="shared" si="13"/>
        <v>#REF!</v>
      </c>
      <c r="Q19" s="195" t="e">
        <f t="shared" si="13"/>
        <v>#REF!</v>
      </c>
      <c r="R19" s="195" t="e">
        <f t="shared" si="13"/>
        <v>#REF!</v>
      </c>
      <c r="S19" s="105"/>
      <c r="T19" s="105"/>
      <c r="U19" s="105"/>
      <c r="V19" s="105"/>
      <c r="W19" s="105"/>
      <c r="X19" s="105"/>
      <c r="Y19" s="80" t="e">
        <f t="shared" si="5"/>
        <v>#REF!</v>
      </c>
      <c r="Z19" s="80" t="e">
        <f t="shared" si="6"/>
        <v>#REF!</v>
      </c>
      <c r="AA19" s="80" t="e">
        <f t="shared" si="7"/>
        <v>#REF!</v>
      </c>
      <c r="AB19" s="106" t="e">
        <f>+Y19/F19</f>
        <v>#REF!</v>
      </c>
      <c r="AC19" s="106" t="e">
        <f>+Z19/F19</f>
        <v>#REF!</v>
      </c>
      <c r="AD19" s="106" t="e">
        <f>+AA19/F19</f>
        <v>#REF!</v>
      </c>
      <c r="AE19" s="196" t="e">
        <f>+#REF!</f>
        <v>#REF!</v>
      </c>
      <c r="AF19" s="197" t="e">
        <f t="shared" ref="AF19:AF61" si="14">+AE19-K19</f>
        <v>#REF!</v>
      </c>
      <c r="AG19" s="198" t="e">
        <f t="shared" si="0"/>
        <v>#REF!</v>
      </c>
      <c r="AH19" s="199" t="e">
        <f>3.83-Z19/1000</f>
        <v>#REF!</v>
      </c>
      <c r="AI19" s="310"/>
      <c r="AJ19" s="201"/>
    </row>
    <row r="20" spans="1:37" s="68" customFormat="1" ht="30.75" customHeight="1">
      <c r="A20" s="321"/>
      <c r="B20" s="321"/>
      <c r="C20" s="105" t="e">
        <f>+#REF!</f>
        <v>#REF!</v>
      </c>
      <c r="D20" s="104" t="e">
        <f>+#REF!</f>
        <v>#REF!</v>
      </c>
      <c r="E20" s="104" t="e">
        <f>#REF!</f>
        <v>#REF!</v>
      </c>
      <c r="F20" s="192" t="e">
        <f>+E20-D20</f>
        <v>#REF!</v>
      </c>
      <c r="G20" s="107" t="e">
        <f>+#REF!</f>
        <v>#REF!</v>
      </c>
      <c r="H20" s="107" t="e">
        <f>+#REF!</f>
        <v>#REF!</v>
      </c>
      <c r="I20" s="107" t="e">
        <f>+#REF!</f>
        <v>#REF!</v>
      </c>
      <c r="J20" s="108" t="e">
        <f>+#REF!</f>
        <v>#REF!</v>
      </c>
      <c r="K20" s="108" t="e">
        <f>+#REF!</f>
        <v>#REF!</v>
      </c>
      <c r="L20" s="108" t="e">
        <f>+#REF!</f>
        <v>#REF!</v>
      </c>
      <c r="M20" s="109" t="e">
        <f>#REF!</f>
        <v>#REF!</v>
      </c>
      <c r="N20" s="109" t="e">
        <f>#REF!</f>
        <v>#REF!</v>
      </c>
      <c r="O20" s="109" t="e">
        <f>#REF!</f>
        <v>#REF!</v>
      </c>
      <c r="P20" s="195" t="e">
        <f t="shared" ref="P20:P21" si="15">+M20</f>
        <v>#REF!</v>
      </c>
      <c r="Q20" s="195" t="e">
        <f t="shared" ref="Q20:Q21" si="16">+N20</f>
        <v>#REF!</v>
      </c>
      <c r="R20" s="195" t="e">
        <f t="shared" ref="R20:R21" si="17">+O20</f>
        <v>#REF!</v>
      </c>
      <c r="S20" s="110"/>
      <c r="T20" s="110"/>
      <c r="U20" s="110"/>
      <c r="V20" s="110"/>
      <c r="W20" s="110"/>
      <c r="X20" s="110"/>
      <c r="Y20" s="106" t="e">
        <f t="shared" si="5"/>
        <v>#REF!</v>
      </c>
      <c r="Z20" s="51" t="e">
        <f t="shared" si="6"/>
        <v>#REF!</v>
      </c>
      <c r="AA20" s="106" t="e">
        <f t="shared" si="7"/>
        <v>#REF!</v>
      </c>
      <c r="AB20" s="106" t="e">
        <f>+Y20/F20</f>
        <v>#REF!</v>
      </c>
      <c r="AC20" s="106" t="e">
        <f>+Z20/F20</f>
        <v>#REF!</v>
      </c>
      <c r="AD20" s="106" t="e">
        <f>+AA20/F20</f>
        <v>#REF!</v>
      </c>
      <c r="AE20" s="197" t="e">
        <f>+#REF!</f>
        <v>#REF!</v>
      </c>
      <c r="AF20" s="197" t="e">
        <f t="shared" si="14"/>
        <v>#REF!</v>
      </c>
      <c r="AG20" s="198" t="e">
        <f t="shared" si="0"/>
        <v>#REF!</v>
      </c>
      <c r="AH20" s="199" t="e">
        <f>3.96-Z20/1000</f>
        <v>#REF!</v>
      </c>
      <c r="AI20" s="310"/>
      <c r="AJ20" s="201"/>
      <c r="AK20" s="202" t="e">
        <f>3.96-AH20</f>
        <v>#REF!</v>
      </c>
    </row>
    <row r="21" spans="1:37" s="68" customFormat="1" ht="30.75" customHeight="1">
      <c r="A21" s="321"/>
      <c r="B21" s="321"/>
      <c r="C21" s="105" t="e">
        <f>+#REF!</f>
        <v>#REF!</v>
      </c>
      <c r="D21" s="104" t="e">
        <f>+#REF!</f>
        <v>#REF!</v>
      </c>
      <c r="E21" s="104" t="e">
        <f>#REF!</f>
        <v>#REF!</v>
      </c>
      <c r="F21" s="192" t="e">
        <f t="shared" ref="F21:F60" si="18">+E21-D21</f>
        <v>#REF!</v>
      </c>
      <c r="G21" s="107" t="e">
        <f>+#REF!</f>
        <v>#REF!</v>
      </c>
      <c r="H21" s="107" t="e">
        <f>+#REF!</f>
        <v>#REF!</v>
      </c>
      <c r="I21" s="107" t="e">
        <f>+#REF!</f>
        <v>#REF!</v>
      </c>
      <c r="J21" s="111" t="e">
        <f>+#REF!</f>
        <v>#REF!</v>
      </c>
      <c r="K21" s="111" t="e">
        <f>+#REF!</f>
        <v>#REF!</v>
      </c>
      <c r="L21" s="111" t="e">
        <f>+#REF!</f>
        <v>#REF!</v>
      </c>
      <c r="M21" s="109" t="e">
        <f>#REF!</f>
        <v>#REF!</v>
      </c>
      <c r="N21" s="109" t="e">
        <f>#REF!</f>
        <v>#REF!</v>
      </c>
      <c r="O21" s="109" t="e">
        <f>#REF!</f>
        <v>#REF!</v>
      </c>
      <c r="P21" s="195" t="e">
        <f t="shared" si="15"/>
        <v>#REF!</v>
      </c>
      <c r="Q21" s="195" t="e">
        <f t="shared" si="16"/>
        <v>#REF!</v>
      </c>
      <c r="R21" s="195" t="e">
        <f t="shared" si="17"/>
        <v>#REF!</v>
      </c>
      <c r="S21" s="110"/>
      <c r="T21" s="110"/>
      <c r="U21" s="110"/>
      <c r="V21" s="110"/>
      <c r="W21" s="110"/>
      <c r="X21" s="110"/>
      <c r="Y21" s="106" t="e">
        <f t="shared" si="5"/>
        <v>#REF!</v>
      </c>
      <c r="Z21" s="51" t="e">
        <f t="shared" si="6"/>
        <v>#REF!</v>
      </c>
      <c r="AA21" s="106" t="e">
        <f t="shared" si="7"/>
        <v>#REF!</v>
      </c>
      <c r="AB21" s="106" t="e">
        <f t="shared" ref="AB21:AB29" si="19">+Y21/F21</f>
        <v>#REF!</v>
      </c>
      <c r="AC21" s="106" t="e">
        <f t="shared" ref="AC21:AC29" si="20">+Z21/F21</f>
        <v>#REF!</v>
      </c>
      <c r="AD21" s="106" t="e">
        <f t="shared" ref="AD21:AD29" si="21">+AA21/F21</f>
        <v>#REF!</v>
      </c>
      <c r="AE21" s="197" t="e">
        <f>+#REF!</f>
        <v>#REF!</v>
      </c>
      <c r="AF21" s="203" t="e">
        <f t="shared" si="14"/>
        <v>#REF!</v>
      </c>
      <c r="AG21" s="198" t="e">
        <f t="shared" si="0"/>
        <v>#REF!</v>
      </c>
      <c r="AH21" s="199" t="e">
        <f>4-Z21/1000</f>
        <v>#REF!</v>
      </c>
      <c r="AI21" s="310"/>
      <c r="AJ21" s="201"/>
      <c r="AK21" s="202" t="e">
        <f>4-AH21</f>
        <v>#REF!</v>
      </c>
    </row>
    <row r="22" spans="1:37" s="68" customFormat="1" ht="30.75" customHeight="1">
      <c r="A22" s="321"/>
      <c r="B22" s="321"/>
      <c r="C22" s="105" t="e">
        <f>+#REF!</f>
        <v>#REF!</v>
      </c>
      <c r="D22" s="104" t="e">
        <f>+#REF!</f>
        <v>#REF!</v>
      </c>
      <c r="E22" s="104" t="e">
        <f>#REF!</f>
        <v>#REF!</v>
      </c>
      <c r="F22" s="192" t="e">
        <f t="shared" si="18"/>
        <v>#REF!</v>
      </c>
      <c r="G22" s="107" t="e">
        <f>+#REF!</f>
        <v>#REF!</v>
      </c>
      <c r="H22" s="107" t="e">
        <f>+#REF!</f>
        <v>#REF!</v>
      </c>
      <c r="I22" s="107" t="e">
        <f>+#REF!</f>
        <v>#REF!</v>
      </c>
      <c r="J22" s="111" t="e">
        <f>+#REF!</f>
        <v>#REF!</v>
      </c>
      <c r="K22" s="111" t="e">
        <f>+#REF!</f>
        <v>#REF!</v>
      </c>
      <c r="L22" s="111" t="e">
        <f>+#REF!</f>
        <v>#REF!</v>
      </c>
      <c r="M22" s="109" t="e">
        <f>#REF!</f>
        <v>#REF!</v>
      </c>
      <c r="N22" s="109" t="e">
        <f>#REF!</f>
        <v>#REF!</v>
      </c>
      <c r="O22" s="109" t="e">
        <f>#REF!</f>
        <v>#REF!</v>
      </c>
      <c r="P22" s="112" t="e">
        <f t="shared" ref="P22:R29" si="22">+M22</f>
        <v>#REF!</v>
      </c>
      <c r="Q22" s="112" t="e">
        <f t="shared" si="22"/>
        <v>#REF!</v>
      </c>
      <c r="R22" s="112" t="e">
        <f t="shared" si="22"/>
        <v>#REF!</v>
      </c>
      <c r="S22" s="110"/>
      <c r="T22" s="110"/>
      <c r="U22" s="110"/>
      <c r="V22" s="110"/>
      <c r="W22" s="110"/>
      <c r="X22" s="110"/>
      <c r="Y22" s="106" t="e">
        <f t="shared" si="5"/>
        <v>#REF!</v>
      </c>
      <c r="Z22" s="51" t="e">
        <f t="shared" si="6"/>
        <v>#REF!</v>
      </c>
      <c r="AA22" s="106" t="e">
        <f t="shared" si="7"/>
        <v>#REF!</v>
      </c>
      <c r="AB22" s="106" t="e">
        <f t="shared" si="19"/>
        <v>#REF!</v>
      </c>
      <c r="AC22" s="106" t="e">
        <f t="shared" si="20"/>
        <v>#REF!</v>
      </c>
      <c r="AD22" s="106" t="e">
        <f t="shared" si="21"/>
        <v>#REF!</v>
      </c>
      <c r="AE22" s="197" t="e">
        <f>+#REF!</f>
        <v>#REF!</v>
      </c>
      <c r="AF22" s="203" t="e">
        <f t="shared" si="14"/>
        <v>#REF!</v>
      </c>
      <c r="AG22" s="198" t="e">
        <f t="shared" si="0"/>
        <v>#REF!</v>
      </c>
      <c r="AH22" s="199" t="e">
        <f>3.89-Z22/1000</f>
        <v>#REF!</v>
      </c>
      <c r="AI22" s="310"/>
      <c r="AJ22" s="201"/>
      <c r="AK22" s="202" t="e">
        <f>3.89-AH22</f>
        <v>#REF!</v>
      </c>
    </row>
    <row r="23" spans="1:37" s="68" customFormat="1" ht="30.75" customHeight="1">
      <c r="A23" s="321"/>
      <c r="B23" s="321"/>
      <c r="C23" s="105" t="e">
        <f>+#REF!</f>
        <v>#REF!</v>
      </c>
      <c r="D23" s="104" t="e">
        <f>+#REF!</f>
        <v>#REF!</v>
      </c>
      <c r="E23" s="104" t="e">
        <f>#REF!</f>
        <v>#REF!</v>
      </c>
      <c r="F23" s="192" t="e">
        <f t="shared" si="18"/>
        <v>#REF!</v>
      </c>
      <c r="G23" s="107" t="e">
        <f>+#REF!</f>
        <v>#REF!</v>
      </c>
      <c r="H23" s="107" t="e">
        <f>+#REF!</f>
        <v>#REF!</v>
      </c>
      <c r="I23" s="107" t="e">
        <f>+#REF!</f>
        <v>#REF!</v>
      </c>
      <c r="J23" s="111" t="e">
        <f>+#REF!</f>
        <v>#REF!</v>
      </c>
      <c r="K23" s="111" t="e">
        <f>+#REF!</f>
        <v>#REF!</v>
      </c>
      <c r="L23" s="111" t="e">
        <f>+#REF!</f>
        <v>#REF!</v>
      </c>
      <c r="M23" s="109" t="e">
        <f>#REF!</f>
        <v>#REF!</v>
      </c>
      <c r="N23" s="109" t="e">
        <f>#REF!</f>
        <v>#REF!</v>
      </c>
      <c r="O23" s="109" t="e">
        <f>#REF!</f>
        <v>#REF!</v>
      </c>
      <c r="P23" s="112" t="e">
        <f t="shared" si="22"/>
        <v>#REF!</v>
      </c>
      <c r="Q23" s="112" t="e">
        <f t="shared" si="22"/>
        <v>#REF!</v>
      </c>
      <c r="R23" s="112" t="e">
        <f t="shared" si="22"/>
        <v>#REF!</v>
      </c>
      <c r="S23" s="110"/>
      <c r="T23" s="110"/>
      <c r="U23" s="110"/>
      <c r="V23" s="110"/>
      <c r="W23" s="110"/>
      <c r="X23" s="110"/>
      <c r="Y23" s="106" t="e">
        <f t="shared" si="5"/>
        <v>#REF!</v>
      </c>
      <c r="Z23" s="51" t="e">
        <f t="shared" si="6"/>
        <v>#REF!</v>
      </c>
      <c r="AA23" s="106" t="e">
        <f t="shared" si="7"/>
        <v>#REF!</v>
      </c>
      <c r="AB23" s="106" t="e">
        <f t="shared" si="19"/>
        <v>#REF!</v>
      </c>
      <c r="AC23" s="106" t="e">
        <f t="shared" si="20"/>
        <v>#REF!</v>
      </c>
      <c r="AD23" s="106" t="e">
        <f t="shared" si="21"/>
        <v>#REF!</v>
      </c>
      <c r="AE23" s="197" t="e">
        <f>+#REF!</f>
        <v>#REF!</v>
      </c>
      <c r="AF23" s="203" t="e">
        <f t="shared" si="14"/>
        <v>#REF!</v>
      </c>
      <c r="AG23" s="198" t="e">
        <f t="shared" si="0"/>
        <v>#REF!</v>
      </c>
      <c r="AH23" s="199" t="e">
        <f>3.97-Z23/1000</f>
        <v>#REF!</v>
      </c>
      <c r="AI23" s="310"/>
      <c r="AJ23" s="201"/>
      <c r="AK23" s="202" t="e">
        <f>3.97-AH23</f>
        <v>#REF!</v>
      </c>
    </row>
    <row r="24" spans="1:37" s="68" customFormat="1" ht="30.75" customHeight="1">
      <c r="A24" s="322"/>
      <c r="B24" s="322"/>
      <c r="C24" s="105" t="e">
        <f>+#REF!</f>
        <v>#REF!</v>
      </c>
      <c r="D24" s="104" t="e">
        <f>+#REF!</f>
        <v>#REF!</v>
      </c>
      <c r="E24" s="104" t="e">
        <f>#REF!</f>
        <v>#REF!</v>
      </c>
      <c r="F24" s="192" t="e">
        <f t="shared" si="18"/>
        <v>#REF!</v>
      </c>
      <c r="G24" s="107" t="e">
        <f>+#REF!</f>
        <v>#REF!</v>
      </c>
      <c r="H24" s="107" t="e">
        <f>+#REF!</f>
        <v>#REF!</v>
      </c>
      <c r="I24" s="107" t="e">
        <f>+#REF!</f>
        <v>#REF!</v>
      </c>
      <c r="J24" s="111" t="e">
        <f>+#REF!</f>
        <v>#REF!</v>
      </c>
      <c r="K24" s="111" t="e">
        <f>+#REF!</f>
        <v>#REF!</v>
      </c>
      <c r="L24" s="111" t="e">
        <f>+#REF!</f>
        <v>#REF!</v>
      </c>
      <c r="M24" s="109" t="e">
        <f>#REF!</f>
        <v>#REF!</v>
      </c>
      <c r="N24" s="109" t="e">
        <f>#REF!</f>
        <v>#REF!</v>
      </c>
      <c r="O24" s="109" t="e">
        <f>#REF!</f>
        <v>#REF!</v>
      </c>
      <c r="P24" s="112" t="e">
        <f t="shared" si="22"/>
        <v>#REF!</v>
      </c>
      <c r="Q24" s="112" t="e">
        <f t="shared" si="22"/>
        <v>#REF!</v>
      </c>
      <c r="R24" s="112" t="e">
        <f t="shared" si="22"/>
        <v>#REF!</v>
      </c>
      <c r="S24" s="110"/>
      <c r="T24" s="110"/>
      <c r="U24" s="110"/>
      <c r="V24" s="110"/>
      <c r="W24" s="110"/>
      <c r="X24" s="110"/>
      <c r="Y24" s="106" t="e">
        <f t="shared" si="5"/>
        <v>#REF!</v>
      </c>
      <c r="Z24" s="51" t="e">
        <f t="shared" si="6"/>
        <v>#REF!</v>
      </c>
      <c r="AA24" s="106" t="e">
        <f t="shared" si="7"/>
        <v>#REF!</v>
      </c>
      <c r="AB24" s="106" t="e">
        <f>+Y24/F24</f>
        <v>#REF!</v>
      </c>
      <c r="AC24" s="106" t="e">
        <f t="shared" si="20"/>
        <v>#REF!</v>
      </c>
      <c r="AD24" s="106" t="e">
        <f t="shared" si="21"/>
        <v>#REF!</v>
      </c>
      <c r="AE24" s="197" t="e">
        <f>+#REF!</f>
        <v>#REF!</v>
      </c>
      <c r="AF24" s="203" t="e">
        <f t="shared" si="14"/>
        <v>#REF!</v>
      </c>
      <c r="AG24" s="198" t="e">
        <f t="shared" si="0"/>
        <v>#REF!</v>
      </c>
      <c r="AH24" s="199" t="e">
        <f>4.38-Z24/1000</f>
        <v>#REF!</v>
      </c>
      <c r="AI24" s="310"/>
      <c r="AJ24" s="201"/>
      <c r="AK24" s="202" t="e">
        <f>4.38-AH24</f>
        <v>#REF!</v>
      </c>
    </row>
    <row r="25" spans="1:37" s="68" customFormat="1" ht="30.75" customHeight="1">
      <c r="A25" s="320">
        <v>3</v>
      </c>
      <c r="B25" s="320" t="e">
        <f>+#REF!</f>
        <v>#REF!</v>
      </c>
      <c r="C25" s="105" t="e">
        <f>+#REF!</f>
        <v>#REF!</v>
      </c>
      <c r="D25" s="104" t="e">
        <f>+#REF!</f>
        <v>#REF!</v>
      </c>
      <c r="E25" s="104" t="e">
        <f>#REF!</f>
        <v>#REF!</v>
      </c>
      <c r="F25" s="192" t="e">
        <f t="shared" si="18"/>
        <v>#REF!</v>
      </c>
      <c r="G25" s="107" t="e">
        <f>+#REF!</f>
        <v>#REF!</v>
      </c>
      <c r="H25" s="107" t="e">
        <f>+#REF!</f>
        <v>#REF!</v>
      </c>
      <c r="I25" s="107" t="e">
        <f>+#REF!</f>
        <v>#REF!</v>
      </c>
      <c r="J25" s="111" t="e">
        <f>+#REF!</f>
        <v>#REF!</v>
      </c>
      <c r="K25" s="111" t="e">
        <f>+#REF!</f>
        <v>#REF!</v>
      </c>
      <c r="L25" s="111" t="e">
        <f>+#REF!</f>
        <v>#REF!</v>
      </c>
      <c r="M25" s="109" t="e">
        <f>#REF!</f>
        <v>#REF!</v>
      </c>
      <c r="N25" s="109" t="e">
        <f>#REF!</f>
        <v>#REF!</v>
      </c>
      <c r="O25" s="109" t="e">
        <f>#REF!</f>
        <v>#REF!</v>
      </c>
      <c r="P25" s="112" t="e">
        <f t="shared" si="22"/>
        <v>#REF!</v>
      </c>
      <c r="Q25" s="112" t="e">
        <f t="shared" si="22"/>
        <v>#REF!</v>
      </c>
      <c r="R25" s="112" t="e">
        <f t="shared" si="22"/>
        <v>#REF!</v>
      </c>
      <c r="S25" s="110"/>
      <c r="T25" s="110"/>
      <c r="U25" s="110"/>
      <c r="V25" s="110"/>
      <c r="W25" s="110"/>
      <c r="X25" s="110"/>
      <c r="Y25" s="80" t="e">
        <f t="shared" si="5"/>
        <v>#REF!</v>
      </c>
      <c r="Z25" s="80" t="e">
        <f t="shared" si="6"/>
        <v>#REF!</v>
      </c>
      <c r="AA25" s="80" t="e">
        <f t="shared" si="7"/>
        <v>#REF!</v>
      </c>
      <c r="AB25" s="106" t="e">
        <f t="shared" si="19"/>
        <v>#REF!</v>
      </c>
      <c r="AC25" s="106" t="e">
        <f t="shared" si="20"/>
        <v>#REF!</v>
      </c>
      <c r="AD25" s="106" t="e">
        <f t="shared" si="21"/>
        <v>#REF!</v>
      </c>
      <c r="AE25" s="197" t="e">
        <f>+#REF!</f>
        <v>#REF!</v>
      </c>
      <c r="AF25" s="203" t="e">
        <f t="shared" si="14"/>
        <v>#REF!</v>
      </c>
      <c r="AG25" s="198" t="e">
        <f t="shared" si="0"/>
        <v>#REF!</v>
      </c>
      <c r="AH25" s="199"/>
      <c r="AI25" s="310" t="e">
        <f>SUM(AG25:AG28)/4</f>
        <v>#REF!</v>
      </c>
      <c r="AJ25" s="123" t="e">
        <f>SUM(Z25:Z28)/4</f>
        <v>#REF!</v>
      </c>
    </row>
    <row r="26" spans="1:37" s="68" customFormat="1" ht="30.75" customHeight="1">
      <c r="A26" s="321"/>
      <c r="B26" s="321"/>
      <c r="C26" s="105" t="e">
        <f>+#REF!</f>
        <v>#REF!</v>
      </c>
      <c r="D26" s="104" t="e">
        <f>+#REF!</f>
        <v>#REF!</v>
      </c>
      <c r="E26" s="104" t="e">
        <f>#REF!</f>
        <v>#REF!</v>
      </c>
      <c r="F26" s="192" t="e">
        <f>+E26-D26</f>
        <v>#REF!</v>
      </c>
      <c r="G26" s="107" t="e">
        <f>+#REF!</f>
        <v>#REF!</v>
      </c>
      <c r="H26" s="107" t="e">
        <f>+#REF!</f>
        <v>#REF!</v>
      </c>
      <c r="I26" s="107" t="e">
        <f>+#REF!</f>
        <v>#REF!</v>
      </c>
      <c r="J26" s="111" t="e">
        <f>+#REF!</f>
        <v>#REF!</v>
      </c>
      <c r="K26" s="111" t="e">
        <f>+#REF!</f>
        <v>#REF!</v>
      </c>
      <c r="L26" s="111" t="e">
        <f>+#REF!</f>
        <v>#REF!</v>
      </c>
      <c r="M26" s="109" t="e">
        <f>#REF!</f>
        <v>#REF!</v>
      </c>
      <c r="N26" s="109" t="e">
        <f>#REF!</f>
        <v>#REF!</v>
      </c>
      <c r="O26" s="109" t="e">
        <f>#REF!</f>
        <v>#REF!</v>
      </c>
      <c r="P26" s="112" t="e">
        <f t="shared" si="22"/>
        <v>#REF!</v>
      </c>
      <c r="Q26" s="112" t="e">
        <f t="shared" si="22"/>
        <v>#REF!</v>
      </c>
      <c r="R26" s="112" t="e">
        <f t="shared" si="22"/>
        <v>#REF!</v>
      </c>
      <c r="S26" s="110"/>
      <c r="T26" s="110"/>
      <c r="U26" s="110"/>
      <c r="V26" s="110"/>
      <c r="W26" s="110"/>
      <c r="X26" s="110"/>
      <c r="Y26" s="80" t="e">
        <f t="shared" si="5"/>
        <v>#REF!</v>
      </c>
      <c r="Z26" s="80" t="e">
        <f t="shared" si="6"/>
        <v>#REF!</v>
      </c>
      <c r="AA26" s="80" t="e">
        <f t="shared" si="7"/>
        <v>#REF!</v>
      </c>
      <c r="AB26" s="106" t="e">
        <f t="shared" si="19"/>
        <v>#REF!</v>
      </c>
      <c r="AC26" s="106" t="e">
        <f t="shared" si="20"/>
        <v>#REF!</v>
      </c>
      <c r="AD26" s="106" t="e">
        <f t="shared" si="21"/>
        <v>#REF!</v>
      </c>
      <c r="AE26" s="197" t="e">
        <f>+#REF!</f>
        <v>#REF!</v>
      </c>
      <c r="AF26" s="203" t="e">
        <f t="shared" si="14"/>
        <v>#REF!</v>
      </c>
      <c r="AG26" s="198" t="e">
        <f t="shared" si="0"/>
        <v>#REF!</v>
      </c>
      <c r="AH26" s="199"/>
      <c r="AI26" s="310"/>
      <c r="AJ26" s="201"/>
    </row>
    <row r="27" spans="1:37" s="68" customFormat="1" ht="30.75" customHeight="1">
      <c r="A27" s="321"/>
      <c r="B27" s="321"/>
      <c r="C27" s="105" t="e">
        <f>+#REF!</f>
        <v>#REF!</v>
      </c>
      <c r="D27" s="104" t="e">
        <f>+#REF!</f>
        <v>#REF!</v>
      </c>
      <c r="E27" s="104" t="e">
        <f>#REF!</f>
        <v>#REF!</v>
      </c>
      <c r="F27" s="192" t="e">
        <f t="shared" si="18"/>
        <v>#REF!</v>
      </c>
      <c r="G27" s="107" t="e">
        <f>+#REF!</f>
        <v>#REF!</v>
      </c>
      <c r="H27" s="107" t="e">
        <f>+#REF!</f>
        <v>#REF!</v>
      </c>
      <c r="I27" s="107" t="e">
        <f>+#REF!</f>
        <v>#REF!</v>
      </c>
      <c r="J27" s="111" t="e">
        <f>+#REF!</f>
        <v>#REF!</v>
      </c>
      <c r="K27" s="111" t="e">
        <f>+#REF!</f>
        <v>#REF!</v>
      </c>
      <c r="L27" s="111" t="e">
        <f>+#REF!</f>
        <v>#REF!</v>
      </c>
      <c r="M27" s="109" t="e">
        <f>#REF!</f>
        <v>#REF!</v>
      </c>
      <c r="N27" s="109" t="e">
        <f>#REF!</f>
        <v>#REF!</v>
      </c>
      <c r="O27" s="109" t="e">
        <f>#REF!</f>
        <v>#REF!</v>
      </c>
      <c r="P27" s="112" t="e">
        <f t="shared" si="22"/>
        <v>#REF!</v>
      </c>
      <c r="Q27" s="112" t="e">
        <f t="shared" si="22"/>
        <v>#REF!</v>
      </c>
      <c r="R27" s="112" t="e">
        <f t="shared" si="22"/>
        <v>#REF!</v>
      </c>
      <c r="S27" s="110"/>
      <c r="T27" s="110"/>
      <c r="U27" s="110"/>
      <c r="V27" s="110"/>
      <c r="W27" s="110"/>
      <c r="X27" s="110"/>
      <c r="Y27" s="80" t="e">
        <f t="shared" si="5"/>
        <v>#REF!</v>
      </c>
      <c r="Z27" s="80" t="e">
        <f t="shared" si="6"/>
        <v>#REF!</v>
      </c>
      <c r="AA27" s="80" t="e">
        <f t="shared" si="7"/>
        <v>#REF!</v>
      </c>
      <c r="AB27" s="106" t="e">
        <f t="shared" si="19"/>
        <v>#REF!</v>
      </c>
      <c r="AC27" s="106" t="e">
        <f t="shared" si="20"/>
        <v>#REF!</v>
      </c>
      <c r="AD27" s="106" t="e">
        <f t="shared" si="21"/>
        <v>#REF!</v>
      </c>
      <c r="AE27" s="197" t="e">
        <f>+#REF!</f>
        <v>#REF!</v>
      </c>
      <c r="AF27" s="203" t="e">
        <f t="shared" si="14"/>
        <v>#REF!</v>
      </c>
      <c r="AG27" s="198" t="e">
        <f t="shared" si="0"/>
        <v>#REF!</v>
      </c>
      <c r="AH27" s="199"/>
      <c r="AI27" s="310"/>
      <c r="AJ27" s="201"/>
    </row>
    <row r="28" spans="1:37" s="68" customFormat="1" ht="30.75" customHeight="1">
      <c r="A28" s="322"/>
      <c r="B28" s="322"/>
      <c r="C28" s="105" t="e">
        <f>+#REF!</f>
        <v>#REF!</v>
      </c>
      <c r="D28" s="104" t="e">
        <f>+#REF!</f>
        <v>#REF!</v>
      </c>
      <c r="E28" s="104" t="e">
        <f>#REF!</f>
        <v>#REF!</v>
      </c>
      <c r="F28" s="192" t="e">
        <f t="shared" si="18"/>
        <v>#REF!</v>
      </c>
      <c r="G28" s="107" t="e">
        <f>#REF!</f>
        <v>#REF!</v>
      </c>
      <c r="H28" s="107" t="e">
        <f>#REF!</f>
        <v>#REF!</v>
      </c>
      <c r="I28" s="107" t="e">
        <f>#REF!</f>
        <v>#REF!</v>
      </c>
      <c r="J28" s="111" t="e">
        <f>+#REF!</f>
        <v>#REF!</v>
      </c>
      <c r="K28" s="111" t="e">
        <f>+#REF!</f>
        <v>#REF!</v>
      </c>
      <c r="L28" s="111" t="e">
        <f>+#REF!</f>
        <v>#REF!</v>
      </c>
      <c r="M28" s="109" t="e">
        <f>#REF!</f>
        <v>#REF!</v>
      </c>
      <c r="N28" s="109" t="e">
        <f>#REF!</f>
        <v>#REF!</v>
      </c>
      <c r="O28" s="109" t="e">
        <f>#REF!</f>
        <v>#REF!</v>
      </c>
      <c r="P28" s="112" t="e">
        <f t="shared" si="22"/>
        <v>#REF!</v>
      </c>
      <c r="Q28" s="112" t="e">
        <f t="shared" si="22"/>
        <v>#REF!</v>
      </c>
      <c r="R28" s="112" t="e">
        <f t="shared" si="22"/>
        <v>#REF!</v>
      </c>
      <c r="S28" s="110"/>
      <c r="T28" s="110"/>
      <c r="U28" s="110"/>
      <c r="V28" s="110"/>
      <c r="W28" s="110"/>
      <c r="X28" s="110"/>
      <c r="Y28" s="80" t="e">
        <f t="shared" si="5"/>
        <v>#REF!</v>
      </c>
      <c r="Z28" s="80" t="e">
        <f t="shared" si="6"/>
        <v>#REF!</v>
      </c>
      <c r="AA28" s="80" t="e">
        <f t="shared" si="7"/>
        <v>#REF!</v>
      </c>
      <c r="AB28" s="106" t="e">
        <f t="shared" si="19"/>
        <v>#REF!</v>
      </c>
      <c r="AC28" s="106" t="e">
        <f t="shared" si="20"/>
        <v>#REF!</v>
      </c>
      <c r="AD28" s="106" t="e">
        <f t="shared" si="21"/>
        <v>#REF!</v>
      </c>
      <c r="AE28" s="197" t="e">
        <f>+#REF!</f>
        <v>#REF!</v>
      </c>
      <c r="AF28" s="203" t="e">
        <f t="shared" si="14"/>
        <v>#REF!</v>
      </c>
      <c r="AG28" s="198" t="e">
        <f t="shared" si="0"/>
        <v>#REF!</v>
      </c>
      <c r="AH28" s="199"/>
      <c r="AI28" s="310"/>
      <c r="AJ28" s="201"/>
    </row>
    <row r="29" spans="1:37" s="68" customFormat="1" ht="37.5" customHeight="1">
      <c r="A29" s="105">
        <v>4</v>
      </c>
      <c r="B29" s="105" t="e">
        <f>+#REF!</f>
        <v>#REF!</v>
      </c>
      <c r="C29" s="105" t="e">
        <f>+#REF!</f>
        <v>#REF!</v>
      </c>
      <c r="D29" s="104" t="e">
        <f>+#REF!</f>
        <v>#REF!</v>
      </c>
      <c r="E29" s="104" t="e">
        <f>#REF!</f>
        <v>#REF!</v>
      </c>
      <c r="F29" s="192" t="e">
        <f t="shared" si="18"/>
        <v>#REF!</v>
      </c>
      <c r="G29" s="107" t="e">
        <f>+#REF!</f>
        <v>#REF!</v>
      </c>
      <c r="H29" s="107" t="e">
        <f>+#REF!</f>
        <v>#REF!</v>
      </c>
      <c r="I29" s="107" t="e">
        <f>+#REF!</f>
        <v>#REF!</v>
      </c>
      <c r="J29" s="111" t="e">
        <f>+#REF!</f>
        <v>#REF!</v>
      </c>
      <c r="K29" s="111" t="e">
        <f>+#REF!</f>
        <v>#REF!</v>
      </c>
      <c r="L29" s="111" t="e">
        <f>+#REF!</f>
        <v>#REF!</v>
      </c>
      <c r="M29" s="109" t="e">
        <f>#REF!</f>
        <v>#REF!</v>
      </c>
      <c r="N29" s="109" t="e">
        <f>#REF!</f>
        <v>#REF!</v>
      </c>
      <c r="O29" s="109" t="e">
        <f>#REF!</f>
        <v>#REF!</v>
      </c>
      <c r="P29" s="112" t="e">
        <f t="shared" si="22"/>
        <v>#REF!</v>
      </c>
      <c r="Q29" s="112" t="e">
        <f t="shared" si="22"/>
        <v>#REF!</v>
      </c>
      <c r="R29" s="112" t="e">
        <f t="shared" si="22"/>
        <v>#REF!</v>
      </c>
      <c r="S29" s="110"/>
      <c r="T29" s="110"/>
      <c r="U29" s="110"/>
      <c r="V29" s="110"/>
      <c r="W29" s="110"/>
      <c r="X29" s="110"/>
      <c r="Y29" s="80" t="e">
        <f t="shared" si="5"/>
        <v>#REF!</v>
      </c>
      <c r="Z29" s="80" t="e">
        <f t="shared" si="6"/>
        <v>#REF!</v>
      </c>
      <c r="AA29" s="80" t="e">
        <f t="shared" si="7"/>
        <v>#REF!</v>
      </c>
      <c r="AB29" s="106" t="e">
        <f t="shared" si="19"/>
        <v>#REF!</v>
      </c>
      <c r="AC29" s="106" t="e">
        <f t="shared" si="20"/>
        <v>#REF!</v>
      </c>
      <c r="AD29" s="106" t="e">
        <f t="shared" si="21"/>
        <v>#REF!</v>
      </c>
      <c r="AE29" s="197" t="e">
        <f>+#REF!</f>
        <v>#REF!</v>
      </c>
      <c r="AF29" s="203" t="e">
        <f t="shared" si="14"/>
        <v>#REF!</v>
      </c>
      <c r="AG29" s="198" t="e">
        <f t="shared" si="0"/>
        <v>#REF!</v>
      </c>
      <c r="AH29" s="199"/>
      <c r="AI29" s="198" t="e">
        <f>+AG29</f>
        <v>#REF!</v>
      </c>
      <c r="AJ29" s="201"/>
    </row>
    <row r="30" spans="1:37" s="68" customFormat="1" ht="33.75" customHeight="1">
      <c r="A30" s="320">
        <v>5</v>
      </c>
      <c r="B30" s="320" t="e">
        <f>+#REF!</f>
        <v>#REF!</v>
      </c>
      <c r="C30" s="105" t="e">
        <f>+#REF!</f>
        <v>#REF!</v>
      </c>
      <c r="D30" s="104" t="e">
        <f>+#REF!</f>
        <v>#REF!</v>
      </c>
      <c r="E30" s="104" t="e">
        <f>#REF!</f>
        <v>#REF!</v>
      </c>
      <c r="F30" s="192" t="e">
        <f t="shared" si="18"/>
        <v>#REF!</v>
      </c>
      <c r="G30" s="107" t="e">
        <f>+#REF!</f>
        <v>#REF!</v>
      </c>
      <c r="H30" s="107" t="e">
        <f>+#REF!</f>
        <v>#REF!</v>
      </c>
      <c r="I30" s="107" t="e">
        <f>+#REF!</f>
        <v>#REF!</v>
      </c>
      <c r="J30" s="111" t="e">
        <f>+#REF!</f>
        <v>#REF!</v>
      </c>
      <c r="K30" s="111" t="e">
        <f>+#REF!</f>
        <v>#REF!</v>
      </c>
      <c r="L30" s="111" t="e">
        <f>+#REF!</f>
        <v>#REF!</v>
      </c>
      <c r="M30" s="109" t="e">
        <f>#REF!</f>
        <v>#REF!</v>
      </c>
      <c r="N30" s="109" t="e">
        <f>#REF!</f>
        <v>#REF!</v>
      </c>
      <c r="O30" s="109" t="e">
        <f>#REF!</f>
        <v>#REF!</v>
      </c>
      <c r="P30" s="112" t="e">
        <f t="shared" ref="P30:P54" si="23">+M30</f>
        <v>#REF!</v>
      </c>
      <c r="Q30" s="112" t="e">
        <f t="shared" ref="Q30:Q54" si="24">+N30</f>
        <v>#REF!</v>
      </c>
      <c r="R30" s="112" t="e">
        <f t="shared" ref="R30:R54" si="25">+O30</f>
        <v>#REF!</v>
      </c>
      <c r="S30" s="110"/>
      <c r="T30" s="110"/>
      <c r="U30" s="110"/>
      <c r="V30" s="110"/>
      <c r="W30" s="110"/>
      <c r="X30" s="110"/>
      <c r="Y30" s="80" t="e">
        <f t="shared" si="5"/>
        <v>#REF!</v>
      </c>
      <c r="Z30" s="80" t="e">
        <f t="shared" si="6"/>
        <v>#REF!</v>
      </c>
      <c r="AA30" s="80" t="e">
        <f t="shared" si="7"/>
        <v>#REF!</v>
      </c>
      <c r="AB30" s="106" t="e">
        <f t="shared" ref="AB30:AB54" si="26">+Y30/F30</f>
        <v>#REF!</v>
      </c>
      <c r="AC30" s="106" t="e">
        <f t="shared" ref="AC30:AC54" si="27">+Z30/F30</f>
        <v>#REF!</v>
      </c>
      <c r="AD30" s="106" t="e">
        <f t="shared" ref="AD30:AD54" si="28">+AA30/F30</f>
        <v>#REF!</v>
      </c>
      <c r="AE30" s="197" t="e">
        <f>+#REF!</f>
        <v>#REF!</v>
      </c>
      <c r="AF30" s="203" t="e">
        <f>+AE30-K30</f>
        <v>#REF!</v>
      </c>
      <c r="AG30" s="198" t="e">
        <f t="shared" si="0"/>
        <v>#REF!</v>
      </c>
      <c r="AH30" s="199" t="e">
        <f t="shared" ref="AH30:AH61" si="29">+AE30+AG30/1000</f>
        <v>#REF!</v>
      </c>
      <c r="AI30" s="310" t="e">
        <f>SUM(AG30:AG31)/2</f>
        <v>#REF!</v>
      </c>
      <c r="AJ30" s="123" t="e">
        <f>SUM(Z30:Z31)/2</f>
        <v>#REF!</v>
      </c>
    </row>
    <row r="31" spans="1:37" s="68" customFormat="1" ht="33.75" customHeight="1">
      <c r="A31" s="322"/>
      <c r="B31" s="322"/>
      <c r="C31" s="105" t="e">
        <f>+#REF!</f>
        <v>#REF!</v>
      </c>
      <c r="D31" s="104" t="e">
        <f>+#REF!</f>
        <v>#REF!</v>
      </c>
      <c r="E31" s="104" t="e">
        <f>#REF!</f>
        <v>#REF!</v>
      </c>
      <c r="F31" s="192" t="e">
        <f t="shared" si="18"/>
        <v>#REF!</v>
      </c>
      <c r="G31" s="107" t="e">
        <f>#REF!</f>
        <v>#REF!</v>
      </c>
      <c r="H31" s="107" t="e">
        <f>#REF!</f>
        <v>#REF!</v>
      </c>
      <c r="I31" s="107" t="e">
        <f>#REF!</f>
        <v>#REF!</v>
      </c>
      <c r="J31" s="111" t="e">
        <f>+#REF!</f>
        <v>#REF!</v>
      </c>
      <c r="K31" s="111" t="e">
        <f>+#REF!</f>
        <v>#REF!</v>
      </c>
      <c r="L31" s="111" t="e">
        <f>+#REF!</f>
        <v>#REF!</v>
      </c>
      <c r="M31" s="109" t="e">
        <f>#REF!</f>
        <v>#REF!</v>
      </c>
      <c r="N31" s="109" t="e">
        <f>#REF!</f>
        <v>#REF!</v>
      </c>
      <c r="O31" s="109" t="e">
        <f>#REF!</f>
        <v>#REF!</v>
      </c>
      <c r="P31" s="112" t="e">
        <f t="shared" si="23"/>
        <v>#REF!</v>
      </c>
      <c r="Q31" s="112" t="e">
        <f t="shared" si="24"/>
        <v>#REF!</v>
      </c>
      <c r="R31" s="112" t="e">
        <f t="shared" si="25"/>
        <v>#REF!</v>
      </c>
      <c r="S31" s="110"/>
      <c r="T31" s="110"/>
      <c r="U31" s="110"/>
      <c r="V31" s="110"/>
      <c r="W31" s="110"/>
      <c r="X31" s="110"/>
      <c r="Y31" s="80" t="e">
        <f t="shared" si="5"/>
        <v>#REF!</v>
      </c>
      <c r="Z31" s="80" t="e">
        <f t="shared" si="6"/>
        <v>#REF!</v>
      </c>
      <c r="AA31" s="80" t="e">
        <f t="shared" si="7"/>
        <v>#REF!</v>
      </c>
      <c r="AB31" s="106" t="e">
        <f t="shared" si="26"/>
        <v>#REF!</v>
      </c>
      <c r="AC31" s="106" t="e">
        <f t="shared" si="27"/>
        <v>#REF!</v>
      </c>
      <c r="AD31" s="106" t="e">
        <f t="shared" si="28"/>
        <v>#REF!</v>
      </c>
      <c r="AE31" s="197" t="e">
        <f>+#REF!</f>
        <v>#REF!</v>
      </c>
      <c r="AF31" s="203" t="e">
        <f t="shared" si="14"/>
        <v>#REF!</v>
      </c>
      <c r="AG31" s="198" t="e">
        <f t="shared" si="0"/>
        <v>#REF!</v>
      </c>
      <c r="AH31" s="199" t="e">
        <f t="shared" si="29"/>
        <v>#REF!</v>
      </c>
      <c r="AI31" s="310"/>
      <c r="AJ31" s="201"/>
    </row>
    <row r="32" spans="1:37" s="68" customFormat="1" ht="33.75" customHeight="1">
      <c r="A32" s="320">
        <v>6</v>
      </c>
      <c r="B32" s="320" t="e">
        <f>+#REF!</f>
        <v>#REF!</v>
      </c>
      <c r="C32" s="105" t="e">
        <f>+#REF!</f>
        <v>#REF!</v>
      </c>
      <c r="D32" s="104" t="e">
        <f>+#REF!</f>
        <v>#REF!</v>
      </c>
      <c r="E32" s="104" t="e">
        <f>#REF!</f>
        <v>#REF!</v>
      </c>
      <c r="F32" s="192" t="e">
        <f t="shared" si="18"/>
        <v>#REF!</v>
      </c>
      <c r="G32" s="107" t="e">
        <f>#REF!</f>
        <v>#REF!</v>
      </c>
      <c r="H32" s="107" t="e">
        <f>#REF!</f>
        <v>#REF!</v>
      </c>
      <c r="I32" s="107" t="e">
        <f>#REF!</f>
        <v>#REF!</v>
      </c>
      <c r="J32" s="111" t="e">
        <f>+#REF!</f>
        <v>#REF!</v>
      </c>
      <c r="K32" s="111" t="e">
        <f>+#REF!</f>
        <v>#REF!</v>
      </c>
      <c r="L32" s="111" t="e">
        <f>+#REF!</f>
        <v>#REF!</v>
      </c>
      <c r="M32" s="109" t="e">
        <f>#REF!</f>
        <v>#REF!</v>
      </c>
      <c r="N32" s="109" t="e">
        <f>#REF!</f>
        <v>#REF!</v>
      </c>
      <c r="O32" s="109" t="e">
        <f>#REF!</f>
        <v>#REF!</v>
      </c>
      <c r="P32" s="112" t="e">
        <f t="shared" si="23"/>
        <v>#REF!</v>
      </c>
      <c r="Q32" s="112" t="e">
        <f t="shared" si="24"/>
        <v>#REF!</v>
      </c>
      <c r="R32" s="112" t="e">
        <f t="shared" si="25"/>
        <v>#REF!</v>
      </c>
      <c r="S32" s="110"/>
      <c r="T32" s="110"/>
      <c r="U32" s="110"/>
      <c r="V32" s="110"/>
      <c r="W32" s="110"/>
      <c r="X32" s="110"/>
      <c r="Y32" s="80" t="e">
        <f t="shared" si="5"/>
        <v>#REF!</v>
      </c>
      <c r="Z32" s="80" t="e">
        <f t="shared" si="6"/>
        <v>#REF!</v>
      </c>
      <c r="AA32" s="80" t="e">
        <f t="shared" si="7"/>
        <v>#REF!</v>
      </c>
      <c r="AB32" s="106" t="e">
        <f t="shared" si="26"/>
        <v>#REF!</v>
      </c>
      <c r="AC32" s="106" t="e">
        <f t="shared" si="27"/>
        <v>#REF!</v>
      </c>
      <c r="AD32" s="106" t="e">
        <f t="shared" si="28"/>
        <v>#REF!</v>
      </c>
      <c r="AE32" s="197" t="e">
        <f>+#REF!</f>
        <v>#REF!</v>
      </c>
      <c r="AF32" s="203" t="e">
        <f t="shared" si="14"/>
        <v>#REF!</v>
      </c>
      <c r="AG32" s="198" t="e">
        <f t="shared" si="0"/>
        <v>#REF!</v>
      </c>
      <c r="AH32" s="199" t="e">
        <f t="shared" si="29"/>
        <v>#REF!</v>
      </c>
      <c r="AI32" s="310" t="e">
        <f>SUM(AG32:AG35)/4</f>
        <v>#REF!</v>
      </c>
      <c r="AJ32" s="123" t="e">
        <f>SUM(Z32:Z35)/4</f>
        <v>#REF!</v>
      </c>
    </row>
    <row r="33" spans="1:37" s="68" customFormat="1" ht="33.75" customHeight="1">
      <c r="A33" s="321"/>
      <c r="B33" s="321"/>
      <c r="C33" s="105" t="e">
        <f>+#REF!</f>
        <v>#REF!</v>
      </c>
      <c r="D33" s="104" t="e">
        <f>+#REF!</f>
        <v>#REF!</v>
      </c>
      <c r="E33" s="104" t="e">
        <f>#REF!</f>
        <v>#REF!</v>
      </c>
      <c r="F33" s="192" t="e">
        <f t="shared" si="18"/>
        <v>#REF!</v>
      </c>
      <c r="G33" s="107" t="e">
        <f>+#REF!</f>
        <v>#REF!</v>
      </c>
      <c r="H33" s="107" t="e">
        <f>+#REF!</f>
        <v>#REF!</v>
      </c>
      <c r="I33" s="107" t="e">
        <f>+#REF!</f>
        <v>#REF!</v>
      </c>
      <c r="J33" s="111" t="e">
        <f>+#REF!</f>
        <v>#REF!</v>
      </c>
      <c r="K33" s="111" t="e">
        <f>+#REF!</f>
        <v>#REF!</v>
      </c>
      <c r="L33" s="111" t="e">
        <f>+#REF!</f>
        <v>#REF!</v>
      </c>
      <c r="M33" s="109" t="e">
        <f>#REF!</f>
        <v>#REF!</v>
      </c>
      <c r="N33" s="109" t="e">
        <f>#REF!</f>
        <v>#REF!</v>
      </c>
      <c r="O33" s="109" t="e">
        <f>#REF!</f>
        <v>#REF!</v>
      </c>
      <c r="P33" s="112" t="e">
        <f t="shared" si="23"/>
        <v>#REF!</v>
      </c>
      <c r="Q33" s="112" t="e">
        <f t="shared" si="24"/>
        <v>#REF!</v>
      </c>
      <c r="R33" s="112" t="e">
        <f t="shared" si="25"/>
        <v>#REF!</v>
      </c>
      <c r="S33" s="110"/>
      <c r="T33" s="110"/>
      <c r="U33" s="110"/>
      <c r="V33" s="110"/>
      <c r="W33" s="110"/>
      <c r="X33" s="110"/>
      <c r="Y33" s="80" t="e">
        <f t="shared" si="5"/>
        <v>#REF!</v>
      </c>
      <c r="Z33" s="80" t="e">
        <f t="shared" si="6"/>
        <v>#REF!</v>
      </c>
      <c r="AA33" s="80" t="e">
        <f t="shared" si="7"/>
        <v>#REF!</v>
      </c>
      <c r="AB33" s="106" t="e">
        <f t="shared" si="26"/>
        <v>#REF!</v>
      </c>
      <c r="AC33" s="106" t="e">
        <f t="shared" si="27"/>
        <v>#REF!</v>
      </c>
      <c r="AD33" s="106" t="e">
        <f t="shared" si="28"/>
        <v>#REF!</v>
      </c>
      <c r="AE33" s="197" t="e">
        <f>+#REF!</f>
        <v>#REF!</v>
      </c>
      <c r="AF33" s="203" t="e">
        <f t="shared" si="14"/>
        <v>#REF!</v>
      </c>
      <c r="AG33" s="198" t="e">
        <f t="shared" si="0"/>
        <v>#REF!</v>
      </c>
      <c r="AH33" s="199" t="e">
        <f t="shared" si="29"/>
        <v>#REF!</v>
      </c>
      <c r="AI33" s="310"/>
      <c r="AJ33" s="201"/>
    </row>
    <row r="34" spans="1:37" s="68" customFormat="1" ht="33.75" customHeight="1">
      <c r="A34" s="321"/>
      <c r="B34" s="321"/>
      <c r="C34" s="105" t="e">
        <f>+#REF!</f>
        <v>#REF!</v>
      </c>
      <c r="D34" s="104" t="e">
        <f>+#REF!</f>
        <v>#REF!</v>
      </c>
      <c r="E34" s="104" t="e">
        <f>#REF!</f>
        <v>#REF!</v>
      </c>
      <c r="F34" s="192" t="e">
        <f>+E34-D34</f>
        <v>#REF!</v>
      </c>
      <c r="G34" s="107" t="e">
        <f>#REF!</f>
        <v>#REF!</v>
      </c>
      <c r="H34" s="107" t="e">
        <f>#REF!</f>
        <v>#REF!</v>
      </c>
      <c r="I34" s="107" t="e">
        <f>#REF!</f>
        <v>#REF!</v>
      </c>
      <c r="J34" s="111" t="e">
        <f>+#REF!</f>
        <v>#REF!</v>
      </c>
      <c r="K34" s="111" t="e">
        <f>+#REF!</f>
        <v>#REF!</v>
      </c>
      <c r="L34" s="111" t="e">
        <f>+#REF!</f>
        <v>#REF!</v>
      </c>
      <c r="M34" s="109" t="e">
        <f>#REF!</f>
        <v>#REF!</v>
      </c>
      <c r="N34" s="109" t="e">
        <f>#REF!</f>
        <v>#REF!</v>
      </c>
      <c r="O34" s="109" t="e">
        <f>#REF!</f>
        <v>#REF!</v>
      </c>
      <c r="P34" s="112" t="e">
        <f t="shared" si="23"/>
        <v>#REF!</v>
      </c>
      <c r="Q34" s="112" t="e">
        <f t="shared" si="24"/>
        <v>#REF!</v>
      </c>
      <c r="R34" s="112" t="e">
        <f t="shared" si="25"/>
        <v>#REF!</v>
      </c>
      <c r="S34" s="110"/>
      <c r="T34" s="110"/>
      <c r="U34" s="110"/>
      <c r="V34" s="110"/>
      <c r="W34" s="110"/>
      <c r="X34" s="110"/>
      <c r="Y34" s="80" t="e">
        <f t="shared" si="5"/>
        <v>#REF!</v>
      </c>
      <c r="Z34" s="80" t="e">
        <f t="shared" si="6"/>
        <v>#REF!</v>
      </c>
      <c r="AA34" s="80" t="e">
        <f t="shared" si="7"/>
        <v>#REF!</v>
      </c>
      <c r="AB34" s="106" t="e">
        <f>+Y34/F34</f>
        <v>#REF!</v>
      </c>
      <c r="AC34" s="106" t="e">
        <f t="shared" si="27"/>
        <v>#REF!</v>
      </c>
      <c r="AD34" s="106" t="e">
        <f t="shared" si="28"/>
        <v>#REF!</v>
      </c>
      <c r="AE34" s="197" t="e">
        <f>+#REF!</f>
        <v>#REF!</v>
      </c>
      <c r="AF34" s="203" t="e">
        <f t="shared" si="14"/>
        <v>#REF!</v>
      </c>
      <c r="AG34" s="198" t="e">
        <f t="shared" si="0"/>
        <v>#REF!</v>
      </c>
      <c r="AH34" s="199" t="e">
        <f t="shared" si="29"/>
        <v>#REF!</v>
      </c>
      <c r="AI34" s="310"/>
      <c r="AJ34" s="201"/>
    </row>
    <row r="35" spans="1:37" s="68" customFormat="1" ht="33.75" customHeight="1">
      <c r="A35" s="322"/>
      <c r="B35" s="322"/>
      <c r="C35" s="105" t="e">
        <f>+#REF!</f>
        <v>#REF!</v>
      </c>
      <c r="D35" s="104" t="e">
        <f>+#REF!</f>
        <v>#REF!</v>
      </c>
      <c r="E35" s="104" t="e">
        <f>#REF!</f>
        <v>#REF!</v>
      </c>
      <c r="F35" s="192" t="e">
        <f>+E35-D35</f>
        <v>#REF!</v>
      </c>
      <c r="G35" s="107" t="e">
        <f>#REF!</f>
        <v>#REF!</v>
      </c>
      <c r="H35" s="107" t="e">
        <f>#REF!</f>
        <v>#REF!</v>
      </c>
      <c r="I35" s="107" t="e">
        <f>#REF!</f>
        <v>#REF!</v>
      </c>
      <c r="J35" s="111" t="e">
        <f>+#REF!</f>
        <v>#REF!</v>
      </c>
      <c r="K35" s="111" t="e">
        <f>+#REF!</f>
        <v>#REF!</v>
      </c>
      <c r="L35" s="111" t="e">
        <f>+#REF!</f>
        <v>#REF!</v>
      </c>
      <c r="M35" s="109" t="e">
        <f>#REF!</f>
        <v>#REF!</v>
      </c>
      <c r="N35" s="109" t="e">
        <f>#REF!</f>
        <v>#REF!</v>
      </c>
      <c r="O35" s="109" t="e">
        <f>#REF!</f>
        <v>#REF!</v>
      </c>
      <c r="P35" s="112" t="e">
        <f t="shared" si="23"/>
        <v>#REF!</v>
      </c>
      <c r="Q35" s="112" t="e">
        <f t="shared" si="24"/>
        <v>#REF!</v>
      </c>
      <c r="R35" s="112" t="e">
        <f t="shared" si="25"/>
        <v>#REF!</v>
      </c>
      <c r="S35" s="110"/>
      <c r="T35" s="110"/>
      <c r="U35" s="110"/>
      <c r="V35" s="110"/>
      <c r="W35" s="110"/>
      <c r="X35" s="110"/>
      <c r="Y35" s="80" t="e">
        <f t="shared" si="5"/>
        <v>#REF!</v>
      </c>
      <c r="Z35" s="80" t="e">
        <f t="shared" si="6"/>
        <v>#REF!</v>
      </c>
      <c r="AA35" s="80" t="e">
        <f t="shared" si="7"/>
        <v>#REF!</v>
      </c>
      <c r="AB35" s="106" t="e">
        <f t="shared" si="26"/>
        <v>#REF!</v>
      </c>
      <c r="AC35" s="106" t="e">
        <f t="shared" si="27"/>
        <v>#REF!</v>
      </c>
      <c r="AD35" s="106" t="e">
        <f t="shared" si="28"/>
        <v>#REF!</v>
      </c>
      <c r="AE35" s="197" t="e">
        <f>+#REF!</f>
        <v>#REF!</v>
      </c>
      <c r="AF35" s="203" t="e">
        <f t="shared" si="14"/>
        <v>#REF!</v>
      </c>
      <c r="AG35" s="198" t="e">
        <f t="shared" si="0"/>
        <v>#REF!</v>
      </c>
      <c r="AH35" s="199" t="e">
        <f t="shared" si="29"/>
        <v>#REF!</v>
      </c>
      <c r="AI35" s="310"/>
      <c r="AJ35" s="201"/>
    </row>
    <row r="36" spans="1:37" s="68" customFormat="1" ht="36" customHeight="1">
      <c r="A36" s="105">
        <v>7</v>
      </c>
      <c r="B36" s="105" t="e">
        <f>+#REF!</f>
        <v>#REF!</v>
      </c>
      <c r="C36" s="105" t="e">
        <f>+#REF!</f>
        <v>#REF!</v>
      </c>
      <c r="D36" s="104" t="e">
        <f>+#REF!</f>
        <v>#REF!</v>
      </c>
      <c r="E36" s="104" t="e">
        <f>#REF!</f>
        <v>#REF!</v>
      </c>
      <c r="F36" s="192" t="e">
        <f t="shared" si="18"/>
        <v>#REF!</v>
      </c>
      <c r="G36" s="107" t="e">
        <f>+#REF!</f>
        <v>#REF!</v>
      </c>
      <c r="H36" s="107" t="e">
        <f>+#REF!</f>
        <v>#REF!</v>
      </c>
      <c r="I36" s="107" t="e">
        <f>+#REF!</f>
        <v>#REF!</v>
      </c>
      <c r="J36" s="111" t="e">
        <f>+#REF!</f>
        <v>#REF!</v>
      </c>
      <c r="K36" s="111" t="e">
        <f>+#REF!</f>
        <v>#REF!</v>
      </c>
      <c r="L36" s="111" t="e">
        <f>+#REF!</f>
        <v>#REF!</v>
      </c>
      <c r="M36" s="109" t="e">
        <f>#REF!</f>
        <v>#REF!</v>
      </c>
      <c r="N36" s="109" t="e">
        <f>#REF!</f>
        <v>#REF!</v>
      </c>
      <c r="O36" s="109" t="e">
        <f>#REF!</f>
        <v>#REF!</v>
      </c>
      <c r="P36" s="112" t="e">
        <f t="shared" si="23"/>
        <v>#REF!</v>
      </c>
      <c r="Q36" s="112" t="e">
        <f t="shared" si="24"/>
        <v>#REF!</v>
      </c>
      <c r="R36" s="112" t="e">
        <f t="shared" si="25"/>
        <v>#REF!</v>
      </c>
      <c r="S36" s="110"/>
      <c r="T36" s="110"/>
      <c r="U36" s="110"/>
      <c r="V36" s="110"/>
      <c r="W36" s="110"/>
      <c r="X36" s="110"/>
      <c r="Y36" s="80" t="e">
        <f t="shared" si="5"/>
        <v>#REF!</v>
      </c>
      <c r="Z36" s="80" t="e">
        <f t="shared" si="6"/>
        <v>#REF!</v>
      </c>
      <c r="AA36" s="80" t="e">
        <f t="shared" si="7"/>
        <v>#REF!</v>
      </c>
      <c r="AB36" s="106" t="e">
        <f t="shared" si="26"/>
        <v>#REF!</v>
      </c>
      <c r="AC36" s="106" t="e">
        <f t="shared" si="27"/>
        <v>#REF!</v>
      </c>
      <c r="AD36" s="106" t="e">
        <f t="shared" si="28"/>
        <v>#REF!</v>
      </c>
      <c r="AE36" s="197" t="e">
        <f>+#REF!</f>
        <v>#REF!</v>
      </c>
      <c r="AF36" s="203" t="e">
        <f t="shared" si="14"/>
        <v>#REF!</v>
      </c>
      <c r="AG36" s="198" t="e">
        <f t="shared" si="0"/>
        <v>#REF!</v>
      </c>
      <c r="AH36" s="199" t="e">
        <f t="shared" si="29"/>
        <v>#REF!</v>
      </c>
      <c r="AI36" s="198" t="e">
        <f>+AG36</f>
        <v>#REF!</v>
      </c>
      <c r="AJ36" s="204"/>
    </row>
    <row r="37" spans="1:37" s="68" customFormat="1" ht="25.5" hidden="1" customHeight="1">
      <c r="A37" s="200">
        <v>8</v>
      </c>
      <c r="B37" s="200" t="s">
        <v>45</v>
      </c>
      <c r="C37" s="105" t="s">
        <v>46</v>
      </c>
      <c r="D37" s="104"/>
      <c r="E37" s="104"/>
      <c r="F37" s="192"/>
      <c r="G37" s="107"/>
      <c r="H37" s="107"/>
      <c r="I37" s="107"/>
      <c r="J37" s="111"/>
      <c r="K37" s="111"/>
      <c r="L37" s="111"/>
      <c r="M37" s="109"/>
      <c r="N37" s="109"/>
      <c r="O37" s="109"/>
      <c r="P37" s="112"/>
      <c r="Q37" s="112"/>
      <c r="R37" s="112"/>
      <c r="S37" s="110"/>
      <c r="T37" s="110"/>
      <c r="U37" s="110"/>
      <c r="V37" s="110"/>
      <c r="W37" s="110"/>
      <c r="X37" s="110"/>
      <c r="Y37" s="106">
        <f t="shared" si="5"/>
        <v>0</v>
      </c>
      <c r="Z37" s="51">
        <f t="shared" si="6"/>
        <v>0</v>
      </c>
      <c r="AA37" s="106">
        <f t="shared" si="7"/>
        <v>0</v>
      </c>
      <c r="AB37" s="106"/>
      <c r="AC37" s="106"/>
      <c r="AD37" s="106"/>
      <c r="AE37" s="197"/>
      <c r="AF37" s="203">
        <f t="shared" si="14"/>
        <v>0</v>
      </c>
      <c r="AG37" s="198">
        <f t="shared" ref="AG37:AG47" si="30">+Z37</f>
        <v>0</v>
      </c>
      <c r="AH37" s="199">
        <f t="shared" si="29"/>
        <v>0</v>
      </c>
      <c r="AI37" s="198"/>
      <c r="AJ37" s="338"/>
    </row>
    <row r="38" spans="1:37" s="68" customFormat="1" ht="25.5" hidden="1" customHeight="1">
      <c r="A38" s="200">
        <v>9</v>
      </c>
      <c r="B38" s="200" t="s">
        <v>47</v>
      </c>
      <c r="C38" s="105" t="s">
        <v>48</v>
      </c>
      <c r="D38" s="104"/>
      <c r="E38" s="104"/>
      <c r="F38" s="192"/>
      <c r="G38" s="107"/>
      <c r="H38" s="107"/>
      <c r="I38" s="107"/>
      <c r="J38" s="111"/>
      <c r="K38" s="111"/>
      <c r="L38" s="111"/>
      <c r="M38" s="109"/>
      <c r="N38" s="109"/>
      <c r="O38" s="109"/>
      <c r="P38" s="112"/>
      <c r="Q38" s="112"/>
      <c r="R38" s="112"/>
      <c r="S38" s="110"/>
      <c r="T38" s="110"/>
      <c r="U38" s="110"/>
      <c r="V38" s="110"/>
      <c r="W38" s="110"/>
      <c r="X38" s="110"/>
      <c r="Y38" s="106">
        <f t="shared" si="5"/>
        <v>0</v>
      </c>
      <c r="Z38" s="51">
        <f t="shared" si="6"/>
        <v>0</v>
      </c>
      <c r="AA38" s="106">
        <f t="shared" si="7"/>
        <v>0</v>
      </c>
      <c r="AB38" s="106"/>
      <c r="AC38" s="106"/>
      <c r="AD38" s="106"/>
      <c r="AE38" s="197"/>
      <c r="AF38" s="203">
        <f t="shared" si="14"/>
        <v>0</v>
      </c>
      <c r="AG38" s="198">
        <f t="shared" si="30"/>
        <v>0</v>
      </c>
      <c r="AH38" s="199">
        <f t="shared" si="29"/>
        <v>0</v>
      </c>
      <c r="AI38" s="198"/>
      <c r="AJ38" s="338"/>
    </row>
    <row r="39" spans="1:37" s="68" customFormat="1" ht="36.75" customHeight="1">
      <c r="A39" s="200">
        <v>10</v>
      </c>
      <c r="B39" s="200" t="s">
        <v>49</v>
      </c>
      <c r="C39" s="105" t="e">
        <f>+#REF!</f>
        <v>#REF!</v>
      </c>
      <c r="D39" s="104" t="e">
        <f>+#REF!</f>
        <v>#REF!</v>
      </c>
      <c r="E39" s="104" t="e">
        <f>#REF!</f>
        <v>#REF!</v>
      </c>
      <c r="F39" s="192" t="e">
        <f>+E39-D39</f>
        <v>#REF!</v>
      </c>
      <c r="G39" s="107" t="e">
        <f>+#REF!</f>
        <v>#REF!</v>
      </c>
      <c r="H39" s="107" t="e">
        <f>+#REF!</f>
        <v>#REF!</v>
      </c>
      <c r="I39" s="107" t="e">
        <f>+#REF!</f>
        <v>#REF!</v>
      </c>
      <c r="J39" s="111" t="e">
        <f>+#REF!</f>
        <v>#REF!</v>
      </c>
      <c r="K39" s="111" t="e">
        <f>+#REF!</f>
        <v>#REF!</v>
      </c>
      <c r="L39" s="111" t="e">
        <f>+#REF!</f>
        <v>#REF!</v>
      </c>
      <c r="M39" s="109" t="e">
        <f>#REF!</f>
        <v>#REF!</v>
      </c>
      <c r="N39" s="109" t="e">
        <f>#REF!</f>
        <v>#REF!</v>
      </c>
      <c r="O39" s="109" t="e">
        <f>#REF!</f>
        <v>#REF!</v>
      </c>
      <c r="P39" s="112" t="e">
        <f t="shared" ref="P39" si="31">+M39</f>
        <v>#REF!</v>
      </c>
      <c r="Q39" s="112" t="e">
        <f t="shared" ref="Q39" si="32">+N39</f>
        <v>#REF!</v>
      </c>
      <c r="R39" s="112" t="e">
        <f t="shared" ref="R39" si="33">+O39</f>
        <v>#REF!</v>
      </c>
      <c r="S39" s="110"/>
      <c r="T39" s="110"/>
      <c r="U39" s="110"/>
      <c r="V39" s="110"/>
      <c r="W39" s="110"/>
      <c r="X39" s="110"/>
      <c r="Y39" s="80" t="e">
        <f t="shared" si="5"/>
        <v>#REF!</v>
      </c>
      <c r="Z39" s="80" t="e">
        <f t="shared" si="6"/>
        <v>#REF!</v>
      </c>
      <c r="AA39" s="80" t="e">
        <f t="shared" si="7"/>
        <v>#REF!</v>
      </c>
      <c r="AB39" s="106" t="e">
        <f t="shared" ref="AB39" si="34">+Y39/F39</f>
        <v>#REF!</v>
      </c>
      <c r="AC39" s="106" t="e">
        <f t="shared" ref="AC39" si="35">+Z39/F39</f>
        <v>#REF!</v>
      </c>
      <c r="AD39" s="106" t="e">
        <f t="shared" ref="AD39" si="36">+AA39/F39</f>
        <v>#REF!</v>
      </c>
      <c r="AE39" s="197" t="e">
        <f>+#REF!</f>
        <v>#REF!</v>
      </c>
      <c r="AF39" s="203" t="e">
        <f t="shared" si="14"/>
        <v>#REF!</v>
      </c>
      <c r="AG39" s="198" t="e">
        <f t="shared" si="30"/>
        <v>#REF!</v>
      </c>
      <c r="AH39" s="199" t="e">
        <f t="shared" si="29"/>
        <v>#REF!</v>
      </c>
      <c r="AI39" s="198" t="e">
        <f>+AG39</f>
        <v>#REF!</v>
      </c>
      <c r="AJ39" s="204"/>
    </row>
    <row r="40" spans="1:37" s="68" customFormat="1" ht="31.5" customHeight="1">
      <c r="A40" s="320">
        <v>11</v>
      </c>
      <c r="B40" s="320" t="s">
        <v>50</v>
      </c>
      <c r="C40" s="105" t="s">
        <v>51</v>
      </c>
      <c r="D40" s="104" t="e">
        <f>+#REF!</f>
        <v>#REF!</v>
      </c>
      <c r="E40" s="104" t="e">
        <f>#REF!</f>
        <v>#REF!</v>
      </c>
      <c r="F40" s="192" t="e">
        <f>+E40-D40</f>
        <v>#REF!</v>
      </c>
      <c r="G40" s="107" t="e">
        <f>#REF!</f>
        <v>#REF!</v>
      </c>
      <c r="H40" s="107" t="e">
        <f>#REF!</f>
        <v>#REF!</v>
      </c>
      <c r="I40" s="107" t="e">
        <f>#REF!</f>
        <v>#REF!</v>
      </c>
      <c r="J40" s="111" t="e">
        <f>+#REF!</f>
        <v>#REF!</v>
      </c>
      <c r="K40" s="111" t="e">
        <f>+#REF!</f>
        <v>#REF!</v>
      </c>
      <c r="L40" s="111" t="e">
        <f>+#REF!</f>
        <v>#REF!</v>
      </c>
      <c r="M40" s="109" t="e">
        <f>#REF!</f>
        <v>#REF!</v>
      </c>
      <c r="N40" s="109" t="e">
        <f>#REF!</f>
        <v>#REF!</v>
      </c>
      <c r="O40" s="109" t="e">
        <f>#REF!</f>
        <v>#REF!</v>
      </c>
      <c r="P40" s="112" t="e">
        <f t="shared" ref="P40:R41" si="37">+M40</f>
        <v>#REF!</v>
      </c>
      <c r="Q40" s="112" t="e">
        <f t="shared" si="37"/>
        <v>#REF!</v>
      </c>
      <c r="R40" s="112" t="e">
        <f t="shared" si="37"/>
        <v>#REF!</v>
      </c>
      <c r="S40" s="110"/>
      <c r="T40" s="110"/>
      <c r="U40" s="110"/>
      <c r="V40" s="110"/>
      <c r="W40" s="110"/>
      <c r="X40" s="110"/>
      <c r="Y40" s="80" t="e">
        <f t="shared" si="5"/>
        <v>#REF!</v>
      </c>
      <c r="Z40" s="80" t="e">
        <f t="shared" si="6"/>
        <v>#REF!</v>
      </c>
      <c r="AA40" s="80" t="e">
        <f t="shared" si="7"/>
        <v>#REF!</v>
      </c>
      <c r="AB40" s="106" t="e">
        <f t="shared" ref="AB40" si="38">+Y40/F40</f>
        <v>#REF!</v>
      </c>
      <c r="AC40" s="106" t="e">
        <f t="shared" ref="AC40" si="39">+Z40/F40</f>
        <v>#REF!</v>
      </c>
      <c r="AD40" s="106" t="e">
        <f t="shared" ref="AD40" si="40">+AA40/F40</f>
        <v>#REF!</v>
      </c>
      <c r="AE40" s="197" t="e">
        <f>+#REF!</f>
        <v>#REF!</v>
      </c>
      <c r="AF40" s="203" t="e">
        <f t="shared" si="14"/>
        <v>#REF!</v>
      </c>
      <c r="AG40" s="198" t="e">
        <f>+(Y40+Z40+AA40)/3</f>
        <v>#REF!</v>
      </c>
      <c r="AH40" s="199" t="e">
        <f t="shared" si="29"/>
        <v>#REF!</v>
      </c>
      <c r="AI40" s="310" t="e">
        <f>SUM(AG40:AG42)/3</f>
        <v>#REF!</v>
      </c>
      <c r="AJ40" s="206" t="e">
        <f>SUM(Z40:Z42)</f>
        <v>#REF!</v>
      </c>
    </row>
    <row r="41" spans="1:37" s="68" customFormat="1" ht="30" customHeight="1">
      <c r="A41" s="321"/>
      <c r="B41" s="321"/>
      <c r="C41" s="105" t="s">
        <v>52</v>
      </c>
      <c r="D41" s="104" t="e">
        <f>+#REF!</f>
        <v>#REF!</v>
      </c>
      <c r="E41" s="104" t="e">
        <f>#REF!</f>
        <v>#REF!</v>
      </c>
      <c r="F41" s="192" t="e">
        <f t="shared" si="18"/>
        <v>#REF!</v>
      </c>
      <c r="G41" s="107" t="e">
        <f>+#REF!</f>
        <v>#REF!</v>
      </c>
      <c r="H41" s="107" t="e">
        <f>+#REF!</f>
        <v>#REF!</v>
      </c>
      <c r="I41" s="107" t="e">
        <f>+#REF!</f>
        <v>#REF!</v>
      </c>
      <c r="J41" s="111" t="e">
        <f>+#REF!</f>
        <v>#REF!</v>
      </c>
      <c r="K41" s="111" t="e">
        <f>+#REF!</f>
        <v>#REF!</v>
      </c>
      <c r="L41" s="111" t="e">
        <f>+#REF!</f>
        <v>#REF!</v>
      </c>
      <c r="M41" s="109" t="e">
        <f>#REF!</f>
        <v>#REF!</v>
      </c>
      <c r="N41" s="109" t="e">
        <f>#REF!</f>
        <v>#REF!</v>
      </c>
      <c r="O41" s="109" t="e">
        <f>#REF!</f>
        <v>#REF!</v>
      </c>
      <c r="P41" s="112" t="e">
        <f t="shared" si="37"/>
        <v>#REF!</v>
      </c>
      <c r="Q41" s="112" t="e">
        <f t="shared" si="37"/>
        <v>#REF!</v>
      </c>
      <c r="R41" s="112" t="e">
        <f t="shared" si="37"/>
        <v>#REF!</v>
      </c>
      <c r="S41" s="110"/>
      <c r="T41" s="110"/>
      <c r="U41" s="110"/>
      <c r="V41" s="110"/>
      <c r="W41" s="110"/>
      <c r="X41" s="110"/>
      <c r="Y41" s="80" t="e">
        <f t="shared" si="5"/>
        <v>#REF!</v>
      </c>
      <c r="Z41" s="80" t="e">
        <f t="shared" si="6"/>
        <v>#REF!</v>
      </c>
      <c r="AA41" s="80" t="e">
        <f t="shared" si="7"/>
        <v>#REF!</v>
      </c>
      <c r="AB41" s="106" t="e">
        <f t="shared" ref="AB41" si="41">+Y41/F41</f>
        <v>#REF!</v>
      </c>
      <c r="AC41" s="106" t="e">
        <f t="shared" ref="AC41" si="42">+Z41/F41</f>
        <v>#REF!</v>
      </c>
      <c r="AD41" s="106" t="e">
        <f t="shared" ref="AD41" si="43">+AA41/F41</f>
        <v>#REF!</v>
      </c>
      <c r="AE41" s="197" t="e">
        <f>+#REF!</f>
        <v>#REF!</v>
      </c>
      <c r="AF41" s="203" t="e">
        <f t="shared" si="14"/>
        <v>#REF!</v>
      </c>
      <c r="AG41" s="198" t="e">
        <f>+(Y41+Z41+AA41)/3</f>
        <v>#REF!</v>
      </c>
      <c r="AH41" s="199" t="e">
        <f t="shared" si="29"/>
        <v>#REF!</v>
      </c>
      <c r="AI41" s="310"/>
      <c r="AJ41" s="204"/>
    </row>
    <row r="42" spans="1:37" s="68" customFormat="1" ht="30" customHeight="1">
      <c r="A42" s="322"/>
      <c r="B42" s="322"/>
      <c r="C42" s="105" t="s">
        <v>53</v>
      </c>
      <c r="D42" s="104" t="e">
        <f>+#REF!</f>
        <v>#REF!</v>
      </c>
      <c r="E42" s="104" t="e">
        <f>#REF!</f>
        <v>#REF!</v>
      </c>
      <c r="F42" s="192" t="e">
        <f>+E42-D42</f>
        <v>#REF!</v>
      </c>
      <c r="G42" s="107" t="e">
        <f>#REF!</f>
        <v>#REF!</v>
      </c>
      <c r="H42" s="107" t="e">
        <f>#REF!</f>
        <v>#REF!</v>
      </c>
      <c r="I42" s="107" t="e">
        <f>#REF!</f>
        <v>#REF!</v>
      </c>
      <c r="J42" s="111" t="e">
        <f>+#REF!</f>
        <v>#REF!</v>
      </c>
      <c r="K42" s="111" t="e">
        <f>+#REF!</f>
        <v>#REF!</v>
      </c>
      <c r="L42" s="111" t="e">
        <f>+#REF!</f>
        <v>#REF!</v>
      </c>
      <c r="M42" s="109" t="e">
        <f>#REF!</f>
        <v>#REF!</v>
      </c>
      <c r="N42" s="109" t="e">
        <f>#REF!</f>
        <v>#REF!</v>
      </c>
      <c r="O42" s="109" t="e">
        <f>#REF!</f>
        <v>#REF!</v>
      </c>
      <c r="P42" s="112" t="e">
        <f>#REF!</f>
        <v>#REF!</v>
      </c>
      <c r="Q42" s="112" t="e">
        <f>#REF!</f>
        <v>#REF!</v>
      </c>
      <c r="R42" s="112" t="e">
        <f>#REF!</f>
        <v>#REF!</v>
      </c>
      <c r="S42" s="109" t="e">
        <f>#REF!</f>
        <v>#REF!</v>
      </c>
      <c r="T42" s="109" t="e">
        <f>#REF!</f>
        <v>#REF!</v>
      </c>
      <c r="U42" s="109" t="e">
        <f>#REF!</f>
        <v>#REF!</v>
      </c>
      <c r="V42" s="109" t="e">
        <f>#REF!</f>
        <v>#REF!</v>
      </c>
      <c r="W42" s="109" t="e">
        <f>#REF!</f>
        <v>#REF!</v>
      </c>
      <c r="X42" s="109" t="e">
        <f>#REF!</f>
        <v>#REF!</v>
      </c>
      <c r="Y42" s="80" t="e">
        <f t="shared" si="5"/>
        <v>#REF!</v>
      </c>
      <c r="Z42" s="80" t="e">
        <f t="shared" si="6"/>
        <v>#REF!</v>
      </c>
      <c r="AA42" s="80" t="e">
        <f t="shared" si="7"/>
        <v>#REF!</v>
      </c>
      <c r="AB42" s="197" t="e">
        <f>+Y42/F42</f>
        <v>#REF!</v>
      </c>
      <c r="AC42" s="106" t="e">
        <f t="shared" ref="AC42" si="44">+Z42/F42</f>
        <v>#REF!</v>
      </c>
      <c r="AD42" s="106" t="e">
        <f t="shared" ref="AD42" si="45">+AA42/F42</f>
        <v>#REF!</v>
      </c>
      <c r="AE42" s="197" t="e">
        <f>+#REF!</f>
        <v>#REF!</v>
      </c>
      <c r="AF42" s="203" t="e">
        <f t="shared" si="14"/>
        <v>#REF!</v>
      </c>
      <c r="AG42" s="198" t="e">
        <f>+(Y42+Z42+AA42)/3</f>
        <v>#REF!</v>
      </c>
      <c r="AH42" s="199" t="e">
        <f t="shared" si="29"/>
        <v>#REF!</v>
      </c>
      <c r="AI42" s="310"/>
      <c r="AJ42" s="204"/>
    </row>
    <row r="43" spans="1:37" s="68" customFormat="1" ht="25.5" hidden="1" customHeight="1">
      <c r="A43" s="200">
        <v>12</v>
      </c>
      <c r="B43" s="200" t="s">
        <v>54</v>
      </c>
      <c r="C43" s="105" t="s">
        <v>55</v>
      </c>
      <c r="D43" s="104"/>
      <c r="E43" s="104"/>
      <c r="F43" s="192"/>
      <c r="G43" s="107"/>
      <c r="H43" s="107"/>
      <c r="I43" s="107"/>
      <c r="J43" s="111"/>
      <c r="K43" s="111"/>
      <c r="L43" s="111"/>
      <c r="M43" s="109"/>
      <c r="N43" s="109"/>
      <c r="O43" s="109"/>
      <c r="P43" s="112"/>
      <c r="Q43" s="112"/>
      <c r="R43" s="112"/>
      <c r="S43" s="110"/>
      <c r="T43" s="110"/>
      <c r="U43" s="110"/>
      <c r="V43" s="110"/>
      <c r="W43" s="110"/>
      <c r="X43" s="110"/>
      <c r="Y43" s="80">
        <f t="shared" si="5"/>
        <v>0</v>
      </c>
      <c r="Z43" s="80">
        <f t="shared" si="6"/>
        <v>0</v>
      </c>
      <c r="AA43" s="80">
        <f t="shared" si="7"/>
        <v>0</v>
      </c>
      <c r="AB43" s="106"/>
      <c r="AC43" s="106"/>
      <c r="AD43" s="106"/>
      <c r="AE43" s="197"/>
      <c r="AF43" s="203">
        <f t="shared" si="14"/>
        <v>0</v>
      </c>
      <c r="AG43" s="198">
        <f t="shared" si="30"/>
        <v>0</v>
      </c>
      <c r="AH43" s="199">
        <f t="shared" si="29"/>
        <v>0</v>
      </c>
      <c r="AI43" s="198"/>
      <c r="AJ43" s="204"/>
    </row>
    <row r="44" spans="1:37" s="68" customFormat="1" ht="30" customHeight="1">
      <c r="A44" s="320">
        <v>13</v>
      </c>
      <c r="B44" s="320" t="s">
        <v>56</v>
      </c>
      <c r="C44" s="105" t="s">
        <v>57</v>
      </c>
      <c r="D44" s="104" t="e">
        <f>+#REF!</f>
        <v>#REF!</v>
      </c>
      <c r="E44" s="104" t="e">
        <f>#REF!</f>
        <v>#REF!</v>
      </c>
      <c r="F44" s="192" t="e">
        <f t="shared" si="18"/>
        <v>#REF!</v>
      </c>
      <c r="G44" s="107" t="e">
        <f>#REF!</f>
        <v>#REF!</v>
      </c>
      <c r="H44" s="107" t="e">
        <f>#REF!</f>
        <v>#REF!</v>
      </c>
      <c r="I44" s="107" t="e">
        <f>#REF!</f>
        <v>#REF!</v>
      </c>
      <c r="J44" s="111" t="e">
        <f>+#REF!</f>
        <v>#REF!</v>
      </c>
      <c r="K44" s="111" t="e">
        <f>+#REF!</f>
        <v>#REF!</v>
      </c>
      <c r="L44" s="111" t="e">
        <f>+#REF!</f>
        <v>#REF!</v>
      </c>
      <c r="M44" s="109" t="e">
        <f>#REF!</f>
        <v>#REF!</v>
      </c>
      <c r="N44" s="109" t="e">
        <f>#REF!</f>
        <v>#REF!</v>
      </c>
      <c r="O44" s="109" t="e">
        <f>#REF!</f>
        <v>#REF!</v>
      </c>
      <c r="P44" s="112" t="e">
        <f t="shared" ref="P44:R46" si="46">+M44</f>
        <v>#REF!</v>
      </c>
      <c r="Q44" s="112" t="e">
        <f t="shared" si="46"/>
        <v>#REF!</v>
      </c>
      <c r="R44" s="112" t="e">
        <f t="shared" si="46"/>
        <v>#REF!</v>
      </c>
      <c r="S44" s="110"/>
      <c r="T44" s="110"/>
      <c r="U44" s="110"/>
      <c r="V44" s="110"/>
      <c r="W44" s="110"/>
      <c r="X44" s="110"/>
      <c r="Y44" s="80" t="e">
        <f t="shared" si="5"/>
        <v>#REF!</v>
      </c>
      <c r="Z44" s="80" t="e">
        <f t="shared" si="6"/>
        <v>#REF!</v>
      </c>
      <c r="AA44" s="80" t="e">
        <f t="shared" si="7"/>
        <v>#REF!</v>
      </c>
      <c r="AB44" s="106" t="e">
        <f t="shared" ref="AB44" si="47">+Y44/F44</f>
        <v>#REF!</v>
      </c>
      <c r="AC44" s="106" t="e">
        <f t="shared" ref="AC44" si="48">+Z44/F44</f>
        <v>#REF!</v>
      </c>
      <c r="AD44" s="106" t="e">
        <f t="shared" ref="AD44" si="49">+AA44/F44</f>
        <v>#REF!</v>
      </c>
      <c r="AE44" s="197" t="e">
        <f>+#REF!</f>
        <v>#REF!</v>
      </c>
      <c r="AF44" s="203" t="e">
        <f t="shared" si="14"/>
        <v>#REF!</v>
      </c>
      <c r="AG44" s="198" t="e">
        <f>+(Y44+Z44+AA44)/3</f>
        <v>#REF!</v>
      </c>
      <c r="AH44" s="199" t="e">
        <f t="shared" si="29"/>
        <v>#REF!</v>
      </c>
      <c r="AI44" s="310" t="e">
        <f>SUM(AG44:AG46)/3</f>
        <v>#REF!</v>
      </c>
      <c r="AJ44" s="206" t="e">
        <f>SUM(Z44:Z46)</f>
        <v>#REF!</v>
      </c>
    </row>
    <row r="45" spans="1:37" s="68" customFormat="1" ht="30" customHeight="1">
      <c r="A45" s="321"/>
      <c r="B45" s="321"/>
      <c r="C45" s="105" t="s">
        <v>58</v>
      </c>
      <c r="D45" s="104" t="e">
        <f>+#REF!</f>
        <v>#REF!</v>
      </c>
      <c r="E45" s="104" t="e">
        <f>#REF!</f>
        <v>#REF!</v>
      </c>
      <c r="F45" s="192" t="e">
        <f t="shared" si="18"/>
        <v>#REF!</v>
      </c>
      <c r="G45" s="107" t="e">
        <f>#REF!</f>
        <v>#REF!</v>
      </c>
      <c r="H45" s="107" t="e">
        <f>#REF!</f>
        <v>#REF!</v>
      </c>
      <c r="I45" s="107" t="e">
        <f>#REF!</f>
        <v>#REF!</v>
      </c>
      <c r="J45" s="111" t="e">
        <f>+#REF!</f>
        <v>#REF!</v>
      </c>
      <c r="K45" s="111" t="e">
        <f>+#REF!</f>
        <v>#REF!</v>
      </c>
      <c r="L45" s="111" t="e">
        <f>+#REF!</f>
        <v>#REF!</v>
      </c>
      <c r="M45" s="109" t="e">
        <f>#REF!</f>
        <v>#REF!</v>
      </c>
      <c r="N45" s="109" t="e">
        <f>#REF!</f>
        <v>#REF!</v>
      </c>
      <c r="O45" s="109" t="e">
        <f>#REF!</f>
        <v>#REF!</v>
      </c>
      <c r="P45" s="112" t="e">
        <f t="shared" si="46"/>
        <v>#REF!</v>
      </c>
      <c r="Q45" s="112" t="e">
        <f t="shared" si="46"/>
        <v>#REF!</v>
      </c>
      <c r="R45" s="112" t="e">
        <f t="shared" si="46"/>
        <v>#REF!</v>
      </c>
      <c r="S45" s="110"/>
      <c r="T45" s="110"/>
      <c r="U45" s="110"/>
      <c r="V45" s="110"/>
      <c r="W45" s="110"/>
      <c r="X45" s="110"/>
      <c r="Y45" s="80" t="e">
        <f t="shared" si="5"/>
        <v>#REF!</v>
      </c>
      <c r="Z45" s="80" t="e">
        <f t="shared" si="6"/>
        <v>#REF!</v>
      </c>
      <c r="AA45" s="80" t="e">
        <f t="shared" si="7"/>
        <v>#REF!</v>
      </c>
      <c r="AB45" s="106" t="e">
        <f t="shared" ref="AB45" si="50">+Y45/F45</f>
        <v>#REF!</v>
      </c>
      <c r="AC45" s="106" t="e">
        <f t="shared" ref="AC45" si="51">+Z45/F45</f>
        <v>#REF!</v>
      </c>
      <c r="AD45" s="106" t="e">
        <f t="shared" ref="AD45" si="52">+AA45/F45</f>
        <v>#REF!</v>
      </c>
      <c r="AE45" s="197" t="e">
        <f>+#REF!</f>
        <v>#REF!</v>
      </c>
      <c r="AF45" s="203" t="e">
        <f>+AE45-K45</f>
        <v>#REF!</v>
      </c>
      <c r="AG45" s="198" t="e">
        <f>+(Y45+Z45+AA45)/3</f>
        <v>#REF!</v>
      </c>
      <c r="AH45" s="199" t="e">
        <f t="shared" si="29"/>
        <v>#REF!</v>
      </c>
      <c r="AI45" s="310"/>
      <c r="AJ45" s="204"/>
    </row>
    <row r="46" spans="1:37" s="68" customFormat="1" ht="25.5" customHeight="1">
      <c r="A46" s="322"/>
      <c r="B46" s="322"/>
      <c r="C46" s="105" t="s">
        <v>59</v>
      </c>
      <c r="D46" s="104" t="e">
        <f>+#REF!</f>
        <v>#REF!</v>
      </c>
      <c r="E46" s="104" t="e">
        <f>#REF!</f>
        <v>#REF!</v>
      </c>
      <c r="F46" s="192" t="e">
        <f t="shared" si="18"/>
        <v>#REF!</v>
      </c>
      <c r="G46" s="107" t="e">
        <f>#REF!</f>
        <v>#REF!</v>
      </c>
      <c r="H46" s="107" t="e">
        <f>#REF!</f>
        <v>#REF!</v>
      </c>
      <c r="I46" s="107" t="e">
        <f>#REF!</f>
        <v>#REF!</v>
      </c>
      <c r="J46" s="111" t="e">
        <f>+#REF!</f>
        <v>#REF!</v>
      </c>
      <c r="K46" s="111" t="e">
        <f>+#REF!</f>
        <v>#REF!</v>
      </c>
      <c r="L46" s="111" t="e">
        <f>+#REF!</f>
        <v>#REF!</v>
      </c>
      <c r="M46" s="109" t="e">
        <f>#REF!</f>
        <v>#REF!</v>
      </c>
      <c r="N46" s="109" t="e">
        <f>#REF!</f>
        <v>#REF!</v>
      </c>
      <c r="O46" s="109" t="e">
        <f>#REF!</f>
        <v>#REF!</v>
      </c>
      <c r="P46" s="112" t="e">
        <f t="shared" si="46"/>
        <v>#REF!</v>
      </c>
      <c r="Q46" s="112" t="e">
        <f t="shared" si="46"/>
        <v>#REF!</v>
      </c>
      <c r="R46" s="112" t="e">
        <f t="shared" si="46"/>
        <v>#REF!</v>
      </c>
      <c r="S46" s="110"/>
      <c r="T46" s="110"/>
      <c r="U46" s="110"/>
      <c r="V46" s="110"/>
      <c r="W46" s="110"/>
      <c r="X46" s="110"/>
      <c r="Y46" s="80" t="e">
        <f t="shared" si="5"/>
        <v>#REF!</v>
      </c>
      <c r="Z46" s="80" t="e">
        <f t="shared" si="6"/>
        <v>#REF!</v>
      </c>
      <c r="AA46" s="80" t="e">
        <f t="shared" si="7"/>
        <v>#REF!</v>
      </c>
      <c r="AB46" s="106" t="e">
        <f t="shared" ref="AB46" si="53">+Y46/F46</f>
        <v>#REF!</v>
      </c>
      <c r="AC46" s="106" t="e">
        <f t="shared" ref="AC46" si="54">+Z46/F46</f>
        <v>#REF!</v>
      </c>
      <c r="AD46" s="106" t="e">
        <f t="shared" ref="AD46" si="55">+AA46/F46</f>
        <v>#REF!</v>
      </c>
      <c r="AE46" s="197" t="e">
        <f>+#REF!</f>
        <v>#REF!</v>
      </c>
      <c r="AF46" s="203" t="e">
        <f t="shared" si="14"/>
        <v>#REF!</v>
      </c>
      <c r="AG46" s="198" t="e">
        <f>+(Y46+Z46+AA46)/3</f>
        <v>#REF!</v>
      </c>
      <c r="AH46" s="199" t="e">
        <f t="shared" si="29"/>
        <v>#REF!</v>
      </c>
      <c r="AI46" s="310"/>
      <c r="AJ46" s="204"/>
    </row>
    <row r="47" spans="1:37" s="68" customFormat="1" ht="25.5" hidden="1" customHeight="1">
      <c r="A47" s="200">
        <v>14</v>
      </c>
      <c r="B47" s="200" t="s">
        <v>60</v>
      </c>
      <c r="C47" s="105" t="s">
        <v>61</v>
      </c>
      <c r="D47" s="104"/>
      <c r="E47" s="104"/>
      <c r="F47" s="192"/>
      <c r="G47" s="107"/>
      <c r="H47" s="107"/>
      <c r="I47" s="107"/>
      <c r="J47" s="111"/>
      <c r="K47" s="111"/>
      <c r="L47" s="111"/>
      <c r="M47" s="109"/>
      <c r="N47" s="109"/>
      <c r="O47" s="109"/>
      <c r="P47" s="112"/>
      <c r="Q47" s="112"/>
      <c r="R47" s="112"/>
      <c r="S47" s="110"/>
      <c r="T47" s="110"/>
      <c r="U47" s="110"/>
      <c r="V47" s="110"/>
      <c r="W47" s="110"/>
      <c r="X47" s="110"/>
      <c r="Y47" s="106">
        <f t="shared" si="5"/>
        <v>0</v>
      </c>
      <c r="Z47" s="51">
        <f t="shared" si="6"/>
        <v>0</v>
      </c>
      <c r="AA47" s="106">
        <f t="shared" si="7"/>
        <v>0</v>
      </c>
      <c r="AB47" s="106"/>
      <c r="AC47" s="106"/>
      <c r="AD47" s="106"/>
      <c r="AE47" s="197"/>
      <c r="AF47" s="203">
        <f t="shared" si="14"/>
        <v>0</v>
      </c>
      <c r="AG47" s="198">
        <f t="shared" si="30"/>
        <v>0</v>
      </c>
      <c r="AH47" s="199">
        <f t="shared" si="29"/>
        <v>0</v>
      </c>
      <c r="AI47" s="198"/>
      <c r="AJ47" s="204"/>
    </row>
    <row r="48" spans="1:37" s="68" customFormat="1" ht="25.5" customHeight="1">
      <c r="A48" s="320">
        <v>15</v>
      </c>
      <c r="B48" s="334" t="s">
        <v>42</v>
      </c>
      <c r="C48" s="105" t="e">
        <f>+#REF!</f>
        <v>#REF!</v>
      </c>
      <c r="D48" s="104" t="e">
        <f>+#REF!</f>
        <v>#REF!</v>
      </c>
      <c r="E48" s="104" t="e">
        <f>#REF!</f>
        <v>#REF!</v>
      </c>
      <c r="F48" s="192" t="e">
        <f t="shared" si="18"/>
        <v>#REF!</v>
      </c>
      <c r="G48" s="107" t="e">
        <f>+#REF!</f>
        <v>#REF!</v>
      </c>
      <c r="H48" s="107" t="e">
        <f>+#REF!</f>
        <v>#REF!</v>
      </c>
      <c r="I48" s="107" t="e">
        <f>+#REF!</f>
        <v>#REF!</v>
      </c>
      <c r="J48" s="111" t="e">
        <f>+#REF!</f>
        <v>#REF!</v>
      </c>
      <c r="K48" s="111" t="e">
        <f>+#REF!</f>
        <v>#REF!</v>
      </c>
      <c r="L48" s="111" t="e">
        <f>+#REF!</f>
        <v>#REF!</v>
      </c>
      <c r="M48" s="109" t="e">
        <f>#REF!</f>
        <v>#REF!</v>
      </c>
      <c r="N48" s="109" t="e">
        <f>#REF!</f>
        <v>#REF!</v>
      </c>
      <c r="O48" s="109" t="e">
        <f>#REF!</f>
        <v>#REF!</v>
      </c>
      <c r="P48" s="112" t="e">
        <f t="shared" ref="P48:R51" si="56">+M48</f>
        <v>#REF!</v>
      </c>
      <c r="Q48" s="112" t="e">
        <f t="shared" si="56"/>
        <v>#REF!</v>
      </c>
      <c r="R48" s="112" t="e">
        <f t="shared" si="56"/>
        <v>#REF!</v>
      </c>
      <c r="S48" s="110"/>
      <c r="T48" s="110"/>
      <c r="U48" s="110"/>
      <c r="V48" s="110"/>
      <c r="W48" s="110"/>
      <c r="X48" s="110"/>
      <c r="Y48" s="80" t="e">
        <f t="shared" si="5"/>
        <v>#REF!</v>
      </c>
      <c r="Z48" s="80" t="e">
        <f t="shared" si="6"/>
        <v>#REF!</v>
      </c>
      <c r="AA48" s="80" t="e">
        <f t="shared" si="7"/>
        <v>#REF!</v>
      </c>
      <c r="AB48" s="106" t="e">
        <f>+Y48/F48</f>
        <v>#REF!</v>
      </c>
      <c r="AC48" s="106" t="e">
        <f t="shared" si="27"/>
        <v>#REF!</v>
      </c>
      <c r="AD48" s="106" t="e">
        <f t="shared" si="28"/>
        <v>#REF!</v>
      </c>
      <c r="AE48" s="197" t="e">
        <f>+#REF!</f>
        <v>#REF!</v>
      </c>
      <c r="AF48" s="203" t="e">
        <f t="shared" si="14"/>
        <v>#REF!</v>
      </c>
      <c r="AG48" s="198" t="e">
        <f>+(Y48+Z48+AA48)/3</f>
        <v>#REF!</v>
      </c>
      <c r="AH48" s="199" t="e">
        <f t="shared" si="29"/>
        <v>#REF!</v>
      </c>
      <c r="AI48" s="310" t="e">
        <f>SUM(AG48:AG51)/3</f>
        <v>#REF!</v>
      </c>
      <c r="AJ48" s="206" t="e">
        <f>SUM(Z48:Z51)</f>
        <v>#REF!</v>
      </c>
      <c r="AK48" s="207"/>
    </row>
    <row r="49" spans="1:41" s="68" customFormat="1" ht="25.5" customHeight="1">
      <c r="A49" s="321"/>
      <c r="B49" s="335"/>
      <c r="C49" s="105" t="e">
        <f>+#REF!</f>
        <v>#REF!</v>
      </c>
      <c r="D49" s="104" t="e">
        <f>+#REF!</f>
        <v>#REF!</v>
      </c>
      <c r="E49" s="104" t="e">
        <f>#REF!</f>
        <v>#REF!</v>
      </c>
      <c r="F49" s="192" t="e">
        <f t="shared" si="18"/>
        <v>#REF!</v>
      </c>
      <c r="G49" s="107" t="e">
        <f>#REF!</f>
        <v>#REF!</v>
      </c>
      <c r="H49" s="107" t="e">
        <f>#REF!</f>
        <v>#REF!</v>
      </c>
      <c r="I49" s="107" t="e">
        <f>#REF!</f>
        <v>#REF!</v>
      </c>
      <c r="J49" s="111" t="e">
        <f>+#REF!</f>
        <v>#REF!</v>
      </c>
      <c r="K49" s="111" t="e">
        <f>+#REF!</f>
        <v>#REF!</v>
      </c>
      <c r="L49" s="111" t="e">
        <f>+#REF!</f>
        <v>#REF!</v>
      </c>
      <c r="M49" s="109" t="e">
        <f>#REF!</f>
        <v>#REF!</v>
      </c>
      <c r="N49" s="109" t="e">
        <f>#REF!</f>
        <v>#REF!</v>
      </c>
      <c r="O49" s="109" t="e">
        <f>#REF!</f>
        <v>#REF!</v>
      </c>
      <c r="P49" s="112" t="e">
        <f>M49</f>
        <v>#REF!</v>
      </c>
      <c r="Q49" s="112" t="e">
        <f t="shared" ref="Q49:R49" si="57">N49</f>
        <v>#REF!</v>
      </c>
      <c r="R49" s="112" t="e">
        <f t="shared" si="57"/>
        <v>#REF!</v>
      </c>
      <c r="S49" s="109" t="e">
        <f>#REF!</f>
        <v>#REF!</v>
      </c>
      <c r="T49" s="109" t="e">
        <f>#REF!</f>
        <v>#REF!</v>
      </c>
      <c r="U49" s="109" t="e">
        <f>#REF!</f>
        <v>#REF!</v>
      </c>
      <c r="V49" s="109" t="e">
        <f>#REF!</f>
        <v>#REF!</v>
      </c>
      <c r="W49" s="109" t="e">
        <f>#REF!</f>
        <v>#REF!</v>
      </c>
      <c r="X49" s="109" t="e">
        <f>#REF!</f>
        <v>#REF!</v>
      </c>
      <c r="Y49" s="80" t="e">
        <f t="shared" si="5"/>
        <v>#REF!</v>
      </c>
      <c r="Z49" s="80" t="e">
        <f t="shared" si="6"/>
        <v>#REF!</v>
      </c>
      <c r="AA49" s="80" t="e">
        <f t="shared" si="7"/>
        <v>#REF!</v>
      </c>
      <c r="AB49" s="106" t="e">
        <f>+Y49/F49</f>
        <v>#REF!</v>
      </c>
      <c r="AC49" s="106" t="e">
        <f t="shared" si="27"/>
        <v>#REF!</v>
      </c>
      <c r="AD49" s="106" t="e">
        <f t="shared" si="28"/>
        <v>#REF!</v>
      </c>
      <c r="AE49" s="197" t="e">
        <f>+#REF!</f>
        <v>#REF!</v>
      </c>
      <c r="AF49" s="203" t="e">
        <f t="shared" si="14"/>
        <v>#REF!</v>
      </c>
      <c r="AG49" s="198" t="e">
        <f t="shared" ref="AG49:AG60" si="58">+(Y49+Z49+AA49)/3</f>
        <v>#REF!</v>
      </c>
      <c r="AH49" s="199" t="e">
        <f t="shared" si="29"/>
        <v>#REF!</v>
      </c>
      <c r="AI49" s="310"/>
      <c r="AJ49" s="204"/>
      <c r="AK49" s="163"/>
    </row>
    <row r="50" spans="1:41" s="68" customFormat="1" ht="25.5" customHeight="1">
      <c r="A50" s="321"/>
      <c r="B50" s="335"/>
      <c r="C50" s="105" t="e">
        <f>+#REF!</f>
        <v>#REF!</v>
      </c>
      <c r="D50" s="104" t="e">
        <f>+#REF!</f>
        <v>#REF!</v>
      </c>
      <c r="E50" s="104" t="e">
        <f>#REF!</f>
        <v>#REF!</v>
      </c>
      <c r="F50" s="192" t="e">
        <f>+E50-D50</f>
        <v>#REF!</v>
      </c>
      <c r="G50" s="107" t="e">
        <f>#REF!</f>
        <v>#REF!</v>
      </c>
      <c r="H50" s="107" t="e">
        <f>#REF!</f>
        <v>#REF!</v>
      </c>
      <c r="I50" s="107" t="e">
        <f>#REF!</f>
        <v>#REF!</v>
      </c>
      <c r="J50" s="111" t="e">
        <f>+#REF!</f>
        <v>#REF!</v>
      </c>
      <c r="K50" s="111" t="e">
        <f>+#REF!</f>
        <v>#REF!</v>
      </c>
      <c r="L50" s="111" t="e">
        <f>+#REF!</f>
        <v>#REF!</v>
      </c>
      <c r="M50" s="109" t="e">
        <f>#REF!</f>
        <v>#REF!</v>
      </c>
      <c r="N50" s="109" t="e">
        <f>#REF!</f>
        <v>#REF!</v>
      </c>
      <c r="O50" s="109" t="e">
        <f>#REF!</f>
        <v>#REF!</v>
      </c>
      <c r="P50" s="112" t="e">
        <f t="shared" si="56"/>
        <v>#REF!</v>
      </c>
      <c r="Q50" s="112" t="e">
        <f t="shared" si="56"/>
        <v>#REF!</v>
      </c>
      <c r="R50" s="112" t="e">
        <f t="shared" si="56"/>
        <v>#REF!</v>
      </c>
      <c r="S50" s="110"/>
      <c r="T50" s="110"/>
      <c r="U50" s="110"/>
      <c r="V50" s="110"/>
      <c r="W50" s="110"/>
      <c r="X50" s="110"/>
      <c r="Y50" s="80" t="e">
        <f t="shared" si="5"/>
        <v>#REF!</v>
      </c>
      <c r="Z50" s="80" t="e">
        <f t="shared" si="6"/>
        <v>#REF!</v>
      </c>
      <c r="AA50" s="80" t="e">
        <f t="shared" si="7"/>
        <v>#REF!</v>
      </c>
      <c r="AB50" s="106" t="e">
        <f>+Y50/F50</f>
        <v>#REF!</v>
      </c>
      <c r="AC50" s="106" t="e">
        <f t="shared" si="27"/>
        <v>#REF!</v>
      </c>
      <c r="AD50" s="106" t="e">
        <f t="shared" si="28"/>
        <v>#REF!</v>
      </c>
      <c r="AE50" s="197" t="e">
        <f>+#REF!</f>
        <v>#REF!</v>
      </c>
      <c r="AF50" s="203" t="e">
        <f t="shared" si="14"/>
        <v>#REF!</v>
      </c>
      <c r="AG50" s="198" t="e">
        <f t="shared" si="58"/>
        <v>#REF!</v>
      </c>
      <c r="AH50" s="199" t="e">
        <f t="shared" si="29"/>
        <v>#REF!</v>
      </c>
      <c r="AI50" s="310"/>
      <c r="AJ50" s="204"/>
    </row>
    <row r="51" spans="1:41" s="68" customFormat="1" ht="25.5" customHeight="1">
      <c r="A51" s="322"/>
      <c r="B51" s="336"/>
      <c r="C51" s="105" t="e">
        <f>+#REF!</f>
        <v>#REF!</v>
      </c>
      <c r="D51" s="104" t="e">
        <f>+#REF!</f>
        <v>#REF!</v>
      </c>
      <c r="E51" s="104" t="e">
        <f>#REF!</f>
        <v>#REF!</v>
      </c>
      <c r="F51" s="192" t="e">
        <f>+E51-D51</f>
        <v>#REF!</v>
      </c>
      <c r="G51" s="107" t="e">
        <f>#REF!</f>
        <v>#REF!</v>
      </c>
      <c r="H51" s="107" t="e">
        <f>#REF!</f>
        <v>#REF!</v>
      </c>
      <c r="I51" s="107" t="e">
        <f>#REF!</f>
        <v>#REF!</v>
      </c>
      <c r="J51" s="111" t="e">
        <f>+#REF!</f>
        <v>#REF!</v>
      </c>
      <c r="K51" s="111" t="e">
        <f>+#REF!</f>
        <v>#REF!</v>
      </c>
      <c r="L51" s="111" t="e">
        <f>+#REF!</f>
        <v>#REF!</v>
      </c>
      <c r="M51" s="109" t="e">
        <f>#REF!</f>
        <v>#REF!</v>
      </c>
      <c r="N51" s="109" t="e">
        <f>#REF!</f>
        <v>#REF!</v>
      </c>
      <c r="O51" s="109" t="e">
        <f>#REF!</f>
        <v>#REF!</v>
      </c>
      <c r="P51" s="112" t="e">
        <f t="shared" si="56"/>
        <v>#REF!</v>
      </c>
      <c r="Q51" s="112" t="e">
        <f t="shared" si="56"/>
        <v>#REF!</v>
      </c>
      <c r="R51" s="112" t="e">
        <f t="shared" si="56"/>
        <v>#REF!</v>
      </c>
      <c r="S51" s="110"/>
      <c r="T51" s="110"/>
      <c r="U51" s="110"/>
      <c r="V51" s="110"/>
      <c r="W51" s="110"/>
      <c r="X51" s="110"/>
      <c r="Y51" s="80" t="e">
        <f t="shared" si="5"/>
        <v>#REF!</v>
      </c>
      <c r="Z51" s="80" t="e">
        <f t="shared" si="6"/>
        <v>#REF!</v>
      </c>
      <c r="AA51" s="80" t="e">
        <f t="shared" si="7"/>
        <v>#REF!</v>
      </c>
      <c r="AB51" s="106" t="e">
        <f t="shared" si="26"/>
        <v>#REF!</v>
      </c>
      <c r="AC51" s="106" t="e">
        <f t="shared" si="27"/>
        <v>#REF!</v>
      </c>
      <c r="AD51" s="106" t="e">
        <f t="shared" si="28"/>
        <v>#REF!</v>
      </c>
      <c r="AE51" s="197" t="e">
        <f>+#REF!</f>
        <v>#REF!</v>
      </c>
      <c r="AF51" s="203" t="e">
        <f t="shared" si="14"/>
        <v>#REF!</v>
      </c>
      <c r="AG51" s="198" t="e">
        <f t="shared" si="58"/>
        <v>#REF!</v>
      </c>
      <c r="AH51" s="199" t="e">
        <f t="shared" si="29"/>
        <v>#REF!</v>
      </c>
      <c r="AI51" s="310"/>
      <c r="AJ51" s="204"/>
    </row>
    <row r="52" spans="1:41" s="68" customFormat="1" ht="25.5" customHeight="1">
      <c r="A52" s="320">
        <v>16</v>
      </c>
      <c r="B52" s="320" t="e">
        <f>+#REF!</f>
        <v>#REF!</v>
      </c>
      <c r="C52" s="105" t="e">
        <f>+#REF!</f>
        <v>#REF!</v>
      </c>
      <c r="D52" s="104" t="e">
        <f>+#REF!</f>
        <v>#REF!</v>
      </c>
      <c r="E52" s="104" t="e">
        <f>#REF!</f>
        <v>#REF!</v>
      </c>
      <c r="F52" s="192" t="e">
        <f>+E52-D52</f>
        <v>#REF!</v>
      </c>
      <c r="G52" s="107" t="e">
        <f>#REF!</f>
        <v>#REF!</v>
      </c>
      <c r="H52" s="107" t="e">
        <f>#REF!</f>
        <v>#REF!</v>
      </c>
      <c r="I52" s="107" t="e">
        <f>#REF!</f>
        <v>#REF!</v>
      </c>
      <c r="J52" s="111" t="e">
        <f>+#REF!</f>
        <v>#REF!</v>
      </c>
      <c r="K52" s="111" t="e">
        <f>+#REF!</f>
        <v>#REF!</v>
      </c>
      <c r="L52" s="111" t="e">
        <f>+#REF!</f>
        <v>#REF!</v>
      </c>
      <c r="M52" s="109" t="e">
        <f>#REF!</f>
        <v>#REF!</v>
      </c>
      <c r="N52" s="109" t="e">
        <f>#REF!</f>
        <v>#REF!</v>
      </c>
      <c r="O52" s="109" t="e">
        <f>#REF!</f>
        <v>#REF!</v>
      </c>
      <c r="P52" s="112" t="e">
        <f t="shared" si="23"/>
        <v>#REF!</v>
      </c>
      <c r="Q52" s="112" t="e">
        <f t="shared" si="24"/>
        <v>#REF!</v>
      </c>
      <c r="R52" s="112" t="e">
        <f t="shared" si="25"/>
        <v>#REF!</v>
      </c>
      <c r="S52" s="110"/>
      <c r="T52" s="110"/>
      <c r="U52" s="110"/>
      <c r="V52" s="110"/>
      <c r="W52" s="110"/>
      <c r="X52" s="110"/>
      <c r="Y52" s="80" t="e">
        <f t="shared" si="5"/>
        <v>#REF!</v>
      </c>
      <c r="Z52" s="80" t="e">
        <f t="shared" si="6"/>
        <v>#REF!</v>
      </c>
      <c r="AA52" s="80" t="e">
        <f t="shared" si="7"/>
        <v>#REF!</v>
      </c>
      <c r="AB52" s="106" t="e">
        <f>+Y52/F52</f>
        <v>#REF!</v>
      </c>
      <c r="AC52" s="106" t="e">
        <f t="shared" si="27"/>
        <v>#REF!</v>
      </c>
      <c r="AD52" s="106" t="e">
        <f t="shared" si="28"/>
        <v>#REF!</v>
      </c>
      <c r="AE52" s="197" t="e">
        <f>+#REF!</f>
        <v>#REF!</v>
      </c>
      <c r="AF52" s="203" t="e">
        <f t="shared" si="14"/>
        <v>#REF!</v>
      </c>
      <c r="AG52" s="198" t="e">
        <f t="shared" si="58"/>
        <v>#REF!</v>
      </c>
      <c r="AH52" s="199" t="e">
        <f t="shared" si="29"/>
        <v>#REF!</v>
      </c>
      <c r="AI52" s="310" t="e">
        <f>SUM(AG52:AG53)/2</f>
        <v>#REF!</v>
      </c>
      <c r="AJ52" s="204"/>
    </row>
    <row r="53" spans="1:41" s="68" customFormat="1" ht="25.5" customHeight="1">
      <c r="A53" s="322"/>
      <c r="B53" s="322"/>
      <c r="C53" s="105" t="e">
        <f>+#REF!</f>
        <v>#REF!</v>
      </c>
      <c r="D53" s="104" t="e">
        <f>+#REF!</f>
        <v>#REF!</v>
      </c>
      <c r="E53" s="104" t="e">
        <f>#REF!</f>
        <v>#REF!</v>
      </c>
      <c r="F53" s="192" t="e">
        <f>+E53-D53</f>
        <v>#REF!</v>
      </c>
      <c r="G53" s="107" t="e">
        <f>+#REF!</f>
        <v>#REF!</v>
      </c>
      <c r="H53" s="107" t="e">
        <f>+#REF!</f>
        <v>#REF!</v>
      </c>
      <c r="I53" s="107" t="e">
        <f>+#REF!</f>
        <v>#REF!</v>
      </c>
      <c r="J53" s="111" t="e">
        <f>+#REF!</f>
        <v>#REF!</v>
      </c>
      <c r="K53" s="111" t="e">
        <f>+#REF!</f>
        <v>#REF!</v>
      </c>
      <c r="L53" s="111" t="e">
        <f>+#REF!</f>
        <v>#REF!</v>
      </c>
      <c r="M53" s="109" t="e">
        <f>#REF!</f>
        <v>#REF!</v>
      </c>
      <c r="N53" s="109" t="e">
        <f>#REF!</f>
        <v>#REF!</v>
      </c>
      <c r="O53" s="109" t="e">
        <f>#REF!</f>
        <v>#REF!</v>
      </c>
      <c r="P53" s="112" t="e">
        <f t="shared" si="23"/>
        <v>#REF!</v>
      </c>
      <c r="Q53" s="112" t="e">
        <f t="shared" si="24"/>
        <v>#REF!</v>
      </c>
      <c r="R53" s="112" t="e">
        <f t="shared" si="25"/>
        <v>#REF!</v>
      </c>
      <c r="S53" s="110"/>
      <c r="T53" s="110"/>
      <c r="U53" s="110"/>
      <c r="V53" s="110"/>
      <c r="W53" s="110"/>
      <c r="X53" s="110"/>
      <c r="Y53" s="80" t="e">
        <f t="shared" si="5"/>
        <v>#REF!</v>
      </c>
      <c r="Z53" s="80" t="e">
        <f t="shared" si="6"/>
        <v>#REF!</v>
      </c>
      <c r="AA53" s="80" t="e">
        <f t="shared" si="7"/>
        <v>#REF!</v>
      </c>
      <c r="AB53" s="106" t="e">
        <f t="shared" si="26"/>
        <v>#REF!</v>
      </c>
      <c r="AC53" s="106" t="e">
        <f t="shared" si="27"/>
        <v>#REF!</v>
      </c>
      <c r="AD53" s="106" t="e">
        <f t="shared" si="28"/>
        <v>#REF!</v>
      </c>
      <c r="AE53" s="197" t="e">
        <f>+#REF!</f>
        <v>#REF!</v>
      </c>
      <c r="AF53" s="203" t="e">
        <f>+AE53-K53</f>
        <v>#REF!</v>
      </c>
      <c r="AG53" s="198" t="e">
        <f t="shared" si="58"/>
        <v>#REF!</v>
      </c>
      <c r="AH53" s="199" t="e">
        <f t="shared" si="29"/>
        <v>#REF!</v>
      </c>
      <c r="AI53" s="310"/>
      <c r="AJ53" s="204"/>
    </row>
    <row r="54" spans="1:41" s="68" customFormat="1" ht="42" customHeight="1">
      <c r="A54" s="105">
        <v>17</v>
      </c>
      <c r="B54" s="105" t="e">
        <f>+#REF!</f>
        <v>#REF!</v>
      </c>
      <c r="C54" s="105" t="e">
        <f>+#REF!</f>
        <v>#REF!</v>
      </c>
      <c r="D54" s="104" t="e">
        <f>+#REF!</f>
        <v>#REF!</v>
      </c>
      <c r="E54" s="104" t="e">
        <f>#REF!</f>
        <v>#REF!</v>
      </c>
      <c r="F54" s="192" t="e">
        <f t="shared" si="18"/>
        <v>#REF!</v>
      </c>
      <c r="G54" s="107" t="e">
        <f>#REF!</f>
        <v>#REF!</v>
      </c>
      <c r="H54" s="107" t="e">
        <f>#REF!</f>
        <v>#REF!</v>
      </c>
      <c r="I54" s="107" t="e">
        <f>#REF!</f>
        <v>#REF!</v>
      </c>
      <c r="J54" s="111" t="e">
        <f>+#REF!</f>
        <v>#REF!</v>
      </c>
      <c r="K54" s="111" t="e">
        <f>+#REF!</f>
        <v>#REF!</v>
      </c>
      <c r="L54" s="111" t="e">
        <f>+#REF!</f>
        <v>#REF!</v>
      </c>
      <c r="M54" s="109" t="e">
        <f>#REF!</f>
        <v>#REF!</v>
      </c>
      <c r="N54" s="109" t="e">
        <f>#REF!</f>
        <v>#REF!</v>
      </c>
      <c r="O54" s="109" t="e">
        <f>#REF!</f>
        <v>#REF!</v>
      </c>
      <c r="P54" s="112" t="e">
        <f t="shared" si="23"/>
        <v>#REF!</v>
      </c>
      <c r="Q54" s="112" t="e">
        <f t="shared" si="24"/>
        <v>#REF!</v>
      </c>
      <c r="R54" s="112" t="e">
        <f t="shared" si="25"/>
        <v>#REF!</v>
      </c>
      <c r="S54" s="110"/>
      <c r="T54" s="110"/>
      <c r="U54" s="110"/>
      <c r="V54" s="110"/>
      <c r="W54" s="110"/>
      <c r="X54" s="110"/>
      <c r="Y54" s="80" t="e">
        <f t="shared" si="5"/>
        <v>#REF!</v>
      </c>
      <c r="Z54" s="80" t="e">
        <f t="shared" si="6"/>
        <v>#REF!</v>
      </c>
      <c r="AA54" s="80" t="e">
        <f t="shared" si="7"/>
        <v>#REF!</v>
      </c>
      <c r="AB54" s="106" t="e">
        <f t="shared" si="26"/>
        <v>#REF!</v>
      </c>
      <c r="AC54" s="106" t="e">
        <f t="shared" si="27"/>
        <v>#REF!</v>
      </c>
      <c r="AD54" s="106" t="e">
        <f t="shared" si="28"/>
        <v>#REF!</v>
      </c>
      <c r="AE54" s="197" t="e">
        <f>+#REF!</f>
        <v>#REF!</v>
      </c>
      <c r="AF54" s="203" t="e">
        <f t="shared" si="14"/>
        <v>#REF!</v>
      </c>
      <c r="AG54" s="198" t="e">
        <f t="shared" si="58"/>
        <v>#REF!</v>
      </c>
      <c r="AH54" s="199" t="e">
        <f t="shared" si="29"/>
        <v>#REF!</v>
      </c>
      <c r="AI54" s="198" t="e">
        <f>+AG54</f>
        <v>#REF!</v>
      </c>
      <c r="AJ54" s="204"/>
    </row>
    <row r="55" spans="1:41" s="68" customFormat="1" ht="25.5" customHeight="1">
      <c r="A55" s="320">
        <v>18</v>
      </c>
      <c r="B55" s="320" t="e">
        <f>+#REF!</f>
        <v>#REF!</v>
      </c>
      <c r="C55" s="105" t="e">
        <f>+#REF!</f>
        <v>#REF!</v>
      </c>
      <c r="D55" s="104" t="e">
        <f>+#REF!</f>
        <v>#REF!</v>
      </c>
      <c r="E55" s="104" t="e">
        <f>#REF!</f>
        <v>#REF!</v>
      </c>
      <c r="F55" s="192" t="e">
        <f>+E55-D55</f>
        <v>#REF!</v>
      </c>
      <c r="G55" s="107" t="e">
        <f>#REF!</f>
        <v>#REF!</v>
      </c>
      <c r="H55" s="107" t="e">
        <f>#REF!</f>
        <v>#REF!</v>
      </c>
      <c r="I55" s="107" t="e">
        <f>#REF!</f>
        <v>#REF!</v>
      </c>
      <c r="J55" s="111" t="e">
        <f>+#REF!</f>
        <v>#REF!</v>
      </c>
      <c r="K55" s="111" t="e">
        <f>+#REF!</f>
        <v>#REF!</v>
      </c>
      <c r="L55" s="111" t="e">
        <f>+#REF!</f>
        <v>#REF!</v>
      </c>
      <c r="M55" s="109" t="e">
        <f>#REF!</f>
        <v>#REF!</v>
      </c>
      <c r="N55" s="109" t="e">
        <f>#REF!</f>
        <v>#REF!</v>
      </c>
      <c r="O55" s="109" t="e">
        <f>#REF!</f>
        <v>#REF!</v>
      </c>
      <c r="P55" s="112" t="e">
        <f t="shared" ref="P55:P56" si="59">+M55</f>
        <v>#REF!</v>
      </c>
      <c r="Q55" s="112" t="e">
        <f t="shared" ref="Q55:Q56" si="60">+N55</f>
        <v>#REF!</v>
      </c>
      <c r="R55" s="112" t="e">
        <f t="shared" ref="R55:R56" si="61">+O55</f>
        <v>#REF!</v>
      </c>
      <c r="S55" s="110"/>
      <c r="T55" s="110"/>
      <c r="U55" s="110"/>
      <c r="V55" s="110"/>
      <c r="W55" s="110"/>
      <c r="X55" s="110"/>
      <c r="Y55" s="80" t="e">
        <f t="shared" si="5"/>
        <v>#REF!</v>
      </c>
      <c r="Z55" s="80" t="e">
        <f t="shared" si="6"/>
        <v>#REF!</v>
      </c>
      <c r="AA55" s="80" t="e">
        <f t="shared" si="7"/>
        <v>#REF!</v>
      </c>
      <c r="AB55" s="106" t="e">
        <f t="shared" ref="AB55" si="62">+Y55/F55</f>
        <v>#REF!</v>
      </c>
      <c r="AC55" s="106" t="e">
        <f t="shared" ref="AC55" si="63">+Z55/F55</f>
        <v>#REF!</v>
      </c>
      <c r="AD55" s="106" t="e">
        <f t="shared" ref="AD55" si="64">+AA55/F55</f>
        <v>#REF!</v>
      </c>
      <c r="AE55" s="197" t="e">
        <f>+#REF!</f>
        <v>#REF!</v>
      </c>
      <c r="AF55" s="203" t="e">
        <f t="shared" si="14"/>
        <v>#REF!</v>
      </c>
      <c r="AG55" s="198" t="e">
        <f t="shared" si="58"/>
        <v>#REF!</v>
      </c>
      <c r="AH55" s="199" t="e">
        <f t="shared" si="29"/>
        <v>#REF!</v>
      </c>
      <c r="AI55" s="310" t="e">
        <f>SUM(AG55:AG56)/2</f>
        <v>#REF!</v>
      </c>
      <c r="AJ55" s="204"/>
    </row>
    <row r="56" spans="1:41" s="68" customFormat="1" ht="25.5" customHeight="1">
      <c r="A56" s="322"/>
      <c r="B56" s="322"/>
      <c r="C56" s="105" t="e">
        <f>+#REF!</f>
        <v>#REF!</v>
      </c>
      <c r="D56" s="104" t="e">
        <f>+#REF!</f>
        <v>#REF!</v>
      </c>
      <c r="E56" s="104" t="e">
        <f>#REF!</f>
        <v>#REF!</v>
      </c>
      <c r="F56" s="192" t="e">
        <f>+E56-D56</f>
        <v>#REF!</v>
      </c>
      <c r="G56" s="107" t="e">
        <f>#REF!</f>
        <v>#REF!</v>
      </c>
      <c r="H56" s="107" t="e">
        <f>#REF!</f>
        <v>#REF!</v>
      </c>
      <c r="I56" s="107" t="e">
        <f>#REF!</f>
        <v>#REF!</v>
      </c>
      <c r="J56" s="111" t="e">
        <f>+#REF!</f>
        <v>#REF!</v>
      </c>
      <c r="K56" s="111" t="e">
        <f>+#REF!</f>
        <v>#REF!</v>
      </c>
      <c r="L56" s="111" t="e">
        <f>+#REF!</f>
        <v>#REF!</v>
      </c>
      <c r="M56" s="109" t="e">
        <f>#REF!</f>
        <v>#REF!</v>
      </c>
      <c r="N56" s="109" t="e">
        <f>#REF!</f>
        <v>#REF!</v>
      </c>
      <c r="O56" s="109" t="e">
        <f>#REF!</f>
        <v>#REF!</v>
      </c>
      <c r="P56" s="112" t="e">
        <f t="shared" si="59"/>
        <v>#REF!</v>
      </c>
      <c r="Q56" s="112" t="e">
        <f t="shared" si="60"/>
        <v>#REF!</v>
      </c>
      <c r="R56" s="112" t="e">
        <f t="shared" si="61"/>
        <v>#REF!</v>
      </c>
      <c r="S56" s="110"/>
      <c r="T56" s="110"/>
      <c r="U56" s="110"/>
      <c r="V56" s="110"/>
      <c r="W56" s="110"/>
      <c r="X56" s="110"/>
      <c r="Y56" s="80" t="e">
        <f t="shared" si="5"/>
        <v>#REF!</v>
      </c>
      <c r="Z56" s="80" t="e">
        <f t="shared" si="6"/>
        <v>#REF!</v>
      </c>
      <c r="AA56" s="80" t="e">
        <f t="shared" si="7"/>
        <v>#REF!</v>
      </c>
      <c r="AB56" s="106" t="e">
        <f>+Y56/F56</f>
        <v>#REF!</v>
      </c>
      <c r="AC56" s="106" t="e">
        <f t="shared" ref="AC56" si="65">+Z56/F56</f>
        <v>#REF!</v>
      </c>
      <c r="AD56" s="106" t="e">
        <f t="shared" ref="AD56" si="66">+AA56/F56</f>
        <v>#REF!</v>
      </c>
      <c r="AE56" s="197" t="e">
        <f>+#REF!</f>
        <v>#REF!</v>
      </c>
      <c r="AF56" s="203" t="e">
        <f t="shared" si="14"/>
        <v>#REF!</v>
      </c>
      <c r="AG56" s="198" t="e">
        <f t="shared" si="58"/>
        <v>#REF!</v>
      </c>
      <c r="AH56" s="199" t="e">
        <f t="shared" si="29"/>
        <v>#REF!</v>
      </c>
      <c r="AI56" s="310"/>
      <c r="AJ56" s="204"/>
    </row>
    <row r="57" spans="1:41" s="68" customFormat="1" ht="34.5" customHeight="1">
      <c r="A57" s="105">
        <v>20</v>
      </c>
      <c r="B57" s="105" t="e">
        <f>+#REF!</f>
        <v>#REF!</v>
      </c>
      <c r="C57" s="105" t="e">
        <f>+#REF!</f>
        <v>#REF!</v>
      </c>
      <c r="D57" s="104" t="e">
        <f>+#REF!</f>
        <v>#REF!</v>
      </c>
      <c r="E57" s="104" t="e">
        <f>#REF!</f>
        <v>#REF!</v>
      </c>
      <c r="F57" s="192" t="e">
        <f t="shared" si="18"/>
        <v>#REF!</v>
      </c>
      <c r="G57" s="107" t="e">
        <f>#REF!</f>
        <v>#REF!</v>
      </c>
      <c r="H57" s="107" t="e">
        <f>#REF!</f>
        <v>#REF!</v>
      </c>
      <c r="I57" s="107" t="e">
        <f>#REF!</f>
        <v>#REF!</v>
      </c>
      <c r="J57" s="111" t="e">
        <f>+#REF!</f>
        <v>#REF!</v>
      </c>
      <c r="K57" s="111" t="e">
        <f>+#REF!</f>
        <v>#REF!</v>
      </c>
      <c r="L57" s="111" t="e">
        <f>+#REF!</f>
        <v>#REF!</v>
      </c>
      <c r="M57" s="109" t="e">
        <f>#REF!</f>
        <v>#REF!</v>
      </c>
      <c r="N57" s="109" t="e">
        <f>#REF!</f>
        <v>#REF!</v>
      </c>
      <c r="O57" s="109" t="e">
        <f>#REF!</f>
        <v>#REF!</v>
      </c>
      <c r="P57" s="112" t="e">
        <f t="shared" ref="P57:P59" si="67">+M57</f>
        <v>#REF!</v>
      </c>
      <c r="Q57" s="112" t="e">
        <f t="shared" ref="Q57:Q61" si="68">+N57</f>
        <v>#REF!</v>
      </c>
      <c r="R57" s="112" t="e">
        <f t="shared" ref="R57:R60" si="69">+O57</f>
        <v>#REF!</v>
      </c>
      <c r="S57" s="110"/>
      <c r="T57" s="110"/>
      <c r="U57" s="110"/>
      <c r="V57" s="110"/>
      <c r="W57" s="110"/>
      <c r="X57" s="110"/>
      <c r="Y57" s="80" t="e">
        <f t="shared" si="5"/>
        <v>#REF!</v>
      </c>
      <c r="Z57" s="80" t="e">
        <f t="shared" si="6"/>
        <v>#REF!</v>
      </c>
      <c r="AA57" s="80" t="e">
        <f t="shared" si="7"/>
        <v>#REF!</v>
      </c>
      <c r="AB57" s="106" t="e">
        <f t="shared" ref="AB57" si="70">+Y57/F57</f>
        <v>#REF!</v>
      </c>
      <c r="AC57" s="106" t="e">
        <f t="shared" ref="AC57" si="71">+Z57/F57</f>
        <v>#REF!</v>
      </c>
      <c r="AD57" s="106" t="e">
        <f t="shared" ref="AD57" si="72">+AA57/F57</f>
        <v>#REF!</v>
      </c>
      <c r="AE57" s="197" t="e">
        <f>+#REF!</f>
        <v>#REF!</v>
      </c>
      <c r="AF57" s="203" t="e">
        <f t="shared" si="14"/>
        <v>#REF!</v>
      </c>
      <c r="AG57" s="198" t="e">
        <f t="shared" si="58"/>
        <v>#REF!</v>
      </c>
      <c r="AH57" s="199" t="e">
        <f t="shared" si="29"/>
        <v>#REF!</v>
      </c>
      <c r="AI57" s="198" t="e">
        <f>+AG57</f>
        <v>#REF!</v>
      </c>
      <c r="AJ57" s="204"/>
    </row>
    <row r="58" spans="1:41" s="68" customFormat="1" ht="30" customHeight="1">
      <c r="A58" s="320">
        <v>21</v>
      </c>
      <c r="B58" s="320" t="e">
        <f>+#REF!</f>
        <v>#REF!</v>
      </c>
      <c r="C58" s="105" t="e">
        <f>+#REF!</f>
        <v>#REF!</v>
      </c>
      <c r="D58" s="104" t="e">
        <f>+#REF!</f>
        <v>#REF!</v>
      </c>
      <c r="E58" s="104" t="e">
        <f>#REF!</f>
        <v>#REF!</v>
      </c>
      <c r="F58" s="192" t="e">
        <f>+E58-D58</f>
        <v>#REF!</v>
      </c>
      <c r="G58" s="107" t="e">
        <f>#REF!</f>
        <v>#REF!</v>
      </c>
      <c r="H58" s="107" t="e">
        <f>#REF!</f>
        <v>#REF!</v>
      </c>
      <c r="I58" s="107" t="e">
        <f>#REF!</f>
        <v>#REF!</v>
      </c>
      <c r="J58" s="111" t="e">
        <f>+#REF!</f>
        <v>#REF!</v>
      </c>
      <c r="K58" s="111" t="e">
        <f>+#REF!</f>
        <v>#REF!</v>
      </c>
      <c r="L58" s="111" t="e">
        <f>+#REF!</f>
        <v>#REF!</v>
      </c>
      <c r="M58" s="109" t="e">
        <f>#REF!</f>
        <v>#REF!</v>
      </c>
      <c r="N58" s="109" t="e">
        <f>#REF!</f>
        <v>#REF!</v>
      </c>
      <c r="O58" s="109" t="e">
        <f>#REF!</f>
        <v>#REF!</v>
      </c>
      <c r="P58" s="112" t="e">
        <f t="shared" si="67"/>
        <v>#REF!</v>
      </c>
      <c r="Q58" s="112" t="e">
        <f t="shared" si="68"/>
        <v>#REF!</v>
      </c>
      <c r="R58" s="112" t="e">
        <f t="shared" si="69"/>
        <v>#REF!</v>
      </c>
      <c r="S58" s="110"/>
      <c r="T58" s="110"/>
      <c r="U58" s="110"/>
      <c r="V58" s="110"/>
      <c r="W58" s="110"/>
      <c r="X58" s="110"/>
      <c r="Y58" s="80" t="e">
        <f t="shared" si="5"/>
        <v>#REF!</v>
      </c>
      <c r="Z58" s="80" t="e">
        <f t="shared" si="6"/>
        <v>#REF!</v>
      </c>
      <c r="AA58" s="80" t="e">
        <f t="shared" si="7"/>
        <v>#REF!</v>
      </c>
      <c r="AB58" s="106" t="e">
        <f t="shared" ref="AB58" si="73">+Y58/F58</f>
        <v>#REF!</v>
      </c>
      <c r="AC58" s="106" t="e">
        <f t="shared" ref="AC58" si="74">+Z58/F58</f>
        <v>#REF!</v>
      </c>
      <c r="AD58" s="106" t="e">
        <f t="shared" ref="AD58" si="75">+AA58/F58</f>
        <v>#REF!</v>
      </c>
      <c r="AE58" s="197" t="e">
        <f>+#REF!</f>
        <v>#REF!</v>
      </c>
      <c r="AF58" s="203" t="e">
        <f t="shared" si="14"/>
        <v>#REF!</v>
      </c>
      <c r="AG58" s="198" t="e">
        <f t="shared" si="58"/>
        <v>#REF!</v>
      </c>
      <c r="AH58" s="199" t="e">
        <f t="shared" si="29"/>
        <v>#REF!</v>
      </c>
      <c r="AI58" s="310" t="e">
        <f>SUM(AG58:AG60)/3</f>
        <v>#REF!</v>
      </c>
      <c r="AJ58" s="205"/>
    </row>
    <row r="59" spans="1:41" s="68" customFormat="1" ht="30" customHeight="1">
      <c r="A59" s="321"/>
      <c r="B59" s="321"/>
      <c r="C59" s="105" t="e">
        <f>+#REF!</f>
        <v>#REF!</v>
      </c>
      <c r="D59" s="104" t="e">
        <f>+#REF!</f>
        <v>#REF!</v>
      </c>
      <c r="E59" s="104" t="e">
        <f>#REF!</f>
        <v>#REF!</v>
      </c>
      <c r="F59" s="192" t="e">
        <f t="shared" si="18"/>
        <v>#REF!</v>
      </c>
      <c r="G59" s="107" t="e">
        <f>#REF!</f>
        <v>#REF!</v>
      </c>
      <c r="H59" s="107" t="e">
        <f>#REF!</f>
        <v>#REF!</v>
      </c>
      <c r="I59" s="107" t="e">
        <f>#REF!</f>
        <v>#REF!</v>
      </c>
      <c r="J59" s="111" t="e">
        <f>+#REF!</f>
        <v>#REF!</v>
      </c>
      <c r="K59" s="111" t="e">
        <f>+#REF!</f>
        <v>#REF!</v>
      </c>
      <c r="L59" s="111" t="e">
        <f>+#REF!</f>
        <v>#REF!</v>
      </c>
      <c r="M59" s="109" t="e">
        <f>#REF!</f>
        <v>#REF!</v>
      </c>
      <c r="N59" s="109" t="e">
        <f>#REF!</f>
        <v>#REF!</v>
      </c>
      <c r="O59" s="109" t="e">
        <f>#REF!</f>
        <v>#REF!</v>
      </c>
      <c r="P59" s="112" t="e">
        <f t="shared" si="67"/>
        <v>#REF!</v>
      </c>
      <c r="Q59" s="112" t="e">
        <f t="shared" si="68"/>
        <v>#REF!</v>
      </c>
      <c r="R59" s="112" t="e">
        <f t="shared" si="69"/>
        <v>#REF!</v>
      </c>
      <c r="S59" s="110"/>
      <c r="T59" s="110"/>
      <c r="U59" s="110"/>
      <c r="V59" s="110"/>
      <c r="W59" s="110"/>
      <c r="X59" s="110"/>
      <c r="Y59" s="80" t="e">
        <f t="shared" si="5"/>
        <v>#REF!</v>
      </c>
      <c r="Z59" s="80" t="e">
        <f t="shared" si="6"/>
        <v>#REF!</v>
      </c>
      <c r="AA59" s="80" t="e">
        <f t="shared" si="7"/>
        <v>#REF!</v>
      </c>
      <c r="AB59" s="106" t="e">
        <f t="shared" ref="AB59" si="76">+Y59/F59</f>
        <v>#REF!</v>
      </c>
      <c r="AC59" s="106" t="e">
        <f t="shared" ref="AC59" si="77">+Z59/F59</f>
        <v>#REF!</v>
      </c>
      <c r="AD59" s="106" t="e">
        <f t="shared" ref="AD59" si="78">+AA59/F59</f>
        <v>#REF!</v>
      </c>
      <c r="AE59" s="197" t="e">
        <f>+#REF!</f>
        <v>#REF!</v>
      </c>
      <c r="AF59" s="203" t="e">
        <f t="shared" si="14"/>
        <v>#REF!</v>
      </c>
      <c r="AG59" s="198" t="e">
        <f t="shared" si="58"/>
        <v>#REF!</v>
      </c>
      <c r="AH59" s="199" t="e">
        <f t="shared" si="29"/>
        <v>#REF!</v>
      </c>
      <c r="AI59" s="310"/>
      <c r="AJ59" s="205"/>
    </row>
    <row r="60" spans="1:41" s="68" customFormat="1" ht="30" customHeight="1">
      <c r="A60" s="322"/>
      <c r="B60" s="322"/>
      <c r="C60" s="105" t="e">
        <f>+#REF!</f>
        <v>#REF!</v>
      </c>
      <c r="D60" s="104" t="e">
        <f>+#REF!</f>
        <v>#REF!</v>
      </c>
      <c r="E60" s="104" t="e">
        <f>#REF!</f>
        <v>#REF!</v>
      </c>
      <c r="F60" s="192" t="e">
        <f t="shared" si="18"/>
        <v>#REF!</v>
      </c>
      <c r="G60" s="107" t="e">
        <f>#REF!</f>
        <v>#REF!</v>
      </c>
      <c r="H60" s="107" t="e">
        <f>#REF!</f>
        <v>#REF!</v>
      </c>
      <c r="I60" s="107" t="e">
        <f>#REF!</f>
        <v>#REF!</v>
      </c>
      <c r="J60" s="111" t="e">
        <f>+#REF!</f>
        <v>#REF!</v>
      </c>
      <c r="K60" s="111" t="e">
        <f>+#REF!</f>
        <v>#REF!</v>
      </c>
      <c r="L60" s="111" t="e">
        <f>+#REF!</f>
        <v>#REF!</v>
      </c>
      <c r="M60" s="109" t="e">
        <f>#REF!</f>
        <v>#REF!</v>
      </c>
      <c r="N60" s="109" t="e">
        <f>#REF!</f>
        <v>#REF!</v>
      </c>
      <c r="O60" s="109" t="e">
        <f>#REF!</f>
        <v>#REF!</v>
      </c>
      <c r="P60" s="112" t="e">
        <f>+M60</f>
        <v>#REF!</v>
      </c>
      <c r="Q60" s="112" t="e">
        <f t="shared" si="68"/>
        <v>#REF!</v>
      </c>
      <c r="R60" s="112" t="e">
        <f t="shared" si="69"/>
        <v>#REF!</v>
      </c>
      <c r="S60" s="110"/>
      <c r="T60" s="110"/>
      <c r="U60" s="110"/>
      <c r="V60" s="110"/>
      <c r="W60" s="110"/>
      <c r="X60" s="110"/>
      <c r="Y60" s="80" t="e">
        <f t="shared" si="5"/>
        <v>#REF!</v>
      </c>
      <c r="Z60" s="80" t="e">
        <f t="shared" si="6"/>
        <v>#REF!</v>
      </c>
      <c r="AA60" s="80" t="e">
        <f t="shared" si="7"/>
        <v>#REF!</v>
      </c>
      <c r="AB60" s="106" t="e">
        <f t="shared" ref="AB60:AB61" si="79">+Y60/F60</f>
        <v>#REF!</v>
      </c>
      <c r="AC60" s="106" t="e">
        <f t="shared" ref="AC60" si="80">+Z60/F60</f>
        <v>#REF!</v>
      </c>
      <c r="AD60" s="106" t="e">
        <f t="shared" ref="AD60:AD61" si="81">+AA60/F60</f>
        <v>#REF!</v>
      </c>
      <c r="AE60" s="197" t="e">
        <f>+#REF!</f>
        <v>#REF!</v>
      </c>
      <c r="AF60" s="203" t="e">
        <f t="shared" si="14"/>
        <v>#REF!</v>
      </c>
      <c r="AG60" s="198" t="e">
        <f t="shared" si="58"/>
        <v>#REF!</v>
      </c>
      <c r="AH60" s="199" t="e">
        <f t="shared" si="29"/>
        <v>#REF!</v>
      </c>
      <c r="AI60" s="310"/>
      <c r="AJ60" s="205"/>
    </row>
    <row r="61" spans="1:41" s="68" customFormat="1" ht="30" customHeight="1">
      <c r="A61" s="105">
        <v>22</v>
      </c>
      <c r="B61" s="105" t="s">
        <v>108</v>
      </c>
      <c r="C61" s="105" t="e">
        <f>+#REF!</f>
        <v>#REF!</v>
      </c>
      <c r="D61" s="104" t="e">
        <f>+#REF!</f>
        <v>#REF!</v>
      </c>
      <c r="E61" s="104" t="e">
        <f>#REF!</f>
        <v>#REF!</v>
      </c>
      <c r="F61" s="192" t="e">
        <f>+E61-D61</f>
        <v>#REF!</v>
      </c>
      <c r="G61" s="107" t="e">
        <f>#REF!</f>
        <v>#REF!</v>
      </c>
      <c r="H61" s="107" t="e">
        <f>#REF!</f>
        <v>#REF!</v>
      </c>
      <c r="I61" s="107" t="e">
        <f>#REF!</f>
        <v>#REF!</v>
      </c>
      <c r="J61" s="111" t="e">
        <f>+#REF!</f>
        <v>#REF!</v>
      </c>
      <c r="K61" s="111" t="e">
        <f>+#REF!</f>
        <v>#REF!</v>
      </c>
      <c r="L61" s="111" t="e">
        <f>+#REF!</f>
        <v>#REF!</v>
      </c>
      <c r="M61" s="109" t="e">
        <f>#REF!</f>
        <v>#REF!</v>
      </c>
      <c r="N61" s="109" t="e">
        <f>#REF!</f>
        <v>#REF!</v>
      </c>
      <c r="O61" s="109" t="e">
        <f>#REF!</f>
        <v>#REF!</v>
      </c>
      <c r="P61" s="112" t="e">
        <f>+M61</f>
        <v>#REF!</v>
      </c>
      <c r="Q61" s="112" t="e">
        <f t="shared" si="68"/>
        <v>#REF!</v>
      </c>
      <c r="R61" s="112" t="e">
        <f>+O61</f>
        <v>#REF!</v>
      </c>
      <c r="S61" s="110"/>
      <c r="T61" s="110"/>
      <c r="U61" s="110"/>
      <c r="V61" s="110"/>
      <c r="W61" s="110"/>
      <c r="X61" s="110"/>
      <c r="Y61" s="80" t="e">
        <f t="shared" si="5"/>
        <v>#REF!</v>
      </c>
      <c r="Z61" s="80" t="e">
        <f t="shared" si="6"/>
        <v>#REF!</v>
      </c>
      <c r="AA61" s="80" t="e">
        <f t="shared" si="7"/>
        <v>#REF!</v>
      </c>
      <c r="AB61" s="106" t="e">
        <f t="shared" si="79"/>
        <v>#REF!</v>
      </c>
      <c r="AC61" s="106" t="e">
        <f t="shared" ref="AC61" si="82">+Z61/F61</f>
        <v>#REF!</v>
      </c>
      <c r="AD61" s="106" t="e">
        <f t="shared" si="81"/>
        <v>#REF!</v>
      </c>
      <c r="AE61" s="197" t="e">
        <f>+#REF!</f>
        <v>#REF!</v>
      </c>
      <c r="AF61" s="203" t="e">
        <f t="shared" si="14"/>
        <v>#REF!</v>
      </c>
      <c r="AG61" s="198" t="e">
        <f>+Z61</f>
        <v>#REF!</v>
      </c>
      <c r="AH61" s="199" t="e">
        <f t="shared" si="29"/>
        <v>#REF!</v>
      </c>
      <c r="AI61" s="198" t="e">
        <f>+AG61</f>
        <v>#REF!</v>
      </c>
      <c r="AJ61" s="205"/>
    </row>
    <row r="62" spans="1:41" s="124" customFormat="1" ht="10.5" customHeight="1">
      <c r="A62" s="113"/>
      <c r="B62" s="113"/>
      <c r="C62" s="113"/>
      <c r="D62" s="114"/>
      <c r="E62" s="115"/>
      <c r="F62" s="115"/>
      <c r="G62" s="115"/>
      <c r="H62" s="115"/>
      <c r="I62" s="115"/>
      <c r="J62" s="116"/>
      <c r="K62" s="187"/>
      <c r="L62" s="116"/>
      <c r="M62" s="117"/>
      <c r="N62" s="117"/>
      <c r="O62" s="117"/>
      <c r="P62" s="118"/>
      <c r="Q62" s="118"/>
      <c r="R62" s="118"/>
      <c r="S62" s="119"/>
      <c r="T62" s="119"/>
      <c r="U62" s="119"/>
      <c r="V62" s="119"/>
      <c r="W62" s="119"/>
      <c r="X62" s="119"/>
      <c r="Y62" s="59"/>
      <c r="Z62" s="59"/>
      <c r="AA62" s="59"/>
      <c r="AB62" s="120"/>
      <c r="AC62" s="120"/>
      <c r="AD62" s="120"/>
      <c r="AE62" s="121"/>
      <c r="AF62" s="115"/>
      <c r="AG62" s="101"/>
      <c r="AH62" s="152"/>
      <c r="AI62" s="122" t="e">
        <f>SUM(AI12:AI61)/14</f>
        <v>#REF!</v>
      </c>
      <c r="AJ62" s="123"/>
    </row>
    <row r="63" spans="1:41" s="125" customFormat="1" ht="25.5" customHeight="1">
      <c r="B63" s="126"/>
      <c r="C63" s="125" t="s">
        <v>40</v>
      </c>
      <c r="D63" s="126"/>
      <c r="K63" s="35"/>
      <c r="W63" s="125" t="s">
        <v>40</v>
      </c>
      <c r="Y63" s="35" t="s">
        <v>39</v>
      </c>
      <c r="Z63" s="35"/>
      <c r="AA63" s="36"/>
      <c r="AC63" s="127"/>
      <c r="AH63" s="153"/>
      <c r="AL63" s="128"/>
      <c r="AM63" s="128"/>
      <c r="AN63" s="128"/>
      <c r="AO63" s="129"/>
    </row>
    <row r="64" spans="1:41">
      <c r="B64" s="7"/>
      <c r="C64" s="7"/>
      <c r="E64" s="1"/>
      <c r="F64" s="1"/>
      <c r="Y64" s="18"/>
      <c r="Z64" s="18"/>
      <c r="AB64" s="6"/>
      <c r="AC64" s="6"/>
      <c r="AG64" s="1"/>
      <c r="AH64" s="154"/>
      <c r="AJ64" s="89"/>
      <c r="AK64" s="89"/>
      <c r="AL64" s="130"/>
      <c r="AM64" s="131"/>
      <c r="AN64" s="131"/>
      <c r="AO64" s="84"/>
    </row>
    <row r="65" spans="2:41" ht="16.8">
      <c r="B65" s="7"/>
      <c r="C65" s="7"/>
      <c r="E65" s="1"/>
      <c r="F65" s="1"/>
      <c r="Q65" s="125"/>
      <c r="Y65" s="18"/>
      <c r="Z65" s="18"/>
      <c r="AB65" s="6"/>
      <c r="AC65" s="6"/>
      <c r="AG65" s="1"/>
      <c r="AH65" s="154"/>
      <c r="AI65" s="1"/>
      <c r="AL65" s="131"/>
      <c r="AM65" s="131"/>
      <c r="AN65" s="131"/>
      <c r="AO65" s="84"/>
    </row>
    <row r="66" spans="2:41">
      <c r="B66" s="7"/>
      <c r="C66" s="7"/>
      <c r="E66" s="1"/>
      <c r="F66" s="1"/>
      <c r="Y66" s="18"/>
      <c r="Z66" s="18"/>
      <c r="AB66" s="6"/>
      <c r="AC66" s="6"/>
      <c r="AG66" s="1"/>
      <c r="AH66" s="154"/>
      <c r="AI66" s="1"/>
      <c r="AL66" s="131"/>
      <c r="AM66" s="131"/>
      <c r="AN66" s="131"/>
      <c r="AO66" s="84"/>
    </row>
    <row r="67" spans="2:41">
      <c r="B67" s="7"/>
      <c r="C67" s="7"/>
      <c r="E67" s="1"/>
      <c r="F67" s="1"/>
      <c r="Y67" s="18"/>
      <c r="Z67" s="18"/>
      <c r="AB67" s="6"/>
      <c r="AC67" s="6"/>
      <c r="AG67" s="1"/>
      <c r="AH67" s="154"/>
      <c r="AI67" s="1"/>
      <c r="AL67" s="131"/>
      <c r="AM67" s="131"/>
      <c r="AN67" s="131"/>
      <c r="AO67" s="84"/>
    </row>
    <row r="68" spans="2:41" s="3" customFormat="1" ht="16.8">
      <c r="B68" s="132"/>
      <c r="C68" s="132"/>
      <c r="D68" s="132"/>
      <c r="K68" s="33"/>
      <c r="Y68" s="33"/>
      <c r="Z68" s="33"/>
      <c r="AA68" s="42"/>
      <c r="AB68" s="133"/>
      <c r="AC68" s="133"/>
      <c r="AH68" s="155"/>
      <c r="AL68" s="134"/>
      <c r="AM68" s="134"/>
      <c r="AN68" s="134"/>
      <c r="AO68" s="83"/>
    </row>
    <row r="69" spans="2:41" s="135" customFormat="1" ht="17.399999999999999">
      <c r="B69" s="136"/>
      <c r="C69" s="309" t="s">
        <v>23</v>
      </c>
      <c r="D69" s="309"/>
      <c r="E69" s="136"/>
      <c r="F69" s="136"/>
      <c r="G69" s="136"/>
      <c r="H69" s="308"/>
      <c r="I69" s="308"/>
      <c r="J69" s="308"/>
      <c r="K69" s="308"/>
      <c r="L69" s="308"/>
      <c r="Y69" s="308" t="s">
        <v>62</v>
      </c>
      <c r="Z69" s="308"/>
      <c r="AA69" s="308"/>
      <c r="AB69" s="308"/>
      <c r="AH69" s="156"/>
      <c r="AL69" s="137"/>
      <c r="AM69" s="137"/>
      <c r="AN69" s="137"/>
      <c r="AO69" s="138"/>
    </row>
  </sheetData>
  <mergeCells count="64">
    <mergeCell ref="AJ12:AJ16"/>
    <mergeCell ref="A55:A56"/>
    <mergeCell ref="B55:B56"/>
    <mergeCell ref="B58:B60"/>
    <mergeCell ref="A58:A60"/>
    <mergeCell ref="AJ37:AJ38"/>
    <mergeCell ref="AI12:AI16"/>
    <mergeCell ref="AI17:AI24"/>
    <mergeCell ref="AI25:AI28"/>
    <mergeCell ref="B30:B31"/>
    <mergeCell ref="B32:B35"/>
    <mergeCell ref="B25:B28"/>
    <mergeCell ref="AI30:AI31"/>
    <mergeCell ref="AI32:AI35"/>
    <mergeCell ref="A30:A31"/>
    <mergeCell ref="A32:A35"/>
    <mergeCell ref="B52:B53"/>
    <mergeCell ref="A52:A53"/>
    <mergeCell ref="B48:B51"/>
    <mergeCell ref="A48:A51"/>
    <mergeCell ref="B40:B42"/>
    <mergeCell ref="B44:B46"/>
    <mergeCell ref="A40:A42"/>
    <mergeCell ref="A44:A46"/>
    <mergeCell ref="A5:D5"/>
    <mergeCell ref="E4:V4"/>
    <mergeCell ref="A1:F1"/>
    <mergeCell ref="N1:AF1"/>
    <mergeCell ref="A2:F2"/>
    <mergeCell ref="N2:AF2"/>
    <mergeCell ref="A3:AF3"/>
    <mergeCell ref="E6:AC6"/>
    <mergeCell ref="A7:D7"/>
    <mergeCell ref="E7:G7"/>
    <mergeCell ref="A8:D8"/>
    <mergeCell ref="E8:J8"/>
    <mergeCell ref="A25:A28"/>
    <mergeCell ref="A6:D6"/>
    <mergeCell ref="A9:D9"/>
    <mergeCell ref="B17:B24"/>
    <mergeCell ref="A17:A24"/>
    <mergeCell ref="B12:B16"/>
    <mergeCell ref="A12:A16"/>
    <mergeCell ref="E9:J9"/>
    <mergeCell ref="Y10:AA10"/>
    <mergeCell ref="AB10:AD10"/>
    <mergeCell ref="AE10:AE11"/>
    <mergeCell ref="AF10:AF11"/>
    <mergeCell ref="D10:E10"/>
    <mergeCell ref="G10:I10"/>
    <mergeCell ref="J10:L10"/>
    <mergeCell ref="M10:O10"/>
    <mergeCell ref="P10:R10"/>
    <mergeCell ref="S10:U10"/>
    <mergeCell ref="V10:X10"/>
    <mergeCell ref="H69:L69"/>
    <mergeCell ref="C69:D69"/>
    <mergeCell ref="Y69:AB69"/>
    <mergeCell ref="AI40:AI42"/>
    <mergeCell ref="AI44:AI46"/>
    <mergeCell ref="AI48:AI51"/>
    <mergeCell ref="AI52:AI53"/>
    <mergeCell ref="AI55:AI56"/>
    <mergeCell ref="AI58:AI60"/>
  </mergeCells>
  <pageMargins left="0.2" right="0.2" top="0.5" bottom="0.2" header="0.2" footer="0.2"/>
  <pageSetup paperSize="9" scale="68" orientation="landscape" r:id="rId1"/>
  <colBreaks count="1" manualBreakCount="1">
    <brk id="35" max="61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AO354"/>
  <sheetViews>
    <sheetView view="pageBreakPreview" topLeftCell="A250" zoomScale="85" zoomScaleNormal="55" zoomScaleSheetLayoutView="85" workbookViewId="0">
      <selection activeCell="Z268" sqref="Z268:AD268"/>
    </sheetView>
  </sheetViews>
  <sheetFormatPr defaultColWidth="8.90625" defaultRowHeight="15.6"/>
  <cols>
    <col min="1" max="1" width="4" style="18" customWidth="1"/>
    <col min="2" max="2" width="9.453125" style="22" customWidth="1"/>
    <col min="3" max="3" width="5.90625" style="22" customWidth="1"/>
    <col min="4" max="4" width="6.54296875" style="189" customWidth="1"/>
    <col min="5" max="5" width="6" style="18" customWidth="1"/>
    <col min="6" max="6" width="6" style="18" hidden="1" customWidth="1"/>
    <col min="7" max="7" width="5.453125" style="18" hidden="1" customWidth="1"/>
    <col min="8" max="8" width="5" style="18" hidden="1" customWidth="1"/>
    <col min="9" max="9" width="5.1796875" style="18" hidden="1" customWidth="1"/>
    <col min="10" max="11" width="7.453125" style="18" hidden="1" customWidth="1"/>
    <col min="12" max="14" width="6.6328125" style="18" hidden="1" customWidth="1"/>
    <col min="15" max="15" width="7.08984375" style="18" hidden="1" customWidth="1"/>
    <col min="16" max="16" width="6.6328125" style="18" customWidth="1"/>
    <col min="17" max="19" width="5.6328125" style="18" customWidth="1"/>
    <col min="20" max="20" width="6.54296875" style="18" customWidth="1"/>
    <col min="21" max="21" width="6.36328125" style="18" customWidth="1"/>
    <col min="22" max="22" width="7.08984375" style="18" customWidth="1"/>
    <col min="23" max="23" width="7.36328125" style="18" customWidth="1"/>
    <col min="24" max="26" width="7" style="18" customWidth="1"/>
    <col min="27" max="29" width="5.6328125" style="20" customWidth="1"/>
    <col min="30" max="31" width="7.08984375" style="20" customWidth="1"/>
    <col min="32" max="32" width="5.36328125" style="18" customWidth="1"/>
    <col min="33" max="34" width="4.90625" style="18" customWidth="1"/>
    <col min="35" max="35" width="6.1796875" style="18" customWidth="1"/>
    <col min="36" max="36" width="6.08984375" style="18" customWidth="1"/>
    <col min="37" max="37" width="6.81640625" style="18" customWidth="1"/>
    <col min="38" max="38" width="7.453125" style="18" customWidth="1"/>
    <col min="39" max="39" width="10.54296875" style="18" customWidth="1"/>
    <col min="40" max="40" width="10.08984375" style="18" customWidth="1"/>
    <col min="41" max="41" width="15.453125" style="18" customWidth="1"/>
    <col min="42" max="249" width="8.90625" style="18" customWidth="1"/>
    <col min="250" max="16384" width="8.90625" style="18"/>
  </cols>
  <sheetData>
    <row r="1" spans="1:40" ht="17.25" customHeight="1">
      <c r="A1" s="342" t="s">
        <v>147</v>
      </c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  <c r="Q1" s="343"/>
      <c r="R1" s="343"/>
      <c r="S1" s="343"/>
      <c r="T1" s="343"/>
      <c r="U1" s="343"/>
      <c r="V1" s="343"/>
      <c r="W1" s="343"/>
      <c r="X1" s="343"/>
      <c r="Y1" s="343"/>
      <c r="Z1" s="343"/>
      <c r="AA1" s="343"/>
      <c r="AB1" s="343"/>
      <c r="AC1" s="343"/>
      <c r="AD1" s="343"/>
      <c r="AE1" s="343"/>
      <c r="AF1" s="343"/>
      <c r="AG1" s="343"/>
      <c r="AH1" s="343"/>
      <c r="AI1" s="343"/>
      <c r="AJ1" s="343"/>
      <c r="AK1" s="343"/>
      <c r="AL1" s="343"/>
      <c r="AM1" s="343"/>
      <c r="AN1" s="344"/>
    </row>
    <row r="2" spans="1:40" ht="17.25" customHeight="1">
      <c r="A2" s="345" t="s">
        <v>148</v>
      </c>
      <c r="B2" s="346"/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46"/>
      <c r="R2" s="346"/>
      <c r="S2" s="346"/>
      <c r="T2" s="346"/>
      <c r="U2" s="346"/>
      <c r="V2" s="346"/>
      <c r="W2" s="346"/>
      <c r="X2" s="346"/>
      <c r="Y2" s="346"/>
      <c r="Z2" s="346"/>
      <c r="AA2" s="346"/>
      <c r="AB2" s="346"/>
      <c r="AC2" s="346"/>
      <c r="AD2" s="346"/>
      <c r="AE2" s="346"/>
      <c r="AF2" s="346"/>
      <c r="AG2" s="346"/>
      <c r="AH2" s="346"/>
      <c r="AI2" s="346"/>
      <c r="AJ2" s="346"/>
      <c r="AK2" s="346"/>
      <c r="AL2" s="346"/>
      <c r="AM2" s="346"/>
      <c r="AN2" s="347"/>
    </row>
    <row r="3" spans="1:40" ht="17.25" customHeight="1">
      <c r="A3" s="345" t="s">
        <v>149</v>
      </c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  <c r="Q3" s="346"/>
      <c r="R3" s="346"/>
      <c r="S3" s="346"/>
      <c r="T3" s="346"/>
      <c r="U3" s="346"/>
      <c r="V3" s="346"/>
      <c r="W3" s="346"/>
      <c r="X3" s="346"/>
      <c r="Y3" s="346"/>
      <c r="Z3" s="346"/>
      <c r="AA3" s="346"/>
      <c r="AB3" s="346"/>
      <c r="AC3" s="346"/>
      <c r="AD3" s="346"/>
      <c r="AE3" s="346"/>
      <c r="AF3" s="346"/>
      <c r="AG3" s="346"/>
      <c r="AH3" s="346"/>
      <c r="AI3" s="346"/>
      <c r="AJ3" s="346"/>
      <c r="AK3" s="346"/>
      <c r="AL3" s="346"/>
      <c r="AM3" s="346"/>
      <c r="AN3" s="347"/>
    </row>
    <row r="4" spans="1:40" s="19" customFormat="1" ht="17.25" customHeight="1">
      <c r="A4" s="348" t="s">
        <v>121</v>
      </c>
      <c r="B4" s="349"/>
      <c r="C4" s="349"/>
      <c r="D4" s="349"/>
      <c r="E4" s="349"/>
      <c r="F4" s="349"/>
      <c r="G4" s="349"/>
      <c r="H4" s="349"/>
      <c r="I4" s="349"/>
      <c r="J4" s="349"/>
      <c r="K4" s="349"/>
      <c r="L4" s="349"/>
      <c r="M4" s="349"/>
      <c r="N4" s="349"/>
      <c r="O4" s="349"/>
      <c r="P4" s="349"/>
      <c r="Q4" s="349"/>
      <c r="R4" s="349"/>
      <c r="S4" s="349"/>
      <c r="T4" s="349"/>
      <c r="U4" s="349"/>
      <c r="V4" s="349"/>
      <c r="W4" s="349"/>
      <c r="X4" s="349"/>
      <c r="Y4" s="349"/>
      <c r="Z4" s="349"/>
      <c r="AA4" s="349"/>
      <c r="AB4" s="349"/>
      <c r="AC4" s="349"/>
      <c r="AD4" s="349"/>
      <c r="AE4" s="349"/>
      <c r="AF4" s="349"/>
      <c r="AG4" s="349"/>
      <c r="AH4" s="349"/>
      <c r="AI4" s="349"/>
      <c r="AJ4" s="349"/>
      <c r="AK4" s="349"/>
      <c r="AL4" s="349"/>
      <c r="AM4" s="349"/>
      <c r="AN4" s="350"/>
    </row>
    <row r="5" spans="1:40" s="19" customFormat="1" ht="17.25" customHeight="1">
      <c r="A5" s="351" t="s">
        <v>122</v>
      </c>
      <c r="B5" s="352"/>
      <c r="C5" s="352"/>
      <c r="D5" s="234"/>
      <c r="E5" s="234"/>
      <c r="F5" s="234"/>
      <c r="G5" s="234"/>
      <c r="H5" s="234"/>
      <c r="I5" s="234"/>
      <c r="J5" s="234"/>
      <c r="K5" s="234"/>
      <c r="L5" s="234"/>
      <c r="M5" s="235"/>
      <c r="N5" s="235"/>
      <c r="O5" s="235"/>
      <c r="P5" s="235"/>
      <c r="Q5" s="235"/>
      <c r="R5" s="234"/>
      <c r="S5" s="234"/>
      <c r="T5" s="234"/>
      <c r="U5" s="234"/>
      <c r="V5" s="234"/>
      <c r="W5" s="234"/>
      <c r="X5" s="234"/>
      <c r="Y5" s="234"/>
      <c r="Z5" s="234"/>
      <c r="AA5" s="234" t="s">
        <v>123</v>
      </c>
      <c r="AB5" s="234"/>
      <c r="AC5" s="234"/>
      <c r="AD5" s="234"/>
      <c r="AE5" s="234"/>
      <c r="AF5" s="234"/>
      <c r="AG5" s="234"/>
      <c r="AH5" s="234"/>
      <c r="AI5" s="234"/>
      <c r="AJ5" s="234"/>
      <c r="AK5" s="234"/>
      <c r="AL5" s="234"/>
      <c r="AM5" s="234"/>
      <c r="AN5" s="238"/>
    </row>
    <row r="6" spans="1:40" s="19" customFormat="1" ht="17.25" customHeight="1">
      <c r="A6" s="353" t="s">
        <v>124</v>
      </c>
      <c r="B6" s="354"/>
      <c r="C6" s="354"/>
      <c r="D6" s="236"/>
      <c r="E6" s="236"/>
      <c r="F6" s="236"/>
      <c r="G6" s="236"/>
      <c r="H6" s="236"/>
      <c r="I6" s="236"/>
      <c r="J6" s="236"/>
      <c r="K6" s="236"/>
      <c r="L6" s="236"/>
      <c r="M6" s="237"/>
      <c r="N6" s="237"/>
      <c r="O6" s="237"/>
      <c r="P6" s="237"/>
      <c r="Q6" s="237"/>
      <c r="R6" s="236"/>
      <c r="S6" s="236"/>
      <c r="T6" s="236"/>
      <c r="U6" s="236"/>
      <c r="V6" s="236"/>
      <c r="W6" s="236"/>
      <c r="X6" s="236"/>
      <c r="Y6" s="236"/>
      <c r="Z6" s="236"/>
      <c r="AA6" s="236" t="s">
        <v>125</v>
      </c>
      <c r="AB6" s="236"/>
      <c r="AC6" s="220">
        <f>C11</f>
        <v>1049</v>
      </c>
      <c r="AD6" s="258"/>
      <c r="AE6" s="258"/>
      <c r="AF6" s="236"/>
      <c r="AG6" s="236"/>
      <c r="AH6" s="236"/>
      <c r="AI6" s="236"/>
      <c r="AJ6" s="236"/>
      <c r="AK6" s="236"/>
      <c r="AL6" s="236"/>
      <c r="AM6" s="236"/>
      <c r="AN6" s="239"/>
    </row>
    <row r="7" spans="1:40" s="19" customFormat="1" ht="17.25" customHeight="1">
      <c r="A7" s="339" t="s">
        <v>126</v>
      </c>
      <c r="B7" s="340" t="s">
        <v>143</v>
      </c>
      <c r="C7" s="340"/>
      <c r="D7" s="240" t="s">
        <v>150</v>
      </c>
      <c r="E7" s="240"/>
      <c r="F7" s="240"/>
      <c r="G7" s="240"/>
      <c r="H7" s="240"/>
      <c r="I7" s="240"/>
      <c r="J7" s="240"/>
      <c r="K7" s="240"/>
      <c r="L7" s="240"/>
      <c r="M7" s="241"/>
      <c r="N7" s="241"/>
      <c r="O7" s="241"/>
      <c r="P7" s="241"/>
      <c r="Q7" s="241"/>
      <c r="R7" s="240"/>
      <c r="S7" s="240"/>
      <c r="T7" s="240"/>
      <c r="U7" s="240"/>
      <c r="V7" s="240"/>
      <c r="W7" s="240"/>
      <c r="X7" s="240"/>
      <c r="Y7" s="240"/>
      <c r="Z7" s="240"/>
      <c r="AA7" s="240" t="s">
        <v>127</v>
      </c>
      <c r="AB7" s="240"/>
      <c r="AC7" s="341">
        <f>B11</f>
        <v>45554</v>
      </c>
      <c r="AD7" s="341"/>
      <c r="AE7" s="341"/>
      <c r="AF7" s="341"/>
      <c r="AG7" s="341"/>
      <c r="AH7" s="240"/>
      <c r="AI7" s="240"/>
      <c r="AJ7" s="240"/>
      <c r="AK7" s="240"/>
      <c r="AL7" s="240"/>
      <c r="AM7" s="240"/>
      <c r="AN7" s="242"/>
    </row>
    <row r="8" spans="1:40" s="46" customFormat="1" ht="47.25" customHeight="1">
      <c r="A8" s="357" t="s">
        <v>1</v>
      </c>
      <c r="B8" s="359" t="s">
        <v>2</v>
      </c>
      <c r="C8" s="360" t="s">
        <v>10</v>
      </c>
      <c r="D8" s="360" t="s">
        <v>3</v>
      </c>
      <c r="E8" s="357" t="s">
        <v>11</v>
      </c>
      <c r="F8" s="362" t="s">
        <v>70</v>
      </c>
      <c r="G8" s="363"/>
      <c r="H8" s="363"/>
      <c r="I8" s="363"/>
      <c r="J8" s="364"/>
      <c r="K8" s="362" t="s">
        <v>98</v>
      </c>
      <c r="L8" s="363"/>
      <c r="M8" s="363"/>
      <c r="N8" s="363"/>
      <c r="O8" s="364"/>
      <c r="P8" s="362" t="s">
        <v>99</v>
      </c>
      <c r="Q8" s="363"/>
      <c r="R8" s="363"/>
      <c r="S8" s="363"/>
      <c r="T8" s="364"/>
      <c r="U8" s="362" t="s">
        <v>71</v>
      </c>
      <c r="V8" s="363"/>
      <c r="W8" s="363"/>
      <c r="X8" s="363"/>
      <c r="Y8" s="364"/>
      <c r="Z8" s="355" t="s">
        <v>100</v>
      </c>
      <c r="AA8" s="358"/>
      <c r="AB8" s="358"/>
      <c r="AC8" s="358"/>
      <c r="AD8" s="356"/>
      <c r="AE8" s="355" t="s">
        <v>101</v>
      </c>
      <c r="AF8" s="358"/>
      <c r="AG8" s="358"/>
      <c r="AH8" s="358"/>
      <c r="AI8" s="356"/>
      <c r="AJ8" s="357" t="s">
        <v>73</v>
      </c>
      <c r="AK8" s="357" t="s">
        <v>72</v>
      </c>
      <c r="AL8" s="357" t="s">
        <v>144</v>
      </c>
      <c r="AM8" s="355" t="s">
        <v>66</v>
      </c>
      <c r="AN8" s="356"/>
    </row>
    <row r="9" spans="1:40" s="29" customFormat="1" ht="40.5" customHeight="1">
      <c r="A9" s="357"/>
      <c r="B9" s="359"/>
      <c r="C9" s="361"/>
      <c r="D9" s="361"/>
      <c r="E9" s="357"/>
      <c r="F9" s="47" t="s">
        <v>145</v>
      </c>
      <c r="G9" s="47" t="s">
        <v>6</v>
      </c>
      <c r="H9" s="47" t="s">
        <v>7</v>
      </c>
      <c r="I9" s="47" t="s">
        <v>8</v>
      </c>
      <c r="J9" s="47" t="s">
        <v>146</v>
      </c>
      <c r="K9" s="47" t="s">
        <v>145</v>
      </c>
      <c r="L9" s="47" t="s">
        <v>6</v>
      </c>
      <c r="M9" s="47" t="s">
        <v>7</v>
      </c>
      <c r="N9" s="47" t="s">
        <v>8</v>
      </c>
      <c r="O9" s="47" t="s">
        <v>146</v>
      </c>
      <c r="P9" s="47" t="s">
        <v>145</v>
      </c>
      <c r="Q9" s="47" t="s">
        <v>6</v>
      </c>
      <c r="R9" s="47" t="s">
        <v>7</v>
      </c>
      <c r="S9" s="47" t="s">
        <v>8</v>
      </c>
      <c r="T9" s="47" t="s">
        <v>146</v>
      </c>
      <c r="U9" s="47" t="s">
        <v>145</v>
      </c>
      <c r="V9" s="47" t="s">
        <v>6</v>
      </c>
      <c r="W9" s="47" t="s">
        <v>7</v>
      </c>
      <c r="X9" s="47" t="s">
        <v>8</v>
      </c>
      <c r="Y9" s="47" t="s">
        <v>146</v>
      </c>
      <c r="Z9" s="47" t="s">
        <v>145</v>
      </c>
      <c r="AA9" s="47" t="s">
        <v>6</v>
      </c>
      <c r="AB9" s="47" t="s">
        <v>7</v>
      </c>
      <c r="AC9" s="47" t="s">
        <v>8</v>
      </c>
      <c r="AD9" s="47" t="s">
        <v>146</v>
      </c>
      <c r="AE9" s="47" t="s">
        <v>145</v>
      </c>
      <c r="AF9" s="47" t="s">
        <v>6</v>
      </c>
      <c r="AG9" s="47" t="s">
        <v>7</v>
      </c>
      <c r="AH9" s="47" t="s">
        <v>8</v>
      </c>
      <c r="AI9" s="47" t="s">
        <v>146</v>
      </c>
      <c r="AJ9" s="357"/>
      <c r="AK9" s="357"/>
      <c r="AL9" s="357"/>
      <c r="AM9" s="47" t="s">
        <v>67</v>
      </c>
      <c r="AN9" s="87" t="s">
        <v>68</v>
      </c>
    </row>
    <row r="10" spans="1:40" s="29" customFormat="1" ht="20.100000000000001" customHeight="1">
      <c r="A10" s="357"/>
      <c r="B10" s="359"/>
      <c r="C10" s="49" t="s">
        <v>0</v>
      </c>
      <c r="D10" s="49" t="s">
        <v>0</v>
      </c>
      <c r="E10" s="48" t="s">
        <v>0</v>
      </c>
      <c r="F10" s="48" t="s">
        <v>0</v>
      </c>
      <c r="G10" s="48" t="s">
        <v>0</v>
      </c>
      <c r="H10" s="48" t="s">
        <v>0</v>
      </c>
      <c r="I10" s="48" t="s">
        <v>0</v>
      </c>
      <c r="J10" s="48" t="s">
        <v>0</v>
      </c>
      <c r="K10" s="48" t="s">
        <v>0</v>
      </c>
      <c r="L10" s="48" t="s">
        <v>0</v>
      </c>
      <c r="M10" s="48" t="s">
        <v>0</v>
      </c>
      <c r="N10" s="48" t="s">
        <v>0</v>
      </c>
      <c r="O10" s="48" t="s">
        <v>0</v>
      </c>
      <c r="P10" s="48" t="s">
        <v>0</v>
      </c>
      <c r="Q10" s="48" t="s">
        <v>0</v>
      </c>
      <c r="R10" s="48" t="s">
        <v>0</v>
      </c>
      <c r="S10" s="48" t="s">
        <v>0</v>
      </c>
      <c r="T10" s="48" t="s">
        <v>0</v>
      </c>
      <c r="U10" s="48" t="s">
        <v>0</v>
      </c>
      <c r="V10" s="48" t="s">
        <v>0</v>
      </c>
      <c r="W10" s="48" t="s">
        <v>0</v>
      </c>
      <c r="X10" s="48" t="s">
        <v>0</v>
      </c>
      <c r="Y10" s="48" t="s">
        <v>0</v>
      </c>
      <c r="Z10" s="48" t="s">
        <v>9</v>
      </c>
      <c r="AA10" s="48" t="s">
        <v>9</v>
      </c>
      <c r="AB10" s="48" t="s">
        <v>9</v>
      </c>
      <c r="AC10" s="48" t="s">
        <v>9</v>
      </c>
      <c r="AD10" s="48" t="s">
        <v>9</v>
      </c>
      <c r="AE10" s="48" t="s">
        <v>9</v>
      </c>
      <c r="AF10" s="48" t="s">
        <v>9</v>
      </c>
      <c r="AG10" s="48" t="s">
        <v>9</v>
      </c>
      <c r="AH10" s="48" t="s">
        <v>9</v>
      </c>
      <c r="AI10" s="48" t="s">
        <v>9</v>
      </c>
      <c r="AJ10" s="48" t="s">
        <v>0</v>
      </c>
      <c r="AK10" s="48" t="s">
        <v>0</v>
      </c>
      <c r="AL10" s="48" t="s">
        <v>0</v>
      </c>
      <c r="AM10" s="48"/>
      <c r="AN10" s="67"/>
    </row>
    <row r="11" spans="1:40" s="29" customFormat="1" ht="17.25" customHeight="1">
      <c r="A11" s="48">
        <v>40</v>
      </c>
      <c r="B11" s="49">
        <v>45554</v>
      </c>
      <c r="C11" s="220">
        <v>1049</v>
      </c>
      <c r="D11" s="220">
        <v>2200</v>
      </c>
      <c r="E11" s="220">
        <v>3269</v>
      </c>
      <c r="F11" s="220">
        <v>620</v>
      </c>
      <c r="G11" s="220">
        <v>690</v>
      </c>
      <c r="H11" s="220">
        <v>812</v>
      </c>
      <c r="I11" s="220">
        <v>780</v>
      </c>
      <c r="J11" s="220">
        <v>710</v>
      </c>
      <c r="K11" s="220">
        <v>2649</v>
      </c>
      <c r="L11" s="220">
        <v>2579</v>
      </c>
      <c r="M11" s="220">
        <v>2457</v>
      </c>
      <c r="N11" s="220">
        <v>2489</v>
      </c>
      <c r="O11" s="220">
        <v>2559</v>
      </c>
      <c r="P11" s="220">
        <v>2000</v>
      </c>
      <c r="Q11" s="220">
        <v>2000</v>
      </c>
      <c r="R11" s="220">
        <v>2000</v>
      </c>
      <c r="S11" s="220">
        <v>2000</v>
      </c>
      <c r="T11" s="220">
        <v>2000</v>
      </c>
      <c r="U11" s="220">
        <v>649</v>
      </c>
      <c r="V11" s="220">
        <v>579</v>
      </c>
      <c r="W11" s="220">
        <v>457</v>
      </c>
      <c r="X11" s="220">
        <v>489</v>
      </c>
      <c r="Y11" s="220">
        <v>559</v>
      </c>
      <c r="Z11" s="220">
        <v>4</v>
      </c>
      <c r="AA11" s="220">
        <v>4</v>
      </c>
      <c r="AB11" s="220">
        <v>4</v>
      </c>
      <c r="AC11" s="220">
        <v>5</v>
      </c>
      <c r="AD11" s="220">
        <v>4</v>
      </c>
      <c r="AE11" s="220">
        <v>-4</v>
      </c>
      <c r="AF11" s="220">
        <v>-4</v>
      </c>
      <c r="AG11" s="220">
        <v>-4</v>
      </c>
      <c r="AH11" s="220">
        <v>-5</v>
      </c>
      <c r="AI11" s="220">
        <v>-4</v>
      </c>
      <c r="AJ11" s="50">
        <v>1.9530000000000001</v>
      </c>
      <c r="AL11" s="257">
        <v>0</v>
      </c>
      <c r="AM11" s="52"/>
      <c r="AN11" s="88"/>
    </row>
    <row r="12" spans="1:40" s="29" customFormat="1" ht="17.25" customHeight="1">
      <c r="A12" s="48">
        <v>41</v>
      </c>
      <c r="B12" s="49">
        <f t="shared" ref="B12:B37" si="0">B11+1</f>
        <v>45555</v>
      </c>
      <c r="C12" s="220">
        <f t="shared" ref="C12:C37" si="1">+C11</f>
        <v>1049</v>
      </c>
      <c r="D12" s="220">
        <f t="shared" ref="D12" si="2">D11-26</f>
        <v>2174</v>
      </c>
      <c r="E12" s="220">
        <f t="shared" ref="E12:E37" si="3">+C12+D12</f>
        <v>3223</v>
      </c>
      <c r="F12" s="220">
        <f t="shared" ref="F12:F36" si="4">E12-K12</f>
        <v>577</v>
      </c>
      <c r="G12" s="220">
        <f t="shared" ref="G12:G36" si="5">E12-L12</f>
        <v>648</v>
      </c>
      <c r="H12" s="220">
        <f t="shared" ref="H12:H36" si="6">E12-M12</f>
        <v>769</v>
      </c>
      <c r="I12" s="220">
        <f t="shared" ref="I12:I36" si="7">E12-N12</f>
        <v>739</v>
      </c>
      <c r="J12" s="220">
        <f t="shared" ref="J12:J36" si="8">E12-O12</f>
        <v>667</v>
      </c>
      <c r="K12" s="220">
        <f t="shared" ref="K12:L36" si="9">P12+U12</f>
        <v>2646</v>
      </c>
      <c r="L12" s="220">
        <f t="shared" si="9"/>
        <v>2575</v>
      </c>
      <c r="M12" s="220">
        <f t="shared" ref="M12:M36" si="10">R12+W12</f>
        <v>2454</v>
      </c>
      <c r="N12" s="220">
        <f t="shared" ref="N12:O36" si="11">S12+X12</f>
        <v>2484</v>
      </c>
      <c r="O12" s="220">
        <f t="shared" si="11"/>
        <v>2556</v>
      </c>
      <c r="P12" s="220">
        <f t="shared" ref="P12:P37" si="12">+P11</f>
        <v>2000</v>
      </c>
      <c r="Q12" s="220">
        <f t="shared" ref="Q12:Q37" si="13">+Q11</f>
        <v>2000</v>
      </c>
      <c r="R12" s="220">
        <f t="shared" ref="R12:R37" si="14">+R11</f>
        <v>2000</v>
      </c>
      <c r="S12" s="220">
        <f t="shared" ref="S12:S37" si="15">+S11</f>
        <v>2000</v>
      </c>
      <c r="T12" s="220">
        <f t="shared" ref="T12:T37" si="16">+T11</f>
        <v>2000</v>
      </c>
      <c r="U12" s="220">
        <f t="shared" ref="U12:U37" si="17">U11-Z12</f>
        <v>646</v>
      </c>
      <c r="V12" s="220">
        <f t="shared" ref="V12:V37" si="18">V11-AA12</f>
        <v>575</v>
      </c>
      <c r="W12" s="220">
        <f t="shared" ref="W12:W37" si="19">W11-AB12</f>
        <v>454</v>
      </c>
      <c r="X12" s="220">
        <f t="shared" ref="X12:X37" si="20">X11-AC12</f>
        <v>484</v>
      </c>
      <c r="Y12" s="220">
        <f t="shared" ref="Y12:Y37" si="21">Y11-AD12</f>
        <v>556</v>
      </c>
      <c r="Z12" s="220">
        <v>3</v>
      </c>
      <c r="AA12" s="220">
        <v>4</v>
      </c>
      <c r="AB12" s="220">
        <v>3</v>
      </c>
      <c r="AC12" s="220">
        <v>5</v>
      </c>
      <c r="AD12" s="220">
        <v>3</v>
      </c>
      <c r="AE12" s="220">
        <f t="shared" ref="AE12:AE37" si="22">AE11-Z12</f>
        <v>-7</v>
      </c>
      <c r="AF12" s="220">
        <f t="shared" ref="AF12:AF37" si="23">AF11-AA12</f>
        <v>-8</v>
      </c>
      <c r="AG12" s="220">
        <f t="shared" ref="AG12:AG37" si="24">AG11-AB12</f>
        <v>-7</v>
      </c>
      <c r="AH12" s="220">
        <f t="shared" ref="AH12:AH37" si="25">AH11-AC12</f>
        <v>-10</v>
      </c>
      <c r="AI12" s="220">
        <f t="shared" ref="AI12:AI37" si="26">AI11-AD12</f>
        <v>-7</v>
      </c>
      <c r="AJ12" s="50">
        <f t="shared" ref="AJ12:AJ30" si="27">AJ11-AB12/1000+AK13</f>
        <v>1.9500000000000002</v>
      </c>
      <c r="AK12" s="257">
        <v>0.3</v>
      </c>
      <c r="AL12" s="257">
        <v>0.3</v>
      </c>
      <c r="AM12" s="52"/>
      <c r="AN12" s="88"/>
    </row>
    <row r="13" spans="1:40" s="29" customFormat="1" ht="17.25" customHeight="1">
      <c r="A13" s="48">
        <v>42</v>
      </c>
      <c r="B13" s="49">
        <f t="shared" si="0"/>
        <v>45556</v>
      </c>
      <c r="C13" s="220">
        <f t="shared" si="1"/>
        <v>1049</v>
      </c>
      <c r="D13" s="220">
        <f t="shared" ref="D13" si="28">D12+15</f>
        <v>2189</v>
      </c>
      <c r="E13" s="220">
        <f t="shared" si="3"/>
        <v>3238</v>
      </c>
      <c r="F13" s="220">
        <f t="shared" si="4"/>
        <v>595</v>
      </c>
      <c r="G13" s="220">
        <f t="shared" si="5"/>
        <v>670</v>
      </c>
      <c r="H13" s="220">
        <f t="shared" si="6"/>
        <v>792</v>
      </c>
      <c r="I13" s="220">
        <f t="shared" si="7"/>
        <v>759</v>
      </c>
      <c r="J13" s="220">
        <f t="shared" si="8"/>
        <v>685</v>
      </c>
      <c r="K13" s="220">
        <f t="shared" si="9"/>
        <v>2643</v>
      </c>
      <c r="L13" s="220">
        <f t="shared" si="9"/>
        <v>2568</v>
      </c>
      <c r="M13" s="220">
        <f t="shared" si="10"/>
        <v>2446</v>
      </c>
      <c r="N13" s="220">
        <f t="shared" si="11"/>
        <v>2479</v>
      </c>
      <c r="O13" s="220">
        <f t="shared" si="11"/>
        <v>2553</v>
      </c>
      <c r="P13" s="220">
        <f t="shared" si="12"/>
        <v>2000</v>
      </c>
      <c r="Q13" s="220">
        <f t="shared" si="13"/>
        <v>2000</v>
      </c>
      <c r="R13" s="220">
        <f t="shared" si="14"/>
        <v>2000</v>
      </c>
      <c r="S13" s="220">
        <f t="shared" si="15"/>
        <v>2000</v>
      </c>
      <c r="T13" s="220">
        <f t="shared" si="16"/>
        <v>2000</v>
      </c>
      <c r="U13" s="220">
        <f t="shared" si="17"/>
        <v>643</v>
      </c>
      <c r="V13" s="220">
        <f t="shared" si="18"/>
        <v>568</v>
      </c>
      <c r="W13" s="220">
        <f t="shared" si="19"/>
        <v>446</v>
      </c>
      <c r="X13" s="220">
        <f t="shared" si="20"/>
        <v>479</v>
      </c>
      <c r="Y13" s="220">
        <f t="shared" si="21"/>
        <v>553</v>
      </c>
      <c r="Z13" s="220">
        <v>3</v>
      </c>
      <c r="AA13" s="220">
        <v>7</v>
      </c>
      <c r="AB13" s="220">
        <v>8</v>
      </c>
      <c r="AC13" s="220">
        <v>5</v>
      </c>
      <c r="AD13" s="220">
        <v>3</v>
      </c>
      <c r="AE13" s="220">
        <f t="shared" si="22"/>
        <v>-10</v>
      </c>
      <c r="AF13" s="220">
        <f t="shared" si="23"/>
        <v>-15</v>
      </c>
      <c r="AG13" s="220">
        <f t="shared" si="24"/>
        <v>-15</v>
      </c>
      <c r="AH13" s="220">
        <f t="shared" si="25"/>
        <v>-15</v>
      </c>
      <c r="AI13" s="220">
        <f t="shared" si="26"/>
        <v>-10</v>
      </c>
      <c r="AJ13" s="50">
        <f t="shared" si="27"/>
        <v>1.9420000000000002</v>
      </c>
      <c r="AK13" s="257"/>
      <c r="AL13" s="257">
        <f t="shared" ref="AL13:AL30" si="29">AL12+AK14</f>
        <v>0.3</v>
      </c>
      <c r="AM13" s="52"/>
      <c r="AN13" s="88"/>
    </row>
    <row r="14" spans="1:40" s="29" customFormat="1" ht="17.25" customHeight="1">
      <c r="A14" s="48">
        <v>43</v>
      </c>
      <c r="B14" s="49">
        <f t="shared" si="0"/>
        <v>45557</v>
      </c>
      <c r="C14" s="220">
        <f t="shared" si="1"/>
        <v>1049</v>
      </c>
      <c r="D14" s="220">
        <f t="shared" ref="D14" si="30">D13+26</f>
        <v>2215</v>
      </c>
      <c r="E14" s="220">
        <f t="shared" si="3"/>
        <v>3264</v>
      </c>
      <c r="F14" s="220">
        <f t="shared" si="4"/>
        <v>623</v>
      </c>
      <c r="G14" s="220">
        <f t="shared" si="5"/>
        <v>702</v>
      </c>
      <c r="H14" s="220">
        <f t="shared" si="6"/>
        <v>825</v>
      </c>
      <c r="I14" s="220">
        <f t="shared" si="7"/>
        <v>789</v>
      </c>
      <c r="J14" s="220">
        <f t="shared" si="8"/>
        <v>713</v>
      </c>
      <c r="K14" s="220">
        <f t="shared" si="9"/>
        <v>2641</v>
      </c>
      <c r="L14" s="220">
        <f t="shared" si="9"/>
        <v>2562</v>
      </c>
      <c r="M14" s="220">
        <f t="shared" si="10"/>
        <v>2439</v>
      </c>
      <c r="N14" s="220">
        <f t="shared" si="11"/>
        <v>2475</v>
      </c>
      <c r="O14" s="220">
        <f t="shared" si="11"/>
        <v>2551</v>
      </c>
      <c r="P14" s="220">
        <f t="shared" si="12"/>
        <v>2000</v>
      </c>
      <c r="Q14" s="220">
        <f t="shared" si="13"/>
        <v>2000</v>
      </c>
      <c r="R14" s="220">
        <f t="shared" si="14"/>
        <v>2000</v>
      </c>
      <c r="S14" s="220">
        <f t="shared" si="15"/>
        <v>2000</v>
      </c>
      <c r="T14" s="220">
        <f t="shared" si="16"/>
        <v>2000</v>
      </c>
      <c r="U14" s="220">
        <f t="shared" si="17"/>
        <v>641</v>
      </c>
      <c r="V14" s="220">
        <f t="shared" si="18"/>
        <v>562</v>
      </c>
      <c r="W14" s="220">
        <f t="shared" si="19"/>
        <v>439</v>
      </c>
      <c r="X14" s="220">
        <f t="shared" si="20"/>
        <v>475</v>
      </c>
      <c r="Y14" s="220">
        <f t="shared" si="21"/>
        <v>551</v>
      </c>
      <c r="Z14" s="220">
        <v>2</v>
      </c>
      <c r="AA14" s="220">
        <v>6</v>
      </c>
      <c r="AB14" s="220">
        <v>7</v>
      </c>
      <c r="AC14" s="220">
        <v>4</v>
      </c>
      <c r="AD14" s="220">
        <v>2</v>
      </c>
      <c r="AE14" s="220">
        <f t="shared" si="22"/>
        <v>-12</v>
      </c>
      <c r="AF14" s="220">
        <f t="shared" si="23"/>
        <v>-21</v>
      </c>
      <c r="AG14" s="220">
        <f t="shared" si="24"/>
        <v>-22</v>
      </c>
      <c r="AH14" s="220">
        <f t="shared" si="25"/>
        <v>-19</v>
      </c>
      <c r="AI14" s="220">
        <f t="shared" si="26"/>
        <v>-12</v>
      </c>
      <c r="AJ14" s="50">
        <f t="shared" si="27"/>
        <v>1.9350000000000003</v>
      </c>
      <c r="AK14" s="257"/>
      <c r="AL14" s="257">
        <f t="shared" si="29"/>
        <v>0.3</v>
      </c>
      <c r="AM14" s="52"/>
      <c r="AN14" s="88"/>
    </row>
    <row r="15" spans="1:40" s="29" customFormat="1" ht="17.25" customHeight="1">
      <c r="A15" s="48">
        <v>44</v>
      </c>
      <c r="B15" s="49">
        <f t="shared" si="0"/>
        <v>45558</v>
      </c>
      <c r="C15" s="220">
        <f t="shared" si="1"/>
        <v>1049</v>
      </c>
      <c r="D15" s="220">
        <f t="shared" ref="D15" si="31">D14+32</f>
        <v>2247</v>
      </c>
      <c r="E15" s="220">
        <f t="shared" si="3"/>
        <v>3296</v>
      </c>
      <c r="F15" s="220">
        <f t="shared" si="4"/>
        <v>659</v>
      </c>
      <c r="G15" s="220">
        <f t="shared" si="5"/>
        <v>743</v>
      </c>
      <c r="H15" s="220">
        <f t="shared" si="6"/>
        <v>866</v>
      </c>
      <c r="I15" s="220">
        <f t="shared" si="7"/>
        <v>830</v>
      </c>
      <c r="J15" s="220">
        <f t="shared" si="8"/>
        <v>749</v>
      </c>
      <c r="K15" s="220">
        <f t="shared" si="9"/>
        <v>2637</v>
      </c>
      <c r="L15" s="220">
        <f t="shared" si="9"/>
        <v>2553</v>
      </c>
      <c r="M15" s="220">
        <f t="shared" si="10"/>
        <v>2430</v>
      </c>
      <c r="N15" s="220">
        <f t="shared" si="11"/>
        <v>2466</v>
      </c>
      <c r="O15" s="220">
        <f t="shared" si="11"/>
        <v>2547</v>
      </c>
      <c r="P15" s="220">
        <f t="shared" si="12"/>
        <v>2000</v>
      </c>
      <c r="Q15" s="220">
        <f t="shared" si="13"/>
        <v>2000</v>
      </c>
      <c r="R15" s="220">
        <f t="shared" si="14"/>
        <v>2000</v>
      </c>
      <c r="S15" s="220">
        <f t="shared" si="15"/>
        <v>2000</v>
      </c>
      <c r="T15" s="220">
        <f t="shared" si="16"/>
        <v>2000</v>
      </c>
      <c r="U15" s="220">
        <f t="shared" si="17"/>
        <v>637</v>
      </c>
      <c r="V15" s="220">
        <f t="shared" si="18"/>
        <v>553</v>
      </c>
      <c r="W15" s="220">
        <f t="shared" si="19"/>
        <v>430</v>
      </c>
      <c r="X15" s="220">
        <f t="shared" si="20"/>
        <v>466</v>
      </c>
      <c r="Y15" s="220">
        <f t="shared" si="21"/>
        <v>547</v>
      </c>
      <c r="Z15" s="220">
        <v>4</v>
      </c>
      <c r="AA15" s="220">
        <v>9</v>
      </c>
      <c r="AB15" s="220">
        <v>9</v>
      </c>
      <c r="AC15" s="220">
        <v>9</v>
      </c>
      <c r="AD15" s="220">
        <v>4</v>
      </c>
      <c r="AE15" s="220">
        <f t="shared" si="22"/>
        <v>-16</v>
      </c>
      <c r="AF15" s="220">
        <f t="shared" si="23"/>
        <v>-30</v>
      </c>
      <c r="AG15" s="220">
        <f t="shared" si="24"/>
        <v>-31</v>
      </c>
      <c r="AH15" s="220">
        <f t="shared" si="25"/>
        <v>-28</v>
      </c>
      <c r="AI15" s="220">
        <f t="shared" si="26"/>
        <v>-16</v>
      </c>
      <c r="AJ15" s="50">
        <f t="shared" si="27"/>
        <v>1.9260000000000004</v>
      </c>
      <c r="AK15" s="257"/>
      <c r="AL15" s="257">
        <f t="shared" si="29"/>
        <v>0.3</v>
      </c>
      <c r="AM15" s="52"/>
      <c r="AN15" s="88"/>
    </row>
    <row r="16" spans="1:40" s="29" customFormat="1" ht="17.25" customHeight="1">
      <c r="A16" s="48">
        <v>45</v>
      </c>
      <c r="B16" s="49">
        <f t="shared" si="0"/>
        <v>45559</v>
      </c>
      <c r="C16" s="220">
        <f t="shared" si="1"/>
        <v>1049</v>
      </c>
      <c r="D16" s="220">
        <f t="shared" ref="D16" si="32">D15-18</f>
        <v>2229</v>
      </c>
      <c r="E16" s="220">
        <f t="shared" si="3"/>
        <v>3278</v>
      </c>
      <c r="F16" s="220">
        <f t="shared" si="4"/>
        <v>644</v>
      </c>
      <c r="G16" s="220">
        <f t="shared" si="5"/>
        <v>734</v>
      </c>
      <c r="H16" s="220">
        <f t="shared" si="6"/>
        <v>856</v>
      </c>
      <c r="I16" s="220">
        <f t="shared" si="7"/>
        <v>821</v>
      </c>
      <c r="J16" s="220">
        <f t="shared" si="8"/>
        <v>734</v>
      </c>
      <c r="K16" s="220">
        <f t="shared" si="9"/>
        <v>2634</v>
      </c>
      <c r="L16" s="220">
        <f t="shared" si="9"/>
        <v>2544</v>
      </c>
      <c r="M16" s="220">
        <f t="shared" si="10"/>
        <v>2422</v>
      </c>
      <c r="N16" s="220">
        <f t="shared" si="11"/>
        <v>2457</v>
      </c>
      <c r="O16" s="220">
        <f t="shared" si="11"/>
        <v>2544</v>
      </c>
      <c r="P16" s="220">
        <f t="shared" si="12"/>
        <v>2000</v>
      </c>
      <c r="Q16" s="220">
        <f t="shared" si="13"/>
        <v>2000</v>
      </c>
      <c r="R16" s="220">
        <f t="shared" si="14"/>
        <v>2000</v>
      </c>
      <c r="S16" s="220">
        <f t="shared" si="15"/>
        <v>2000</v>
      </c>
      <c r="T16" s="220">
        <f t="shared" si="16"/>
        <v>2000</v>
      </c>
      <c r="U16" s="220">
        <f t="shared" si="17"/>
        <v>634</v>
      </c>
      <c r="V16" s="220">
        <f t="shared" si="18"/>
        <v>544</v>
      </c>
      <c r="W16" s="220">
        <f t="shared" si="19"/>
        <v>422</v>
      </c>
      <c r="X16" s="220">
        <f t="shared" si="20"/>
        <v>457</v>
      </c>
      <c r="Y16" s="220">
        <f t="shared" si="21"/>
        <v>544</v>
      </c>
      <c r="Z16" s="220">
        <v>3</v>
      </c>
      <c r="AA16" s="220">
        <v>9</v>
      </c>
      <c r="AB16" s="220">
        <v>8</v>
      </c>
      <c r="AC16" s="220">
        <v>9</v>
      </c>
      <c r="AD16" s="220">
        <v>3</v>
      </c>
      <c r="AE16" s="220">
        <f t="shared" si="22"/>
        <v>-19</v>
      </c>
      <c r="AF16" s="220">
        <f t="shared" si="23"/>
        <v>-39</v>
      </c>
      <c r="AG16" s="220">
        <f t="shared" si="24"/>
        <v>-39</v>
      </c>
      <c r="AH16" s="220">
        <f t="shared" si="25"/>
        <v>-37</v>
      </c>
      <c r="AI16" s="220">
        <f t="shared" si="26"/>
        <v>-19</v>
      </c>
      <c r="AJ16" s="50">
        <f t="shared" si="27"/>
        <v>2.2180000000000004</v>
      </c>
      <c r="AK16" s="257"/>
      <c r="AL16" s="257">
        <f t="shared" si="29"/>
        <v>0.6</v>
      </c>
      <c r="AM16" s="52"/>
      <c r="AN16" s="88"/>
    </row>
    <row r="17" spans="1:40" s="29" customFormat="1" ht="17.25" customHeight="1">
      <c r="A17" s="48">
        <v>46</v>
      </c>
      <c r="B17" s="49">
        <f t="shared" si="0"/>
        <v>45560</v>
      </c>
      <c r="C17" s="220">
        <f t="shared" si="1"/>
        <v>1049</v>
      </c>
      <c r="D17" s="220">
        <v>1986</v>
      </c>
      <c r="E17" s="220">
        <f t="shared" si="3"/>
        <v>3035</v>
      </c>
      <c r="F17" s="220">
        <f t="shared" si="4"/>
        <v>403</v>
      </c>
      <c r="G17" s="220">
        <f t="shared" si="5"/>
        <v>499</v>
      </c>
      <c r="H17" s="220">
        <f t="shared" si="6"/>
        <v>621</v>
      </c>
      <c r="I17" s="220">
        <f t="shared" si="7"/>
        <v>586</v>
      </c>
      <c r="J17" s="220">
        <f t="shared" si="8"/>
        <v>493</v>
      </c>
      <c r="K17" s="220">
        <f t="shared" si="9"/>
        <v>2632</v>
      </c>
      <c r="L17" s="220">
        <f t="shared" si="9"/>
        <v>2536</v>
      </c>
      <c r="M17" s="220">
        <f t="shared" si="10"/>
        <v>2414</v>
      </c>
      <c r="N17" s="220">
        <f t="shared" si="11"/>
        <v>2449</v>
      </c>
      <c r="O17" s="220">
        <f t="shared" si="11"/>
        <v>2542</v>
      </c>
      <c r="P17" s="220">
        <f t="shared" si="12"/>
        <v>2000</v>
      </c>
      <c r="Q17" s="220">
        <f t="shared" si="13"/>
        <v>2000</v>
      </c>
      <c r="R17" s="220">
        <f t="shared" si="14"/>
        <v>2000</v>
      </c>
      <c r="S17" s="220">
        <f t="shared" si="15"/>
        <v>2000</v>
      </c>
      <c r="T17" s="220">
        <f t="shared" si="16"/>
        <v>2000</v>
      </c>
      <c r="U17" s="220">
        <f t="shared" si="17"/>
        <v>632</v>
      </c>
      <c r="V17" s="220">
        <f t="shared" si="18"/>
        <v>536</v>
      </c>
      <c r="W17" s="220">
        <f t="shared" si="19"/>
        <v>414</v>
      </c>
      <c r="X17" s="220">
        <f t="shared" si="20"/>
        <v>449</v>
      </c>
      <c r="Y17" s="220">
        <f t="shared" si="21"/>
        <v>542</v>
      </c>
      <c r="Z17" s="220">
        <v>2</v>
      </c>
      <c r="AA17" s="220">
        <v>8</v>
      </c>
      <c r="AB17" s="220">
        <v>8</v>
      </c>
      <c r="AC17" s="220">
        <v>8</v>
      </c>
      <c r="AD17" s="220">
        <v>2</v>
      </c>
      <c r="AE17" s="220">
        <f t="shared" si="22"/>
        <v>-21</v>
      </c>
      <c r="AF17" s="220">
        <f t="shared" si="23"/>
        <v>-47</v>
      </c>
      <c r="AG17" s="220">
        <f t="shared" si="24"/>
        <v>-47</v>
      </c>
      <c r="AH17" s="220">
        <f t="shared" si="25"/>
        <v>-45</v>
      </c>
      <c r="AI17" s="220">
        <f t="shared" si="26"/>
        <v>-21</v>
      </c>
      <c r="AJ17" s="50">
        <f t="shared" si="27"/>
        <v>2.2100000000000004</v>
      </c>
      <c r="AK17" s="257">
        <v>0.3</v>
      </c>
      <c r="AL17" s="257">
        <f t="shared" si="29"/>
        <v>0.6</v>
      </c>
      <c r="AM17" s="52"/>
      <c r="AN17" s="88"/>
    </row>
    <row r="18" spans="1:40" s="29" customFormat="1" ht="17.25" customHeight="1">
      <c r="A18" s="48">
        <v>47</v>
      </c>
      <c r="B18" s="49">
        <f t="shared" si="0"/>
        <v>45561</v>
      </c>
      <c r="C18" s="220">
        <f t="shared" si="1"/>
        <v>1049</v>
      </c>
      <c r="D18" s="220">
        <f t="shared" ref="D18" si="33">D17+15</f>
        <v>2001</v>
      </c>
      <c r="E18" s="220">
        <f t="shared" si="3"/>
        <v>3050</v>
      </c>
      <c r="F18" s="220">
        <f t="shared" si="4"/>
        <v>422</v>
      </c>
      <c r="G18" s="220">
        <f t="shared" si="5"/>
        <v>521</v>
      </c>
      <c r="H18" s="220">
        <f t="shared" si="6"/>
        <v>644</v>
      </c>
      <c r="I18" s="220">
        <f t="shared" si="7"/>
        <v>608</v>
      </c>
      <c r="J18" s="220">
        <f t="shared" si="8"/>
        <v>512</v>
      </c>
      <c r="K18" s="220">
        <f t="shared" si="9"/>
        <v>2628</v>
      </c>
      <c r="L18" s="220">
        <f t="shared" si="9"/>
        <v>2529</v>
      </c>
      <c r="M18" s="220">
        <f t="shared" si="10"/>
        <v>2406</v>
      </c>
      <c r="N18" s="220">
        <f t="shared" si="11"/>
        <v>2442</v>
      </c>
      <c r="O18" s="220">
        <f t="shared" si="11"/>
        <v>2538</v>
      </c>
      <c r="P18" s="220">
        <f t="shared" si="12"/>
        <v>2000</v>
      </c>
      <c r="Q18" s="220">
        <f t="shared" si="13"/>
        <v>2000</v>
      </c>
      <c r="R18" s="220">
        <f t="shared" si="14"/>
        <v>2000</v>
      </c>
      <c r="S18" s="220">
        <f t="shared" si="15"/>
        <v>2000</v>
      </c>
      <c r="T18" s="220">
        <f t="shared" si="16"/>
        <v>2000</v>
      </c>
      <c r="U18" s="220">
        <f t="shared" si="17"/>
        <v>628</v>
      </c>
      <c r="V18" s="220">
        <f t="shared" si="18"/>
        <v>529</v>
      </c>
      <c r="W18" s="220">
        <f t="shared" si="19"/>
        <v>406</v>
      </c>
      <c r="X18" s="220">
        <f t="shared" si="20"/>
        <v>442</v>
      </c>
      <c r="Y18" s="220">
        <f t="shared" si="21"/>
        <v>538</v>
      </c>
      <c r="Z18" s="220">
        <v>4</v>
      </c>
      <c r="AA18" s="220">
        <v>7</v>
      </c>
      <c r="AB18" s="220">
        <v>8</v>
      </c>
      <c r="AC18" s="220">
        <v>7</v>
      </c>
      <c r="AD18" s="220">
        <v>4</v>
      </c>
      <c r="AE18" s="220">
        <f t="shared" si="22"/>
        <v>-25</v>
      </c>
      <c r="AF18" s="220">
        <f t="shared" si="23"/>
        <v>-54</v>
      </c>
      <c r="AG18" s="220">
        <f t="shared" si="24"/>
        <v>-55</v>
      </c>
      <c r="AH18" s="220">
        <f t="shared" si="25"/>
        <v>-52</v>
      </c>
      <c r="AI18" s="220">
        <f t="shared" si="26"/>
        <v>-25</v>
      </c>
      <c r="AJ18" s="50">
        <f t="shared" si="27"/>
        <v>2.2020000000000004</v>
      </c>
      <c r="AK18" s="257"/>
      <c r="AL18" s="257">
        <f t="shared" si="29"/>
        <v>0.6</v>
      </c>
      <c r="AM18" s="52"/>
      <c r="AN18" s="88"/>
    </row>
    <row r="19" spans="1:40" s="29" customFormat="1" ht="17.25" customHeight="1">
      <c r="A19" s="48">
        <v>48</v>
      </c>
      <c r="B19" s="49">
        <f t="shared" si="0"/>
        <v>45562</v>
      </c>
      <c r="C19" s="220">
        <f t="shared" si="1"/>
        <v>1049</v>
      </c>
      <c r="D19" s="220">
        <f t="shared" ref="D19" si="34">D18+26</f>
        <v>2027</v>
      </c>
      <c r="E19" s="220">
        <f t="shared" si="3"/>
        <v>3076</v>
      </c>
      <c r="F19" s="220">
        <f t="shared" si="4"/>
        <v>451</v>
      </c>
      <c r="G19" s="220">
        <f t="shared" si="5"/>
        <v>556</v>
      </c>
      <c r="H19" s="220">
        <f t="shared" si="6"/>
        <v>677</v>
      </c>
      <c r="I19" s="220">
        <f t="shared" si="7"/>
        <v>643</v>
      </c>
      <c r="J19" s="220">
        <f t="shared" si="8"/>
        <v>541</v>
      </c>
      <c r="K19" s="220">
        <f t="shared" si="9"/>
        <v>2625</v>
      </c>
      <c r="L19" s="220">
        <f t="shared" si="9"/>
        <v>2520</v>
      </c>
      <c r="M19" s="220">
        <f t="shared" si="10"/>
        <v>2399</v>
      </c>
      <c r="N19" s="220">
        <f t="shared" si="11"/>
        <v>2433</v>
      </c>
      <c r="O19" s="220">
        <f t="shared" si="11"/>
        <v>2535</v>
      </c>
      <c r="P19" s="220">
        <f t="shared" si="12"/>
        <v>2000</v>
      </c>
      <c r="Q19" s="220">
        <f t="shared" si="13"/>
        <v>2000</v>
      </c>
      <c r="R19" s="220">
        <f t="shared" si="14"/>
        <v>2000</v>
      </c>
      <c r="S19" s="220">
        <f t="shared" si="15"/>
        <v>2000</v>
      </c>
      <c r="T19" s="220">
        <f t="shared" si="16"/>
        <v>2000</v>
      </c>
      <c r="U19" s="220">
        <f t="shared" si="17"/>
        <v>625</v>
      </c>
      <c r="V19" s="220">
        <f t="shared" si="18"/>
        <v>520</v>
      </c>
      <c r="W19" s="220">
        <f t="shared" si="19"/>
        <v>399</v>
      </c>
      <c r="X19" s="220">
        <f t="shared" si="20"/>
        <v>433</v>
      </c>
      <c r="Y19" s="220">
        <f t="shared" si="21"/>
        <v>535</v>
      </c>
      <c r="Z19" s="220">
        <v>3</v>
      </c>
      <c r="AA19" s="220">
        <v>9</v>
      </c>
      <c r="AB19" s="220">
        <v>7</v>
      </c>
      <c r="AC19" s="220">
        <v>9</v>
      </c>
      <c r="AD19" s="220">
        <v>3</v>
      </c>
      <c r="AE19" s="220">
        <f t="shared" si="22"/>
        <v>-28</v>
      </c>
      <c r="AF19" s="220">
        <f t="shared" si="23"/>
        <v>-63</v>
      </c>
      <c r="AG19" s="220">
        <f t="shared" si="24"/>
        <v>-62</v>
      </c>
      <c r="AH19" s="220">
        <f t="shared" si="25"/>
        <v>-61</v>
      </c>
      <c r="AI19" s="220">
        <f t="shared" si="26"/>
        <v>-28</v>
      </c>
      <c r="AJ19" s="50">
        <f t="shared" si="27"/>
        <v>2.1950000000000003</v>
      </c>
      <c r="AK19" s="257"/>
      <c r="AL19" s="257">
        <f t="shared" si="29"/>
        <v>0.6</v>
      </c>
      <c r="AM19" s="52"/>
      <c r="AN19" s="88"/>
    </row>
    <row r="20" spans="1:40" s="29" customFormat="1" ht="17.25" customHeight="1">
      <c r="A20" s="48">
        <v>49</v>
      </c>
      <c r="B20" s="49">
        <f t="shared" si="0"/>
        <v>45563</v>
      </c>
      <c r="C20" s="220">
        <f t="shared" si="1"/>
        <v>1049</v>
      </c>
      <c r="D20" s="220">
        <f t="shared" ref="D20" si="35">D19+32</f>
        <v>2059</v>
      </c>
      <c r="E20" s="220">
        <f t="shared" si="3"/>
        <v>3108</v>
      </c>
      <c r="F20" s="220">
        <f t="shared" si="4"/>
        <v>488</v>
      </c>
      <c r="G20" s="220">
        <f t="shared" si="5"/>
        <v>597</v>
      </c>
      <c r="H20" s="220">
        <f t="shared" si="6"/>
        <v>716</v>
      </c>
      <c r="I20" s="220">
        <f t="shared" si="7"/>
        <v>684</v>
      </c>
      <c r="J20" s="220">
        <f t="shared" si="8"/>
        <v>578</v>
      </c>
      <c r="K20" s="220">
        <f t="shared" si="9"/>
        <v>2620</v>
      </c>
      <c r="L20" s="220">
        <f t="shared" si="9"/>
        <v>2511</v>
      </c>
      <c r="M20" s="220">
        <f t="shared" si="10"/>
        <v>2392</v>
      </c>
      <c r="N20" s="220">
        <f t="shared" si="11"/>
        <v>2424</v>
      </c>
      <c r="O20" s="220">
        <f t="shared" si="11"/>
        <v>2530</v>
      </c>
      <c r="P20" s="220">
        <f t="shared" si="12"/>
        <v>2000</v>
      </c>
      <c r="Q20" s="220">
        <f t="shared" si="13"/>
        <v>2000</v>
      </c>
      <c r="R20" s="220">
        <f t="shared" si="14"/>
        <v>2000</v>
      </c>
      <c r="S20" s="220">
        <f t="shared" si="15"/>
        <v>2000</v>
      </c>
      <c r="T20" s="220">
        <f t="shared" si="16"/>
        <v>2000</v>
      </c>
      <c r="U20" s="220">
        <f t="shared" si="17"/>
        <v>620</v>
      </c>
      <c r="V20" s="220">
        <f t="shared" si="18"/>
        <v>511</v>
      </c>
      <c r="W20" s="220">
        <f t="shared" si="19"/>
        <v>392</v>
      </c>
      <c r="X20" s="220">
        <f t="shared" si="20"/>
        <v>424</v>
      </c>
      <c r="Y20" s="220">
        <f t="shared" si="21"/>
        <v>530</v>
      </c>
      <c r="Z20" s="220">
        <v>5</v>
      </c>
      <c r="AA20" s="220">
        <v>9</v>
      </c>
      <c r="AB20" s="220">
        <v>7</v>
      </c>
      <c r="AC20" s="220">
        <v>9</v>
      </c>
      <c r="AD20" s="220">
        <v>5</v>
      </c>
      <c r="AE20" s="220">
        <f t="shared" si="22"/>
        <v>-33</v>
      </c>
      <c r="AF20" s="220">
        <f t="shared" si="23"/>
        <v>-72</v>
      </c>
      <c r="AG20" s="220">
        <f t="shared" si="24"/>
        <v>-69</v>
      </c>
      <c r="AH20" s="220">
        <f t="shared" si="25"/>
        <v>-70</v>
      </c>
      <c r="AI20" s="220">
        <f t="shared" si="26"/>
        <v>-33</v>
      </c>
      <c r="AJ20" s="50">
        <f t="shared" si="27"/>
        <v>2.1880000000000002</v>
      </c>
      <c r="AK20" s="257"/>
      <c r="AL20" s="257">
        <f t="shared" si="29"/>
        <v>0.6</v>
      </c>
      <c r="AM20" s="52"/>
      <c r="AN20" s="88"/>
    </row>
    <row r="21" spans="1:40" s="29" customFormat="1" ht="17.25" customHeight="1">
      <c r="A21" s="48">
        <v>50</v>
      </c>
      <c r="B21" s="49">
        <f t="shared" si="0"/>
        <v>45564</v>
      </c>
      <c r="C21" s="220">
        <f t="shared" si="1"/>
        <v>1049</v>
      </c>
      <c r="D21" s="220">
        <f t="shared" ref="D21" si="36">D20-18</f>
        <v>2041</v>
      </c>
      <c r="E21" s="220">
        <f t="shared" si="3"/>
        <v>3090</v>
      </c>
      <c r="F21" s="220">
        <f t="shared" si="4"/>
        <v>474</v>
      </c>
      <c r="G21" s="220">
        <f t="shared" si="5"/>
        <v>587</v>
      </c>
      <c r="H21" s="220">
        <f t="shared" si="6"/>
        <v>704</v>
      </c>
      <c r="I21" s="220">
        <f t="shared" si="7"/>
        <v>674</v>
      </c>
      <c r="J21" s="220">
        <f t="shared" si="8"/>
        <v>567</v>
      </c>
      <c r="K21" s="220">
        <f t="shared" si="9"/>
        <v>2616</v>
      </c>
      <c r="L21" s="220">
        <f t="shared" si="9"/>
        <v>2503</v>
      </c>
      <c r="M21" s="220">
        <f t="shared" si="10"/>
        <v>2386</v>
      </c>
      <c r="N21" s="220">
        <f t="shared" si="11"/>
        <v>2416</v>
      </c>
      <c r="O21" s="220">
        <f t="shared" si="11"/>
        <v>2523</v>
      </c>
      <c r="P21" s="220">
        <f t="shared" si="12"/>
        <v>2000</v>
      </c>
      <c r="Q21" s="220">
        <f t="shared" si="13"/>
        <v>2000</v>
      </c>
      <c r="R21" s="220">
        <f t="shared" si="14"/>
        <v>2000</v>
      </c>
      <c r="S21" s="220">
        <f t="shared" si="15"/>
        <v>2000</v>
      </c>
      <c r="T21" s="220">
        <f t="shared" si="16"/>
        <v>2000</v>
      </c>
      <c r="U21" s="220">
        <f t="shared" si="17"/>
        <v>616</v>
      </c>
      <c r="V21" s="220">
        <f t="shared" si="18"/>
        <v>503</v>
      </c>
      <c r="W21" s="220">
        <f t="shared" si="19"/>
        <v>386</v>
      </c>
      <c r="X21" s="220">
        <f t="shared" si="20"/>
        <v>416</v>
      </c>
      <c r="Y21" s="220">
        <f t="shared" si="21"/>
        <v>523</v>
      </c>
      <c r="Z21" s="220">
        <v>4</v>
      </c>
      <c r="AA21" s="220">
        <v>8</v>
      </c>
      <c r="AB21" s="220">
        <v>6</v>
      </c>
      <c r="AC21" s="220">
        <v>8</v>
      </c>
      <c r="AD21" s="220">
        <v>7</v>
      </c>
      <c r="AE21" s="220">
        <f t="shared" si="22"/>
        <v>-37</v>
      </c>
      <c r="AF21" s="220">
        <f t="shared" si="23"/>
        <v>-80</v>
      </c>
      <c r="AG21" s="220">
        <f t="shared" si="24"/>
        <v>-75</v>
      </c>
      <c r="AH21" s="220">
        <f t="shared" si="25"/>
        <v>-78</v>
      </c>
      <c r="AI21" s="220">
        <f t="shared" si="26"/>
        <v>-40</v>
      </c>
      <c r="AJ21" s="50">
        <f t="shared" si="27"/>
        <v>2.4820000000000002</v>
      </c>
      <c r="AK21" s="257"/>
      <c r="AL21" s="257">
        <f t="shared" si="29"/>
        <v>0.89999999999999991</v>
      </c>
      <c r="AM21" s="52"/>
      <c r="AN21" s="88"/>
    </row>
    <row r="22" spans="1:40" s="29" customFormat="1" ht="17.25" customHeight="1">
      <c r="A22" s="48">
        <v>51</v>
      </c>
      <c r="B22" s="49">
        <f t="shared" si="0"/>
        <v>45565</v>
      </c>
      <c r="C22" s="220">
        <f t="shared" si="1"/>
        <v>1049</v>
      </c>
      <c r="D22" s="220">
        <f t="shared" ref="D22" si="37">D21-26</f>
        <v>2015</v>
      </c>
      <c r="E22" s="220">
        <f t="shared" si="3"/>
        <v>3064</v>
      </c>
      <c r="F22" s="220">
        <f t="shared" si="4"/>
        <v>451</v>
      </c>
      <c r="G22" s="220">
        <f t="shared" si="5"/>
        <v>568</v>
      </c>
      <c r="H22" s="220">
        <f t="shared" si="6"/>
        <v>684</v>
      </c>
      <c r="I22" s="220">
        <f t="shared" si="7"/>
        <v>655</v>
      </c>
      <c r="J22" s="220">
        <f t="shared" si="8"/>
        <v>548</v>
      </c>
      <c r="K22" s="220">
        <f t="shared" si="9"/>
        <v>2613</v>
      </c>
      <c r="L22" s="220">
        <f t="shared" si="9"/>
        <v>2496</v>
      </c>
      <c r="M22" s="220">
        <f t="shared" si="10"/>
        <v>2380</v>
      </c>
      <c r="N22" s="220">
        <f t="shared" si="11"/>
        <v>2409</v>
      </c>
      <c r="O22" s="220">
        <f t="shared" si="11"/>
        <v>2516</v>
      </c>
      <c r="P22" s="220">
        <f t="shared" si="12"/>
        <v>2000</v>
      </c>
      <c r="Q22" s="220">
        <f t="shared" si="13"/>
        <v>2000</v>
      </c>
      <c r="R22" s="220">
        <f t="shared" si="14"/>
        <v>2000</v>
      </c>
      <c r="S22" s="220">
        <f t="shared" si="15"/>
        <v>2000</v>
      </c>
      <c r="T22" s="220">
        <f t="shared" si="16"/>
        <v>2000</v>
      </c>
      <c r="U22" s="220">
        <f t="shared" si="17"/>
        <v>613</v>
      </c>
      <c r="V22" s="220">
        <f t="shared" si="18"/>
        <v>496</v>
      </c>
      <c r="W22" s="220">
        <f t="shared" si="19"/>
        <v>380</v>
      </c>
      <c r="X22" s="220">
        <f t="shared" si="20"/>
        <v>409</v>
      </c>
      <c r="Y22" s="220">
        <f t="shared" si="21"/>
        <v>516</v>
      </c>
      <c r="Z22" s="220">
        <v>3</v>
      </c>
      <c r="AA22" s="220">
        <v>7</v>
      </c>
      <c r="AB22" s="220">
        <v>6</v>
      </c>
      <c r="AC22" s="220">
        <v>7</v>
      </c>
      <c r="AD22" s="220">
        <v>7</v>
      </c>
      <c r="AE22" s="220">
        <f t="shared" si="22"/>
        <v>-40</v>
      </c>
      <c r="AF22" s="220">
        <f t="shared" si="23"/>
        <v>-87</v>
      </c>
      <c r="AG22" s="220">
        <f t="shared" si="24"/>
        <v>-81</v>
      </c>
      <c r="AH22" s="220">
        <f t="shared" si="25"/>
        <v>-85</v>
      </c>
      <c r="AI22" s="220">
        <f t="shared" si="26"/>
        <v>-47</v>
      </c>
      <c r="AJ22" s="50">
        <f t="shared" si="27"/>
        <v>2.4760000000000004</v>
      </c>
      <c r="AK22" s="257">
        <v>0.3</v>
      </c>
      <c r="AL22" s="257">
        <f t="shared" si="29"/>
        <v>0.89999999999999991</v>
      </c>
      <c r="AM22" s="52"/>
      <c r="AN22" s="88"/>
    </row>
    <row r="23" spans="1:40" s="29" customFormat="1" ht="17.25" customHeight="1">
      <c r="A23" s="48">
        <v>52</v>
      </c>
      <c r="B23" s="49">
        <f t="shared" si="0"/>
        <v>45566</v>
      </c>
      <c r="C23" s="220">
        <f t="shared" si="1"/>
        <v>1049</v>
      </c>
      <c r="D23" s="220">
        <f t="shared" ref="D23" si="38">D22+15</f>
        <v>2030</v>
      </c>
      <c r="E23" s="220">
        <f t="shared" si="3"/>
        <v>3079</v>
      </c>
      <c r="F23" s="220">
        <f t="shared" si="4"/>
        <v>470</v>
      </c>
      <c r="G23" s="220">
        <f t="shared" si="5"/>
        <v>588</v>
      </c>
      <c r="H23" s="220">
        <f t="shared" si="6"/>
        <v>704</v>
      </c>
      <c r="I23" s="220">
        <f t="shared" si="7"/>
        <v>675</v>
      </c>
      <c r="J23" s="220">
        <f t="shared" si="8"/>
        <v>570</v>
      </c>
      <c r="K23" s="220">
        <f t="shared" si="9"/>
        <v>2609</v>
      </c>
      <c r="L23" s="220">
        <f t="shared" si="9"/>
        <v>2491</v>
      </c>
      <c r="M23" s="220">
        <f t="shared" si="10"/>
        <v>2375</v>
      </c>
      <c r="N23" s="220">
        <f t="shared" si="11"/>
        <v>2404</v>
      </c>
      <c r="O23" s="220">
        <f t="shared" si="11"/>
        <v>2509</v>
      </c>
      <c r="P23" s="220">
        <f t="shared" si="12"/>
        <v>2000</v>
      </c>
      <c r="Q23" s="220">
        <f t="shared" si="13"/>
        <v>2000</v>
      </c>
      <c r="R23" s="220">
        <f t="shared" si="14"/>
        <v>2000</v>
      </c>
      <c r="S23" s="220">
        <f t="shared" si="15"/>
        <v>2000</v>
      </c>
      <c r="T23" s="220">
        <f t="shared" si="16"/>
        <v>2000</v>
      </c>
      <c r="U23" s="220">
        <f t="shared" si="17"/>
        <v>609</v>
      </c>
      <c r="V23" s="220">
        <f t="shared" si="18"/>
        <v>491</v>
      </c>
      <c r="W23" s="220">
        <f t="shared" si="19"/>
        <v>375</v>
      </c>
      <c r="X23" s="220">
        <f t="shared" si="20"/>
        <v>404</v>
      </c>
      <c r="Y23" s="220">
        <f t="shared" si="21"/>
        <v>509</v>
      </c>
      <c r="Z23" s="220">
        <v>4</v>
      </c>
      <c r="AA23" s="220">
        <v>5</v>
      </c>
      <c r="AB23" s="220">
        <v>5</v>
      </c>
      <c r="AC23" s="220">
        <v>5</v>
      </c>
      <c r="AD23" s="220">
        <v>7</v>
      </c>
      <c r="AE23" s="220">
        <f t="shared" si="22"/>
        <v>-44</v>
      </c>
      <c r="AF23" s="220">
        <f t="shared" si="23"/>
        <v>-92</v>
      </c>
      <c r="AG23" s="220">
        <f t="shared" si="24"/>
        <v>-86</v>
      </c>
      <c r="AH23" s="220">
        <f t="shared" si="25"/>
        <v>-90</v>
      </c>
      <c r="AI23" s="220">
        <f t="shared" si="26"/>
        <v>-54</v>
      </c>
      <c r="AJ23" s="50">
        <f t="shared" si="27"/>
        <v>2.4710000000000005</v>
      </c>
      <c r="AK23" s="257"/>
      <c r="AL23" s="257">
        <f t="shared" si="29"/>
        <v>0.89999999999999991</v>
      </c>
      <c r="AM23" s="52"/>
      <c r="AN23" s="88"/>
    </row>
    <row r="24" spans="1:40" s="29" customFormat="1" ht="17.25" customHeight="1">
      <c r="A24" s="48">
        <v>53</v>
      </c>
      <c r="B24" s="49">
        <f t="shared" si="0"/>
        <v>45567</v>
      </c>
      <c r="C24" s="220">
        <f t="shared" si="1"/>
        <v>1049</v>
      </c>
      <c r="D24" s="220">
        <f t="shared" ref="D24" si="39">D23+26</f>
        <v>2056</v>
      </c>
      <c r="E24" s="220">
        <f t="shared" si="3"/>
        <v>3105</v>
      </c>
      <c r="F24" s="220">
        <f t="shared" si="4"/>
        <v>499</v>
      </c>
      <c r="G24" s="220">
        <f t="shared" si="5"/>
        <v>623</v>
      </c>
      <c r="H24" s="220">
        <f t="shared" si="6"/>
        <v>735</v>
      </c>
      <c r="I24" s="220">
        <f t="shared" si="7"/>
        <v>710</v>
      </c>
      <c r="J24" s="220">
        <f t="shared" si="8"/>
        <v>602</v>
      </c>
      <c r="K24" s="220">
        <f t="shared" si="9"/>
        <v>2606</v>
      </c>
      <c r="L24" s="220">
        <f t="shared" si="9"/>
        <v>2482</v>
      </c>
      <c r="M24" s="220">
        <f t="shared" si="10"/>
        <v>2370</v>
      </c>
      <c r="N24" s="220">
        <f t="shared" si="11"/>
        <v>2395</v>
      </c>
      <c r="O24" s="220">
        <f t="shared" si="11"/>
        <v>2503</v>
      </c>
      <c r="P24" s="220">
        <f t="shared" si="12"/>
        <v>2000</v>
      </c>
      <c r="Q24" s="220">
        <f t="shared" si="13"/>
        <v>2000</v>
      </c>
      <c r="R24" s="220">
        <f t="shared" si="14"/>
        <v>2000</v>
      </c>
      <c r="S24" s="220">
        <f t="shared" si="15"/>
        <v>2000</v>
      </c>
      <c r="T24" s="220">
        <f t="shared" si="16"/>
        <v>2000</v>
      </c>
      <c r="U24" s="220">
        <f t="shared" si="17"/>
        <v>606</v>
      </c>
      <c r="V24" s="220">
        <f t="shared" si="18"/>
        <v>482</v>
      </c>
      <c r="W24" s="220">
        <f t="shared" si="19"/>
        <v>370</v>
      </c>
      <c r="X24" s="220">
        <f t="shared" si="20"/>
        <v>395</v>
      </c>
      <c r="Y24" s="220">
        <f t="shared" si="21"/>
        <v>503</v>
      </c>
      <c r="Z24" s="220">
        <v>3</v>
      </c>
      <c r="AA24" s="220">
        <v>9</v>
      </c>
      <c r="AB24" s="220">
        <v>5</v>
      </c>
      <c r="AC24" s="220">
        <v>9</v>
      </c>
      <c r="AD24" s="220">
        <v>6</v>
      </c>
      <c r="AE24" s="220">
        <f t="shared" si="22"/>
        <v>-47</v>
      </c>
      <c r="AF24" s="220">
        <f t="shared" si="23"/>
        <v>-101</v>
      </c>
      <c r="AG24" s="220">
        <f t="shared" si="24"/>
        <v>-91</v>
      </c>
      <c r="AH24" s="220">
        <f t="shared" si="25"/>
        <v>-99</v>
      </c>
      <c r="AI24" s="220">
        <f t="shared" si="26"/>
        <v>-60</v>
      </c>
      <c r="AJ24" s="50">
        <f t="shared" si="27"/>
        <v>2.4660000000000006</v>
      </c>
      <c r="AK24" s="257"/>
      <c r="AL24" s="257">
        <f t="shared" si="29"/>
        <v>0.89999999999999991</v>
      </c>
      <c r="AM24" s="52"/>
      <c r="AN24" s="88"/>
    </row>
    <row r="25" spans="1:40" s="29" customFormat="1" ht="17.25" customHeight="1">
      <c r="A25" s="48">
        <v>54</v>
      </c>
      <c r="B25" s="49">
        <f t="shared" si="0"/>
        <v>45568</v>
      </c>
      <c r="C25" s="220">
        <f t="shared" si="1"/>
        <v>1049</v>
      </c>
      <c r="D25" s="220">
        <f t="shared" ref="D25" si="40">D24+32</f>
        <v>2088</v>
      </c>
      <c r="E25" s="220">
        <f t="shared" si="3"/>
        <v>3137</v>
      </c>
      <c r="F25" s="220">
        <f t="shared" si="4"/>
        <v>538</v>
      </c>
      <c r="G25" s="220">
        <f t="shared" si="5"/>
        <v>664</v>
      </c>
      <c r="H25" s="220">
        <f t="shared" si="6"/>
        <v>776</v>
      </c>
      <c r="I25" s="220">
        <f t="shared" si="7"/>
        <v>751</v>
      </c>
      <c r="J25" s="220">
        <f t="shared" si="8"/>
        <v>639</v>
      </c>
      <c r="K25" s="220">
        <f t="shared" si="9"/>
        <v>2599</v>
      </c>
      <c r="L25" s="220">
        <f t="shared" si="9"/>
        <v>2473</v>
      </c>
      <c r="M25" s="220">
        <f t="shared" si="10"/>
        <v>2361</v>
      </c>
      <c r="N25" s="220">
        <f t="shared" si="11"/>
        <v>2386</v>
      </c>
      <c r="O25" s="220">
        <f t="shared" si="11"/>
        <v>2498</v>
      </c>
      <c r="P25" s="220">
        <f t="shared" si="12"/>
        <v>2000</v>
      </c>
      <c r="Q25" s="220">
        <f t="shared" si="13"/>
        <v>2000</v>
      </c>
      <c r="R25" s="220">
        <f t="shared" si="14"/>
        <v>2000</v>
      </c>
      <c r="S25" s="220">
        <f t="shared" si="15"/>
        <v>2000</v>
      </c>
      <c r="T25" s="220">
        <f t="shared" si="16"/>
        <v>2000</v>
      </c>
      <c r="U25" s="220">
        <f t="shared" si="17"/>
        <v>599</v>
      </c>
      <c r="V25" s="220">
        <f t="shared" si="18"/>
        <v>473</v>
      </c>
      <c r="W25" s="220">
        <f t="shared" si="19"/>
        <v>361</v>
      </c>
      <c r="X25" s="220">
        <f t="shared" si="20"/>
        <v>386</v>
      </c>
      <c r="Y25" s="220">
        <f t="shared" si="21"/>
        <v>498</v>
      </c>
      <c r="Z25" s="220">
        <v>7</v>
      </c>
      <c r="AA25" s="220">
        <v>9</v>
      </c>
      <c r="AB25" s="220">
        <v>9</v>
      </c>
      <c r="AC25" s="220">
        <v>9</v>
      </c>
      <c r="AD25" s="220">
        <v>5</v>
      </c>
      <c r="AE25" s="220">
        <f t="shared" si="22"/>
        <v>-54</v>
      </c>
      <c r="AF25" s="220">
        <f t="shared" si="23"/>
        <v>-110</v>
      </c>
      <c r="AG25" s="220">
        <f t="shared" si="24"/>
        <v>-100</v>
      </c>
      <c r="AH25" s="220">
        <f t="shared" si="25"/>
        <v>-108</v>
      </c>
      <c r="AI25" s="220">
        <f t="shared" si="26"/>
        <v>-65</v>
      </c>
      <c r="AJ25" s="50">
        <f t="shared" si="27"/>
        <v>2.7570000000000006</v>
      </c>
      <c r="AK25" s="257"/>
      <c r="AL25" s="257">
        <f t="shared" si="29"/>
        <v>1.2</v>
      </c>
      <c r="AM25" s="52"/>
      <c r="AN25" s="88"/>
    </row>
    <row r="26" spans="1:40" s="29" customFormat="1" ht="17.25" customHeight="1">
      <c r="A26" s="48">
        <v>55</v>
      </c>
      <c r="B26" s="49">
        <f t="shared" si="0"/>
        <v>45569</v>
      </c>
      <c r="C26" s="220">
        <f t="shared" si="1"/>
        <v>1049</v>
      </c>
      <c r="D26" s="220">
        <f t="shared" ref="D26" si="41">D25-18</f>
        <v>2070</v>
      </c>
      <c r="E26" s="220">
        <f t="shared" si="3"/>
        <v>3119</v>
      </c>
      <c r="F26" s="220">
        <f t="shared" si="4"/>
        <v>528</v>
      </c>
      <c r="G26" s="220">
        <f t="shared" si="5"/>
        <v>655</v>
      </c>
      <c r="H26" s="220">
        <f t="shared" si="6"/>
        <v>767</v>
      </c>
      <c r="I26" s="220">
        <f t="shared" si="7"/>
        <v>741</v>
      </c>
      <c r="J26" s="220">
        <f t="shared" si="8"/>
        <v>629</v>
      </c>
      <c r="K26" s="220">
        <f t="shared" si="9"/>
        <v>2591</v>
      </c>
      <c r="L26" s="220">
        <f t="shared" si="9"/>
        <v>2464</v>
      </c>
      <c r="M26" s="220">
        <f t="shared" si="10"/>
        <v>2352</v>
      </c>
      <c r="N26" s="220">
        <f t="shared" si="11"/>
        <v>2378</v>
      </c>
      <c r="O26" s="220">
        <f t="shared" si="11"/>
        <v>2490</v>
      </c>
      <c r="P26" s="220">
        <f t="shared" si="12"/>
        <v>2000</v>
      </c>
      <c r="Q26" s="220">
        <f t="shared" si="13"/>
        <v>2000</v>
      </c>
      <c r="R26" s="220">
        <f t="shared" si="14"/>
        <v>2000</v>
      </c>
      <c r="S26" s="220">
        <f t="shared" si="15"/>
        <v>2000</v>
      </c>
      <c r="T26" s="220">
        <f t="shared" si="16"/>
        <v>2000</v>
      </c>
      <c r="U26" s="220">
        <f t="shared" si="17"/>
        <v>591</v>
      </c>
      <c r="V26" s="220">
        <f t="shared" si="18"/>
        <v>464</v>
      </c>
      <c r="W26" s="220">
        <f t="shared" si="19"/>
        <v>352</v>
      </c>
      <c r="X26" s="220">
        <f t="shared" si="20"/>
        <v>378</v>
      </c>
      <c r="Y26" s="220">
        <f t="shared" si="21"/>
        <v>490</v>
      </c>
      <c r="Z26" s="220">
        <v>8</v>
      </c>
      <c r="AA26" s="220">
        <v>9</v>
      </c>
      <c r="AB26" s="220">
        <v>9</v>
      </c>
      <c r="AC26" s="220">
        <v>8</v>
      </c>
      <c r="AD26" s="220">
        <v>8</v>
      </c>
      <c r="AE26" s="220">
        <f t="shared" si="22"/>
        <v>-62</v>
      </c>
      <c r="AF26" s="220">
        <f t="shared" si="23"/>
        <v>-119</v>
      </c>
      <c r="AG26" s="220">
        <f t="shared" si="24"/>
        <v>-109</v>
      </c>
      <c r="AH26" s="220">
        <f t="shared" si="25"/>
        <v>-116</v>
      </c>
      <c r="AI26" s="220">
        <f t="shared" si="26"/>
        <v>-73</v>
      </c>
      <c r="AJ26" s="50">
        <f t="shared" si="27"/>
        <v>2.7480000000000007</v>
      </c>
      <c r="AK26" s="257">
        <v>0.3</v>
      </c>
      <c r="AL26" s="257">
        <f t="shared" si="29"/>
        <v>1.2</v>
      </c>
      <c r="AM26" s="52"/>
      <c r="AN26" s="88"/>
    </row>
    <row r="27" spans="1:40" s="29" customFormat="1" ht="17.25" customHeight="1">
      <c r="A27" s="48">
        <v>56</v>
      </c>
      <c r="B27" s="49">
        <f t="shared" si="0"/>
        <v>45570</v>
      </c>
      <c r="C27" s="220">
        <f t="shared" si="1"/>
        <v>1049</v>
      </c>
      <c r="D27" s="220">
        <f t="shared" ref="D27" si="42">D26-26</f>
        <v>2044</v>
      </c>
      <c r="E27" s="220">
        <f t="shared" si="3"/>
        <v>3093</v>
      </c>
      <c r="F27" s="220">
        <f t="shared" si="4"/>
        <v>509</v>
      </c>
      <c r="G27" s="220">
        <f t="shared" si="5"/>
        <v>638</v>
      </c>
      <c r="H27" s="220">
        <f t="shared" si="6"/>
        <v>750</v>
      </c>
      <c r="I27" s="220">
        <f t="shared" si="7"/>
        <v>722</v>
      </c>
      <c r="J27" s="220">
        <f t="shared" si="8"/>
        <v>610</v>
      </c>
      <c r="K27" s="220">
        <f t="shared" si="9"/>
        <v>2584</v>
      </c>
      <c r="L27" s="220">
        <f t="shared" si="9"/>
        <v>2455</v>
      </c>
      <c r="M27" s="220">
        <f t="shared" si="10"/>
        <v>2343</v>
      </c>
      <c r="N27" s="220">
        <f t="shared" si="11"/>
        <v>2371</v>
      </c>
      <c r="O27" s="220">
        <f t="shared" si="11"/>
        <v>2483</v>
      </c>
      <c r="P27" s="220">
        <f t="shared" si="12"/>
        <v>2000</v>
      </c>
      <c r="Q27" s="220">
        <f t="shared" si="13"/>
        <v>2000</v>
      </c>
      <c r="R27" s="220">
        <f t="shared" si="14"/>
        <v>2000</v>
      </c>
      <c r="S27" s="220">
        <f t="shared" si="15"/>
        <v>2000</v>
      </c>
      <c r="T27" s="220">
        <f t="shared" si="16"/>
        <v>2000</v>
      </c>
      <c r="U27" s="220">
        <f t="shared" si="17"/>
        <v>584</v>
      </c>
      <c r="V27" s="220">
        <f t="shared" si="18"/>
        <v>455</v>
      </c>
      <c r="W27" s="220">
        <f t="shared" si="19"/>
        <v>343</v>
      </c>
      <c r="X27" s="220">
        <f t="shared" si="20"/>
        <v>371</v>
      </c>
      <c r="Y27" s="220">
        <f t="shared" si="21"/>
        <v>483</v>
      </c>
      <c r="Z27" s="220">
        <v>7</v>
      </c>
      <c r="AA27" s="220">
        <v>9</v>
      </c>
      <c r="AB27" s="220">
        <v>9</v>
      </c>
      <c r="AC27" s="220">
        <v>7</v>
      </c>
      <c r="AD27" s="220">
        <v>7</v>
      </c>
      <c r="AE27" s="220">
        <f t="shared" si="22"/>
        <v>-69</v>
      </c>
      <c r="AF27" s="220">
        <f t="shared" si="23"/>
        <v>-128</v>
      </c>
      <c r="AG27" s="220">
        <f t="shared" si="24"/>
        <v>-118</v>
      </c>
      <c r="AH27" s="220">
        <f t="shared" si="25"/>
        <v>-123</v>
      </c>
      <c r="AI27" s="220">
        <f t="shared" si="26"/>
        <v>-80</v>
      </c>
      <c r="AJ27" s="50">
        <f t="shared" si="27"/>
        <v>2.7390000000000008</v>
      </c>
      <c r="AK27" s="257"/>
      <c r="AL27" s="257">
        <f t="shared" si="29"/>
        <v>1.2</v>
      </c>
      <c r="AM27" s="52"/>
      <c r="AN27" s="88"/>
    </row>
    <row r="28" spans="1:40" s="29" customFormat="1" ht="17.25" customHeight="1">
      <c r="A28" s="48">
        <v>57</v>
      </c>
      <c r="B28" s="49">
        <f t="shared" si="0"/>
        <v>45571</v>
      </c>
      <c r="C28" s="220">
        <f t="shared" si="1"/>
        <v>1049</v>
      </c>
      <c r="D28" s="220">
        <f t="shared" ref="D28" si="43">D27+15</f>
        <v>2059</v>
      </c>
      <c r="E28" s="220">
        <f t="shared" si="3"/>
        <v>3108</v>
      </c>
      <c r="F28" s="220">
        <f t="shared" si="4"/>
        <v>531</v>
      </c>
      <c r="G28" s="220">
        <f t="shared" si="5"/>
        <v>661</v>
      </c>
      <c r="H28" s="220">
        <f t="shared" si="6"/>
        <v>773</v>
      </c>
      <c r="I28" s="220">
        <f t="shared" si="7"/>
        <v>743</v>
      </c>
      <c r="J28" s="220">
        <f t="shared" si="8"/>
        <v>632</v>
      </c>
      <c r="K28" s="220">
        <f t="shared" si="9"/>
        <v>2577</v>
      </c>
      <c r="L28" s="220">
        <f t="shared" si="9"/>
        <v>2447</v>
      </c>
      <c r="M28" s="220">
        <f t="shared" si="10"/>
        <v>2335</v>
      </c>
      <c r="N28" s="220">
        <f t="shared" si="11"/>
        <v>2365</v>
      </c>
      <c r="O28" s="220">
        <f t="shared" si="11"/>
        <v>2476</v>
      </c>
      <c r="P28" s="220">
        <f t="shared" si="12"/>
        <v>2000</v>
      </c>
      <c r="Q28" s="220">
        <f t="shared" si="13"/>
        <v>2000</v>
      </c>
      <c r="R28" s="220">
        <f t="shared" si="14"/>
        <v>2000</v>
      </c>
      <c r="S28" s="220">
        <f t="shared" si="15"/>
        <v>2000</v>
      </c>
      <c r="T28" s="220">
        <f t="shared" si="16"/>
        <v>2000</v>
      </c>
      <c r="U28" s="220">
        <f t="shared" si="17"/>
        <v>577</v>
      </c>
      <c r="V28" s="220">
        <f t="shared" si="18"/>
        <v>447</v>
      </c>
      <c r="W28" s="220">
        <f t="shared" si="19"/>
        <v>335</v>
      </c>
      <c r="X28" s="220">
        <f t="shared" si="20"/>
        <v>365</v>
      </c>
      <c r="Y28" s="220">
        <f t="shared" si="21"/>
        <v>476</v>
      </c>
      <c r="Z28" s="220">
        <v>7</v>
      </c>
      <c r="AA28" s="220">
        <v>8</v>
      </c>
      <c r="AB28" s="220">
        <v>8</v>
      </c>
      <c r="AC28" s="220">
        <v>6</v>
      </c>
      <c r="AD28" s="220">
        <v>7</v>
      </c>
      <c r="AE28" s="220">
        <f t="shared" si="22"/>
        <v>-76</v>
      </c>
      <c r="AF28" s="220">
        <f t="shared" si="23"/>
        <v>-136</v>
      </c>
      <c r="AG28" s="220">
        <f t="shared" si="24"/>
        <v>-126</v>
      </c>
      <c r="AH28" s="220">
        <f t="shared" si="25"/>
        <v>-129</v>
      </c>
      <c r="AI28" s="220">
        <f t="shared" si="26"/>
        <v>-87</v>
      </c>
      <c r="AJ28" s="50">
        <f t="shared" si="27"/>
        <v>2.7310000000000008</v>
      </c>
      <c r="AK28" s="257"/>
      <c r="AL28" s="257">
        <f t="shared" si="29"/>
        <v>1.2</v>
      </c>
      <c r="AM28" s="52"/>
      <c r="AN28" s="88"/>
    </row>
    <row r="29" spans="1:40" s="29" customFormat="1" ht="17.25" customHeight="1">
      <c r="A29" s="48">
        <v>58</v>
      </c>
      <c r="B29" s="49">
        <f t="shared" si="0"/>
        <v>45572</v>
      </c>
      <c r="C29" s="220">
        <f t="shared" si="1"/>
        <v>1049</v>
      </c>
      <c r="D29" s="220">
        <f t="shared" ref="D29" si="44">D28+26</f>
        <v>2085</v>
      </c>
      <c r="E29" s="220">
        <f t="shared" si="3"/>
        <v>3134</v>
      </c>
      <c r="F29" s="220">
        <f t="shared" si="4"/>
        <v>564</v>
      </c>
      <c r="G29" s="220">
        <f t="shared" si="5"/>
        <v>696</v>
      </c>
      <c r="H29" s="220">
        <f t="shared" si="6"/>
        <v>808</v>
      </c>
      <c r="I29" s="220">
        <f t="shared" si="7"/>
        <v>774</v>
      </c>
      <c r="J29" s="220">
        <f t="shared" si="8"/>
        <v>665</v>
      </c>
      <c r="K29" s="220">
        <f t="shared" si="9"/>
        <v>2570</v>
      </c>
      <c r="L29" s="220">
        <f t="shared" si="9"/>
        <v>2438</v>
      </c>
      <c r="M29" s="220">
        <f t="shared" si="10"/>
        <v>2326</v>
      </c>
      <c r="N29" s="220">
        <f t="shared" si="11"/>
        <v>2360</v>
      </c>
      <c r="O29" s="220">
        <f t="shared" si="11"/>
        <v>2469</v>
      </c>
      <c r="P29" s="220">
        <f t="shared" si="12"/>
        <v>2000</v>
      </c>
      <c r="Q29" s="220">
        <f t="shared" si="13"/>
        <v>2000</v>
      </c>
      <c r="R29" s="220">
        <f t="shared" si="14"/>
        <v>2000</v>
      </c>
      <c r="S29" s="220">
        <f t="shared" si="15"/>
        <v>2000</v>
      </c>
      <c r="T29" s="220">
        <f t="shared" si="16"/>
        <v>2000</v>
      </c>
      <c r="U29" s="220">
        <f t="shared" si="17"/>
        <v>570</v>
      </c>
      <c r="V29" s="220">
        <f t="shared" si="18"/>
        <v>438</v>
      </c>
      <c r="W29" s="220">
        <f t="shared" si="19"/>
        <v>326</v>
      </c>
      <c r="X29" s="220">
        <f t="shared" si="20"/>
        <v>360</v>
      </c>
      <c r="Y29" s="220">
        <f t="shared" si="21"/>
        <v>469</v>
      </c>
      <c r="Z29" s="220">
        <v>7</v>
      </c>
      <c r="AA29" s="220">
        <v>9</v>
      </c>
      <c r="AB29" s="220">
        <v>9</v>
      </c>
      <c r="AC29" s="220">
        <v>5</v>
      </c>
      <c r="AD29" s="220">
        <v>7</v>
      </c>
      <c r="AE29" s="220">
        <f t="shared" si="22"/>
        <v>-83</v>
      </c>
      <c r="AF29" s="220">
        <f t="shared" si="23"/>
        <v>-145</v>
      </c>
      <c r="AG29" s="220">
        <f t="shared" si="24"/>
        <v>-135</v>
      </c>
      <c r="AH29" s="220">
        <f t="shared" si="25"/>
        <v>-134</v>
      </c>
      <c r="AI29" s="220">
        <f t="shared" si="26"/>
        <v>-94</v>
      </c>
      <c r="AJ29" s="50">
        <f t="shared" si="27"/>
        <v>2.7220000000000009</v>
      </c>
      <c r="AK29" s="257"/>
      <c r="AL29" s="257">
        <f t="shared" si="29"/>
        <v>1.2</v>
      </c>
      <c r="AM29" s="52"/>
      <c r="AN29" s="88"/>
    </row>
    <row r="30" spans="1:40" s="29" customFormat="1" ht="17.25" customHeight="1">
      <c r="A30" s="48">
        <v>59</v>
      </c>
      <c r="B30" s="49">
        <f t="shared" si="0"/>
        <v>45573</v>
      </c>
      <c r="C30" s="220">
        <f t="shared" si="1"/>
        <v>1049</v>
      </c>
      <c r="D30" s="220">
        <f t="shared" ref="D30" si="45">D29+32</f>
        <v>2117</v>
      </c>
      <c r="E30" s="220">
        <f t="shared" si="3"/>
        <v>3166</v>
      </c>
      <c r="F30" s="220">
        <f t="shared" si="4"/>
        <v>602</v>
      </c>
      <c r="G30" s="220">
        <f t="shared" si="5"/>
        <v>736</v>
      </c>
      <c r="H30" s="220">
        <f t="shared" si="6"/>
        <v>848</v>
      </c>
      <c r="I30" s="220">
        <f t="shared" si="7"/>
        <v>810</v>
      </c>
      <c r="J30" s="220">
        <f t="shared" si="8"/>
        <v>703</v>
      </c>
      <c r="K30" s="220">
        <f t="shared" si="9"/>
        <v>2564</v>
      </c>
      <c r="L30" s="220">
        <f t="shared" si="9"/>
        <v>2430</v>
      </c>
      <c r="M30" s="220">
        <f t="shared" si="10"/>
        <v>2318</v>
      </c>
      <c r="N30" s="220">
        <f t="shared" si="11"/>
        <v>2356</v>
      </c>
      <c r="O30" s="220">
        <f t="shared" si="11"/>
        <v>2463</v>
      </c>
      <c r="P30" s="220">
        <f t="shared" si="12"/>
        <v>2000</v>
      </c>
      <c r="Q30" s="220">
        <f t="shared" si="13"/>
        <v>2000</v>
      </c>
      <c r="R30" s="220">
        <f t="shared" si="14"/>
        <v>2000</v>
      </c>
      <c r="S30" s="220">
        <f t="shared" si="15"/>
        <v>2000</v>
      </c>
      <c r="T30" s="220">
        <f t="shared" si="16"/>
        <v>2000</v>
      </c>
      <c r="U30" s="220">
        <f t="shared" si="17"/>
        <v>564</v>
      </c>
      <c r="V30" s="220">
        <f t="shared" si="18"/>
        <v>430</v>
      </c>
      <c r="W30" s="220">
        <f t="shared" si="19"/>
        <v>318</v>
      </c>
      <c r="X30" s="220">
        <f t="shared" si="20"/>
        <v>356</v>
      </c>
      <c r="Y30" s="220">
        <f t="shared" si="21"/>
        <v>463</v>
      </c>
      <c r="Z30" s="220">
        <v>6</v>
      </c>
      <c r="AA30" s="220">
        <v>8</v>
      </c>
      <c r="AB30" s="220">
        <v>8</v>
      </c>
      <c r="AC30" s="220">
        <v>4</v>
      </c>
      <c r="AD30" s="220">
        <v>6</v>
      </c>
      <c r="AE30" s="220">
        <f t="shared" si="22"/>
        <v>-89</v>
      </c>
      <c r="AF30" s="220">
        <f t="shared" si="23"/>
        <v>-153</v>
      </c>
      <c r="AG30" s="220">
        <f t="shared" si="24"/>
        <v>-143</v>
      </c>
      <c r="AH30" s="220">
        <f t="shared" si="25"/>
        <v>-138</v>
      </c>
      <c r="AI30" s="220">
        <f t="shared" si="26"/>
        <v>-100</v>
      </c>
      <c r="AJ30" s="50">
        <f t="shared" si="27"/>
        <v>2.7140000000000009</v>
      </c>
      <c r="AK30" s="257"/>
      <c r="AL30" s="257">
        <f t="shared" si="29"/>
        <v>1.2</v>
      </c>
      <c r="AM30" s="52"/>
      <c r="AN30" s="88"/>
    </row>
    <row r="31" spans="1:40" s="29" customFormat="1" ht="17.25" customHeight="1">
      <c r="A31" s="48">
        <v>60</v>
      </c>
      <c r="B31" s="49">
        <f t="shared" si="0"/>
        <v>45574</v>
      </c>
      <c r="C31" s="220">
        <f t="shared" si="1"/>
        <v>1049</v>
      </c>
      <c r="D31" s="220">
        <f t="shared" ref="D31" si="46">D30-18</f>
        <v>2099</v>
      </c>
      <c r="E31" s="220">
        <f t="shared" si="3"/>
        <v>3148</v>
      </c>
      <c r="F31" s="220">
        <f t="shared" si="4"/>
        <v>590</v>
      </c>
      <c r="G31" s="220">
        <f t="shared" si="5"/>
        <v>726</v>
      </c>
      <c r="H31" s="220">
        <f t="shared" si="6"/>
        <v>839</v>
      </c>
      <c r="I31" s="220">
        <f t="shared" si="7"/>
        <v>797</v>
      </c>
      <c r="J31" s="220">
        <f t="shared" si="8"/>
        <v>691</v>
      </c>
      <c r="K31" s="220">
        <f t="shared" si="9"/>
        <v>2558</v>
      </c>
      <c r="L31" s="220">
        <f t="shared" si="9"/>
        <v>2422</v>
      </c>
      <c r="M31" s="220">
        <f t="shared" si="10"/>
        <v>2309</v>
      </c>
      <c r="N31" s="220">
        <f t="shared" si="11"/>
        <v>2351</v>
      </c>
      <c r="O31" s="220">
        <f t="shared" si="11"/>
        <v>2457</v>
      </c>
      <c r="P31" s="220">
        <f t="shared" si="12"/>
        <v>2000</v>
      </c>
      <c r="Q31" s="220">
        <f t="shared" si="13"/>
        <v>2000</v>
      </c>
      <c r="R31" s="220">
        <f t="shared" si="14"/>
        <v>2000</v>
      </c>
      <c r="S31" s="220">
        <f t="shared" si="15"/>
        <v>2000</v>
      </c>
      <c r="T31" s="220">
        <f t="shared" si="16"/>
        <v>2000</v>
      </c>
      <c r="U31" s="220">
        <f t="shared" si="17"/>
        <v>558</v>
      </c>
      <c r="V31" s="220">
        <f t="shared" si="18"/>
        <v>422</v>
      </c>
      <c r="W31" s="220">
        <f t="shared" si="19"/>
        <v>309</v>
      </c>
      <c r="X31" s="220">
        <f t="shared" si="20"/>
        <v>351</v>
      </c>
      <c r="Y31" s="220">
        <f t="shared" si="21"/>
        <v>457</v>
      </c>
      <c r="Z31" s="220">
        <v>6</v>
      </c>
      <c r="AA31" s="220">
        <v>8</v>
      </c>
      <c r="AB31" s="220">
        <v>9</v>
      </c>
      <c r="AC31" s="220">
        <v>5</v>
      </c>
      <c r="AD31" s="220">
        <v>6</v>
      </c>
      <c r="AE31" s="220">
        <f t="shared" si="22"/>
        <v>-95</v>
      </c>
      <c r="AF31" s="220">
        <f t="shared" si="23"/>
        <v>-161</v>
      </c>
      <c r="AG31" s="220">
        <f t="shared" si="24"/>
        <v>-152</v>
      </c>
      <c r="AH31" s="220">
        <f t="shared" si="25"/>
        <v>-143</v>
      </c>
      <c r="AI31" s="220">
        <f t="shared" si="26"/>
        <v>-106</v>
      </c>
      <c r="AJ31" s="50">
        <f t="shared" ref="AJ31:AJ94" si="47">AJ30-AB31/1000+AK32</f>
        <v>2.705000000000001</v>
      </c>
      <c r="AK31" s="257"/>
      <c r="AL31" s="257">
        <f t="shared" ref="AL31:AL94" si="48">AL30+AK32</f>
        <v>1.2</v>
      </c>
      <c r="AM31" s="52"/>
      <c r="AN31" s="88"/>
    </row>
    <row r="32" spans="1:40" s="29" customFormat="1" ht="17.25" customHeight="1">
      <c r="A32" s="48">
        <v>61</v>
      </c>
      <c r="B32" s="49">
        <f t="shared" si="0"/>
        <v>45575</v>
      </c>
      <c r="C32" s="220">
        <f t="shared" si="1"/>
        <v>1049</v>
      </c>
      <c r="D32" s="220">
        <f t="shared" ref="D32" si="49">D31-26</f>
        <v>2073</v>
      </c>
      <c r="E32" s="220">
        <f t="shared" si="3"/>
        <v>3122</v>
      </c>
      <c r="F32" s="220">
        <f t="shared" si="4"/>
        <v>570</v>
      </c>
      <c r="G32" s="220">
        <f t="shared" si="5"/>
        <v>708</v>
      </c>
      <c r="H32" s="220">
        <f t="shared" si="6"/>
        <v>822</v>
      </c>
      <c r="I32" s="220">
        <f t="shared" si="7"/>
        <v>775</v>
      </c>
      <c r="J32" s="220">
        <f t="shared" si="8"/>
        <v>671</v>
      </c>
      <c r="K32" s="220">
        <f t="shared" si="9"/>
        <v>2552</v>
      </c>
      <c r="L32" s="220">
        <f t="shared" si="9"/>
        <v>2414</v>
      </c>
      <c r="M32" s="220">
        <f t="shared" si="10"/>
        <v>2300</v>
      </c>
      <c r="N32" s="220">
        <f t="shared" si="11"/>
        <v>2347</v>
      </c>
      <c r="O32" s="220">
        <f t="shared" si="11"/>
        <v>2451</v>
      </c>
      <c r="P32" s="220">
        <f t="shared" si="12"/>
        <v>2000</v>
      </c>
      <c r="Q32" s="220">
        <f t="shared" si="13"/>
        <v>2000</v>
      </c>
      <c r="R32" s="220">
        <f t="shared" si="14"/>
        <v>2000</v>
      </c>
      <c r="S32" s="220">
        <f t="shared" si="15"/>
        <v>2000</v>
      </c>
      <c r="T32" s="220">
        <f t="shared" si="16"/>
        <v>2000</v>
      </c>
      <c r="U32" s="220">
        <f t="shared" si="17"/>
        <v>552</v>
      </c>
      <c r="V32" s="220">
        <f t="shared" si="18"/>
        <v>414</v>
      </c>
      <c r="W32" s="220">
        <f t="shared" si="19"/>
        <v>300</v>
      </c>
      <c r="X32" s="220">
        <f t="shared" si="20"/>
        <v>347</v>
      </c>
      <c r="Y32" s="220">
        <f t="shared" si="21"/>
        <v>451</v>
      </c>
      <c r="Z32" s="220">
        <v>6</v>
      </c>
      <c r="AA32" s="220">
        <v>8</v>
      </c>
      <c r="AB32" s="220">
        <v>9</v>
      </c>
      <c r="AC32" s="220">
        <v>4</v>
      </c>
      <c r="AD32" s="220">
        <v>6</v>
      </c>
      <c r="AE32" s="220">
        <f t="shared" si="22"/>
        <v>-101</v>
      </c>
      <c r="AF32" s="220">
        <f t="shared" si="23"/>
        <v>-169</v>
      </c>
      <c r="AG32" s="220">
        <f t="shared" si="24"/>
        <v>-161</v>
      </c>
      <c r="AH32" s="220">
        <f t="shared" si="25"/>
        <v>-147</v>
      </c>
      <c r="AI32" s="220">
        <f t="shared" si="26"/>
        <v>-112</v>
      </c>
      <c r="AJ32" s="50">
        <f t="shared" si="47"/>
        <v>2.6960000000000011</v>
      </c>
      <c r="AK32" s="257"/>
      <c r="AL32" s="257">
        <f t="shared" si="48"/>
        <v>1.2</v>
      </c>
      <c r="AM32" s="52"/>
      <c r="AN32" s="88"/>
    </row>
    <row r="33" spans="1:40" s="29" customFormat="1" ht="17.25" customHeight="1">
      <c r="A33" s="48">
        <v>62</v>
      </c>
      <c r="B33" s="49">
        <f t="shared" si="0"/>
        <v>45576</v>
      </c>
      <c r="C33" s="220">
        <f t="shared" si="1"/>
        <v>1049</v>
      </c>
      <c r="D33" s="220">
        <f t="shared" ref="D33" si="50">D32+15</f>
        <v>2088</v>
      </c>
      <c r="E33" s="220">
        <f t="shared" si="3"/>
        <v>3137</v>
      </c>
      <c r="F33" s="220">
        <f t="shared" si="4"/>
        <v>591</v>
      </c>
      <c r="G33" s="220">
        <f t="shared" si="5"/>
        <v>731</v>
      </c>
      <c r="H33" s="220">
        <f t="shared" si="6"/>
        <v>845</v>
      </c>
      <c r="I33" s="220">
        <f t="shared" si="7"/>
        <v>795</v>
      </c>
      <c r="J33" s="220">
        <f t="shared" si="8"/>
        <v>692</v>
      </c>
      <c r="K33" s="220">
        <f t="shared" si="9"/>
        <v>2546</v>
      </c>
      <c r="L33" s="220">
        <f t="shared" si="9"/>
        <v>2406</v>
      </c>
      <c r="M33" s="220">
        <f t="shared" si="10"/>
        <v>2292</v>
      </c>
      <c r="N33" s="220">
        <f t="shared" si="11"/>
        <v>2342</v>
      </c>
      <c r="O33" s="220">
        <f t="shared" si="11"/>
        <v>2445</v>
      </c>
      <c r="P33" s="220">
        <f t="shared" si="12"/>
        <v>2000</v>
      </c>
      <c r="Q33" s="220">
        <f t="shared" si="13"/>
        <v>2000</v>
      </c>
      <c r="R33" s="220">
        <f t="shared" si="14"/>
        <v>2000</v>
      </c>
      <c r="S33" s="220">
        <f t="shared" si="15"/>
        <v>2000</v>
      </c>
      <c r="T33" s="220">
        <f t="shared" si="16"/>
        <v>2000</v>
      </c>
      <c r="U33" s="220">
        <f t="shared" si="17"/>
        <v>546</v>
      </c>
      <c r="V33" s="220">
        <f t="shared" si="18"/>
        <v>406</v>
      </c>
      <c r="W33" s="220">
        <f t="shared" si="19"/>
        <v>292</v>
      </c>
      <c r="X33" s="220">
        <f t="shared" si="20"/>
        <v>342</v>
      </c>
      <c r="Y33" s="220">
        <f t="shared" si="21"/>
        <v>445</v>
      </c>
      <c r="Z33" s="220">
        <v>6</v>
      </c>
      <c r="AA33" s="220">
        <v>8</v>
      </c>
      <c r="AB33" s="220">
        <v>8</v>
      </c>
      <c r="AC33" s="220">
        <v>5</v>
      </c>
      <c r="AD33" s="220">
        <v>6</v>
      </c>
      <c r="AE33" s="220">
        <f t="shared" si="22"/>
        <v>-107</v>
      </c>
      <c r="AF33" s="220">
        <f t="shared" si="23"/>
        <v>-177</v>
      </c>
      <c r="AG33" s="220">
        <f t="shared" si="24"/>
        <v>-169</v>
      </c>
      <c r="AH33" s="220">
        <f t="shared" si="25"/>
        <v>-152</v>
      </c>
      <c r="AI33" s="220">
        <f t="shared" si="26"/>
        <v>-118</v>
      </c>
      <c r="AJ33" s="50">
        <f t="shared" si="47"/>
        <v>2.6880000000000011</v>
      </c>
      <c r="AK33" s="257"/>
      <c r="AL33" s="257">
        <f t="shared" si="48"/>
        <v>1.2</v>
      </c>
      <c r="AM33" s="52"/>
      <c r="AN33" s="88"/>
    </row>
    <row r="34" spans="1:40" s="29" customFormat="1" ht="17.25" customHeight="1">
      <c r="A34" s="48">
        <v>63</v>
      </c>
      <c r="B34" s="49">
        <f t="shared" si="0"/>
        <v>45577</v>
      </c>
      <c r="C34" s="220">
        <f t="shared" si="1"/>
        <v>1049</v>
      </c>
      <c r="D34" s="220">
        <f t="shared" ref="D34" si="51">D33+26</f>
        <v>2114</v>
      </c>
      <c r="E34" s="220">
        <f t="shared" si="3"/>
        <v>3163</v>
      </c>
      <c r="F34" s="220">
        <f t="shared" si="4"/>
        <v>623</v>
      </c>
      <c r="G34" s="220">
        <f t="shared" si="5"/>
        <v>764</v>
      </c>
      <c r="H34" s="220">
        <f t="shared" si="6"/>
        <v>880</v>
      </c>
      <c r="I34" s="220">
        <f t="shared" si="7"/>
        <v>825</v>
      </c>
      <c r="J34" s="220">
        <f t="shared" si="8"/>
        <v>723</v>
      </c>
      <c r="K34" s="220">
        <f t="shared" si="9"/>
        <v>2540</v>
      </c>
      <c r="L34" s="220">
        <f t="shared" si="9"/>
        <v>2399</v>
      </c>
      <c r="M34" s="220">
        <f t="shared" si="10"/>
        <v>2283</v>
      </c>
      <c r="N34" s="220">
        <f t="shared" si="11"/>
        <v>2338</v>
      </c>
      <c r="O34" s="220">
        <f t="shared" si="11"/>
        <v>2440</v>
      </c>
      <c r="P34" s="220">
        <f t="shared" si="12"/>
        <v>2000</v>
      </c>
      <c r="Q34" s="220">
        <f t="shared" si="13"/>
        <v>2000</v>
      </c>
      <c r="R34" s="220">
        <f t="shared" si="14"/>
        <v>2000</v>
      </c>
      <c r="S34" s="220">
        <f t="shared" si="15"/>
        <v>2000</v>
      </c>
      <c r="T34" s="220">
        <f t="shared" si="16"/>
        <v>2000</v>
      </c>
      <c r="U34" s="220">
        <f t="shared" si="17"/>
        <v>540</v>
      </c>
      <c r="V34" s="220">
        <f t="shared" si="18"/>
        <v>399</v>
      </c>
      <c r="W34" s="220">
        <f t="shared" si="19"/>
        <v>283</v>
      </c>
      <c r="X34" s="220">
        <f t="shared" si="20"/>
        <v>338</v>
      </c>
      <c r="Y34" s="220">
        <f t="shared" si="21"/>
        <v>440</v>
      </c>
      <c r="Z34" s="220">
        <v>6</v>
      </c>
      <c r="AA34" s="220">
        <v>7</v>
      </c>
      <c r="AB34" s="220">
        <v>9</v>
      </c>
      <c r="AC34" s="220">
        <v>4</v>
      </c>
      <c r="AD34" s="220">
        <v>5</v>
      </c>
      <c r="AE34" s="220">
        <f t="shared" si="22"/>
        <v>-113</v>
      </c>
      <c r="AF34" s="220">
        <f t="shared" si="23"/>
        <v>-184</v>
      </c>
      <c r="AG34" s="220">
        <f t="shared" si="24"/>
        <v>-178</v>
      </c>
      <c r="AH34" s="220">
        <f t="shared" si="25"/>
        <v>-156</v>
      </c>
      <c r="AI34" s="220">
        <f t="shared" si="26"/>
        <v>-123</v>
      </c>
      <c r="AJ34" s="50">
        <f t="shared" si="47"/>
        <v>2.6790000000000012</v>
      </c>
      <c r="AK34" s="257"/>
      <c r="AL34" s="257">
        <f t="shared" si="48"/>
        <v>1.2</v>
      </c>
      <c r="AM34" s="52"/>
      <c r="AN34" s="88"/>
    </row>
    <row r="35" spans="1:40" s="29" customFormat="1" ht="17.25" customHeight="1">
      <c r="A35" s="48">
        <v>64</v>
      </c>
      <c r="B35" s="49">
        <f t="shared" si="0"/>
        <v>45578</v>
      </c>
      <c r="C35" s="220">
        <f t="shared" si="1"/>
        <v>1049</v>
      </c>
      <c r="D35" s="220">
        <f t="shared" ref="D35" si="52">D34+32</f>
        <v>2146</v>
      </c>
      <c r="E35" s="220">
        <f t="shared" si="3"/>
        <v>3195</v>
      </c>
      <c r="F35" s="220">
        <f t="shared" si="4"/>
        <v>659</v>
      </c>
      <c r="G35" s="220">
        <f t="shared" si="5"/>
        <v>802</v>
      </c>
      <c r="H35" s="220">
        <f t="shared" si="6"/>
        <v>920</v>
      </c>
      <c r="I35" s="220">
        <f t="shared" si="7"/>
        <v>861</v>
      </c>
      <c r="J35" s="220">
        <f t="shared" si="8"/>
        <v>760</v>
      </c>
      <c r="K35" s="220">
        <f t="shared" si="9"/>
        <v>2536</v>
      </c>
      <c r="L35" s="220">
        <f t="shared" si="9"/>
        <v>2393</v>
      </c>
      <c r="M35" s="220">
        <f t="shared" si="10"/>
        <v>2275</v>
      </c>
      <c r="N35" s="220">
        <f t="shared" si="11"/>
        <v>2334</v>
      </c>
      <c r="O35" s="220">
        <f t="shared" si="11"/>
        <v>2435</v>
      </c>
      <c r="P35" s="220">
        <f t="shared" si="12"/>
        <v>2000</v>
      </c>
      <c r="Q35" s="220">
        <f t="shared" si="13"/>
        <v>2000</v>
      </c>
      <c r="R35" s="220">
        <f t="shared" si="14"/>
        <v>2000</v>
      </c>
      <c r="S35" s="220">
        <f t="shared" si="15"/>
        <v>2000</v>
      </c>
      <c r="T35" s="220">
        <f t="shared" si="16"/>
        <v>2000</v>
      </c>
      <c r="U35" s="220">
        <f t="shared" si="17"/>
        <v>536</v>
      </c>
      <c r="V35" s="220">
        <f t="shared" si="18"/>
        <v>393</v>
      </c>
      <c r="W35" s="220">
        <f t="shared" si="19"/>
        <v>275</v>
      </c>
      <c r="X35" s="220">
        <f t="shared" si="20"/>
        <v>334</v>
      </c>
      <c r="Y35" s="220">
        <f t="shared" si="21"/>
        <v>435</v>
      </c>
      <c r="Z35" s="220">
        <v>4</v>
      </c>
      <c r="AA35" s="220">
        <v>6</v>
      </c>
      <c r="AB35" s="220">
        <v>8</v>
      </c>
      <c r="AC35" s="220">
        <v>4</v>
      </c>
      <c r="AD35" s="220">
        <v>5</v>
      </c>
      <c r="AE35" s="220">
        <f t="shared" si="22"/>
        <v>-117</v>
      </c>
      <c r="AF35" s="220">
        <f t="shared" si="23"/>
        <v>-190</v>
      </c>
      <c r="AG35" s="220">
        <f t="shared" si="24"/>
        <v>-186</v>
      </c>
      <c r="AH35" s="220">
        <f t="shared" si="25"/>
        <v>-160</v>
      </c>
      <c r="AI35" s="220">
        <f t="shared" si="26"/>
        <v>-128</v>
      </c>
      <c r="AJ35" s="50">
        <f t="shared" si="47"/>
        <v>2.6710000000000012</v>
      </c>
      <c r="AK35" s="257"/>
      <c r="AL35" s="257">
        <f t="shared" si="48"/>
        <v>1.2</v>
      </c>
      <c r="AM35" s="52"/>
      <c r="AN35" s="88"/>
    </row>
    <row r="36" spans="1:40" s="29" customFormat="1" ht="17.25" customHeight="1">
      <c r="A36" s="48">
        <v>65</v>
      </c>
      <c r="B36" s="49">
        <f t="shared" si="0"/>
        <v>45579</v>
      </c>
      <c r="C36" s="220">
        <f t="shared" si="1"/>
        <v>1049</v>
      </c>
      <c r="D36" s="220">
        <f t="shared" ref="D36" si="53">D35-18</f>
        <v>2128</v>
      </c>
      <c r="E36" s="220">
        <f t="shared" si="3"/>
        <v>3177</v>
      </c>
      <c r="F36" s="220">
        <f t="shared" si="4"/>
        <v>644</v>
      </c>
      <c r="G36" s="220">
        <f t="shared" si="5"/>
        <v>790</v>
      </c>
      <c r="H36" s="220">
        <f t="shared" si="6"/>
        <v>910</v>
      </c>
      <c r="I36" s="220">
        <f t="shared" si="7"/>
        <v>846</v>
      </c>
      <c r="J36" s="220">
        <f t="shared" si="8"/>
        <v>747</v>
      </c>
      <c r="K36" s="220">
        <f t="shared" si="9"/>
        <v>2533</v>
      </c>
      <c r="L36" s="220">
        <f t="shared" si="9"/>
        <v>2387</v>
      </c>
      <c r="M36" s="220">
        <f t="shared" si="10"/>
        <v>2267</v>
      </c>
      <c r="N36" s="220">
        <f t="shared" si="11"/>
        <v>2331</v>
      </c>
      <c r="O36" s="220">
        <f t="shared" si="11"/>
        <v>2430</v>
      </c>
      <c r="P36" s="220">
        <f t="shared" si="12"/>
        <v>2000</v>
      </c>
      <c r="Q36" s="220">
        <f t="shared" si="13"/>
        <v>2000</v>
      </c>
      <c r="R36" s="220">
        <f t="shared" si="14"/>
        <v>2000</v>
      </c>
      <c r="S36" s="220">
        <f t="shared" si="15"/>
        <v>2000</v>
      </c>
      <c r="T36" s="220">
        <f t="shared" si="16"/>
        <v>2000</v>
      </c>
      <c r="U36" s="220">
        <f t="shared" si="17"/>
        <v>533</v>
      </c>
      <c r="V36" s="220">
        <f t="shared" si="18"/>
        <v>387</v>
      </c>
      <c r="W36" s="220">
        <f t="shared" si="19"/>
        <v>267</v>
      </c>
      <c r="X36" s="220">
        <f t="shared" si="20"/>
        <v>331</v>
      </c>
      <c r="Y36" s="220">
        <f t="shared" si="21"/>
        <v>430</v>
      </c>
      <c r="Z36" s="220">
        <v>3</v>
      </c>
      <c r="AA36" s="220">
        <v>6</v>
      </c>
      <c r="AB36" s="220">
        <v>8</v>
      </c>
      <c r="AC36" s="220">
        <v>3</v>
      </c>
      <c r="AD36" s="220">
        <v>5</v>
      </c>
      <c r="AE36" s="220">
        <f t="shared" si="22"/>
        <v>-120</v>
      </c>
      <c r="AF36" s="220">
        <f t="shared" si="23"/>
        <v>-196</v>
      </c>
      <c r="AG36" s="220">
        <f t="shared" si="24"/>
        <v>-194</v>
      </c>
      <c r="AH36" s="220">
        <f t="shared" si="25"/>
        <v>-163</v>
      </c>
      <c r="AI36" s="220">
        <f t="shared" si="26"/>
        <v>-133</v>
      </c>
      <c r="AJ36" s="50">
        <f t="shared" si="47"/>
        <v>2.6630000000000011</v>
      </c>
      <c r="AK36" s="257"/>
      <c r="AL36" s="257">
        <f t="shared" si="48"/>
        <v>1.2</v>
      </c>
      <c r="AM36" s="52"/>
      <c r="AN36" s="88"/>
    </row>
    <row r="37" spans="1:40" s="29" customFormat="1" ht="17.25" customHeight="1">
      <c r="A37" s="48">
        <v>66</v>
      </c>
      <c r="B37" s="49">
        <f t="shared" si="0"/>
        <v>45580</v>
      </c>
      <c r="C37" s="220">
        <f t="shared" si="1"/>
        <v>1049</v>
      </c>
      <c r="D37" s="220">
        <f t="shared" ref="D37" si="54">D36-26</f>
        <v>2102</v>
      </c>
      <c r="E37" s="220">
        <f t="shared" si="3"/>
        <v>3151</v>
      </c>
      <c r="F37" s="220">
        <f t="shared" ref="F37:F100" si="55">E37-K37</f>
        <v>622</v>
      </c>
      <c r="G37" s="220">
        <f t="shared" ref="G37:G100" si="56">E37-L37</f>
        <v>770</v>
      </c>
      <c r="H37" s="220">
        <f t="shared" ref="H37:H100" si="57">E37-M37</f>
        <v>892</v>
      </c>
      <c r="I37" s="220">
        <f t="shared" ref="I37:I100" si="58">E37-N37</f>
        <v>822</v>
      </c>
      <c r="J37" s="220">
        <f t="shared" ref="J37:J100" si="59">E37-O37</f>
        <v>726</v>
      </c>
      <c r="K37" s="220">
        <f t="shared" ref="K37:K100" si="60">P37+U37</f>
        <v>2529</v>
      </c>
      <c r="L37" s="220">
        <f t="shared" ref="L37:L100" si="61">Q37+V37</f>
        <v>2381</v>
      </c>
      <c r="M37" s="220">
        <f t="shared" ref="M37:M100" si="62">R37+W37</f>
        <v>2259</v>
      </c>
      <c r="N37" s="220">
        <f t="shared" ref="N37:O100" si="63">S37+X37</f>
        <v>2329</v>
      </c>
      <c r="O37" s="220">
        <f t="shared" si="63"/>
        <v>2425</v>
      </c>
      <c r="P37" s="220">
        <f t="shared" si="12"/>
        <v>2000</v>
      </c>
      <c r="Q37" s="220">
        <f t="shared" si="13"/>
        <v>2000</v>
      </c>
      <c r="R37" s="220">
        <f t="shared" si="14"/>
        <v>2000</v>
      </c>
      <c r="S37" s="220">
        <f t="shared" si="15"/>
        <v>2000</v>
      </c>
      <c r="T37" s="220">
        <f t="shared" si="16"/>
        <v>2000</v>
      </c>
      <c r="U37" s="220">
        <f t="shared" si="17"/>
        <v>529</v>
      </c>
      <c r="V37" s="220">
        <f t="shared" si="18"/>
        <v>381</v>
      </c>
      <c r="W37" s="220">
        <f t="shared" si="19"/>
        <v>259</v>
      </c>
      <c r="X37" s="220">
        <f t="shared" si="20"/>
        <v>329</v>
      </c>
      <c r="Y37" s="220">
        <f t="shared" si="21"/>
        <v>425</v>
      </c>
      <c r="Z37" s="220">
        <v>4</v>
      </c>
      <c r="AA37" s="220">
        <v>6</v>
      </c>
      <c r="AB37" s="220">
        <v>8</v>
      </c>
      <c r="AC37" s="220">
        <v>2</v>
      </c>
      <c r="AD37" s="220">
        <v>5</v>
      </c>
      <c r="AE37" s="220">
        <f t="shared" si="22"/>
        <v>-124</v>
      </c>
      <c r="AF37" s="220">
        <f t="shared" si="23"/>
        <v>-202</v>
      </c>
      <c r="AG37" s="220">
        <f t="shared" si="24"/>
        <v>-202</v>
      </c>
      <c r="AH37" s="220">
        <f t="shared" si="25"/>
        <v>-165</v>
      </c>
      <c r="AI37" s="220">
        <f t="shared" si="26"/>
        <v>-138</v>
      </c>
      <c r="AJ37" s="50">
        <f t="shared" si="47"/>
        <v>2.6550000000000011</v>
      </c>
      <c r="AK37" s="257"/>
      <c r="AL37" s="257">
        <f t="shared" si="48"/>
        <v>1.2</v>
      </c>
      <c r="AM37" s="52"/>
      <c r="AN37" s="88"/>
    </row>
    <row r="38" spans="1:40" s="29" customFormat="1" ht="17.25" customHeight="1">
      <c r="A38" s="48">
        <v>67</v>
      </c>
      <c r="B38" s="49">
        <f t="shared" ref="B38:B101" si="64">B37+1</f>
        <v>45581</v>
      </c>
      <c r="C38" s="220">
        <f t="shared" ref="C38:C101" si="65">+C37</f>
        <v>1049</v>
      </c>
      <c r="D38" s="220">
        <f t="shared" ref="D38" si="66">D37+15</f>
        <v>2117</v>
      </c>
      <c r="E38" s="220">
        <f t="shared" ref="E38:E97" si="67">+C38+D38</f>
        <v>3166</v>
      </c>
      <c r="F38" s="220">
        <f t="shared" si="55"/>
        <v>644</v>
      </c>
      <c r="G38" s="220">
        <f t="shared" si="56"/>
        <v>792</v>
      </c>
      <c r="H38" s="220">
        <f t="shared" si="57"/>
        <v>914</v>
      </c>
      <c r="I38" s="220">
        <f t="shared" si="58"/>
        <v>839</v>
      </c>
      <c r="J38" s="220">
        <f t="shared" si="59"/>
        <v>745</v>
      </c>
      <c r="K38" s="220">
        <f t="shared" si="60"/>
        <v>2522</v>
      </c>
      <c r="L38" s="220">
        <f t="shared" si="61"/>
        <v>2374</v>
      </c>
      <c r="M38" s="220">
        <f t="shared" si="62"/>
        <v>2252</v>
      </c>
      <c r="N38" s="220">
        <f t="shared" si="63"/>
        <v>2327</v>
      </c>
      <c r="O38" s="220">
        <f t="shared" si="63"/>
        <v>2421</v>
      </c>
      <c r="P38" s="220">
        <f t="shared" ref="P38:P101" si="68">+P37</f>
        <v>2000</v>
      </c>
      <c r="Q38" s="220">
        <f t="shared" ref="Q38:Q101" si="69">+Q37</f>
        <v>2000</v>
      </c>
      <c r="R38" s="220">
        <f t="shared" ref="R38:R101" si="70">+R37</f>
        <v>2000</v>
      </c>
      <c r="S38" s="220">
        <f t="shared" ref="S38:S101" si="71">+S37</f>
        <v>2000</v>
      </c>
      <c r="T38" s="220">
        <f t="shared" ref="T38:T101" si="72">+T37</f>
        <v>2000</v>
      </c>
      <c r="U38" s="220">
        <f t="shared" ref="U38:U101" si="73">U37-Z38</f>
        <v>522</v>
      </c>
      <c r="V38" s="220">
        <f t="shared" ref="V38:V101" si="74">V37-AA38</f>
        <v>374</v>
      </c>
      <c r="W38" s="220">
        <f t="shared" ref="W38:W101" si="75">W37-AB38</f>
        <v>252</v>
      </c>
      <c r="X38" s="220">
        <f t="shared" ref="X38:X101" si="76">X37-AC38</f>
        <v>327</v>
      </c>
      <c r="Y38" s="220">
        <f t="shared" ref="Y38:Y101" si="77">Y37-AD38</f>
        <v>421</v>
      </c>
      <c r="Z38" s="220">
        <v>7</v>
      </c>
      <c r="AA38" s="220">
        <v>7</v>
      </c>
      <c r="AB38" s="220">
        <v>7</v>
      </c>
      <c r="AC38" s="220">
        <v>2</v>
      </c>
      <c r="AD38" s="220">
        <v>4</v>
      </c>
      <c r="AE38" s="220">
        <f t="shared" ref="AE38:AE101" si="78">AE37-Z38</f>
        <v>-131</v>
      </c>
      <c r="AF38" s="220">
        <f t="shared" ref="AF38:AF101" si="79">AF37-AA38</f>
        <v>-209</v>
      </c>
      <c r="AG38" s="220">
        <f t="shared" ref="AG38:AG101" si="80">AG37-AB38</f>
        <v>-209</v>
      </c>
      <c r="AH38" s="220">
        <f t="shared" ref="AH38:AH101" si="81">AH37-AC38</f>
        <v>-167</v>
      </c>
      <c r="AI38" s="220">
        <f t="shared" ref="AI38:AI101" si="82">AI37-AD38</f>
        <v>-142</v>
      </c>
      <c r="AJ38" s="50">
        <f t="shared" si="47"/>
        <v>2.648000000000001</v>
      </c>
      <c r="AK38" s="257"/>
      <c r="AL38" s="257">
        <f t="shared" si="48"/>
        <v>1.2</v>
      </c>
      <c r="AM38" s="52"/>
      <c r="AN38" s="88"/>
    </row>
    <row r="39" spans="1:40" s="29" customFormat="1" ht="17.25" customHeight="1">
      <c r="A39" s="48">
        <v>68</v>
      </c>
      <c r="B39" s="49">
        <f t="shared" si="64"/>
        <v>45582</v>
      </c>
      <c r="C39" s="220">
        <f t="shared" si="65"/>
        <v>1049</v>
      </c>
      <c r="D39" s="220">
        <f t="shared" ref="D39" si="83">D38+26</f>
        <v>2143</v>
      </c>
      <c r="E39" s="220">
        <f t="shared" si="67"/>
        <v>3192</v>
      </c>
      <c r="F39" s="220">
        <f t="shared" si="55"/>
        <v>676</v>
      </c>
      <c r="G39" s="220">
        <f t="shared" si="56"/>
        <v>823</v>
      </c>
      <c r="H39" s="220">
        <f t="shared" si="57"/>
        <v>947</v>
      </c>
      <c r="I39" s="220">
        <f t="shared" si="58"/>
        <v>867</v>
      </c>
      <c r="J39" s="220">
        <f t="shared" si="59"/>
        <v>774</v>
      </c>
      <c r="K39" s="220">
        <f t="shared" si="60"/>
        <v>2516</v>
      </c>
      <c r="L39" s="220">
        <f t="shared" si="61"/>
        <v>2369</v>
      </c>
      <c r="M39" s="220">
        <f t="shared" si="62"/>
        <v>2245</v>
      </c>
      <c r="N39" s="220">
        <f t="shared" si="63"/>
        <v>2325</v>
      </c>
      <c r="O39" s="220">
        <f t="shared" si="63"/>
        <v>2418</v>
      </c>
      <c r="P39" s="220">
        <f t="shared" si="68"/>
        <v>2000</v>
      </c>
      <c r="Q39" s="220">
        <f t="shared" si="69"/>
        <v>2000</v>
      </c>
      <c r="R39" s="220">
        <f t="shared" si="70"/>
        <v>2000</v>
      </c>
      <c r="S39" s="220">
        <f t="shared" si="71"/>
        <v>2000</v>
      </c>
      <c r="T39" s="220">
        <f t="shared" si="72"/>
        <v>2000</v>
      </c>
      <c r="U39" s="220">
        <f t="shared" si="73"/>
        <v>516</v>
      </c>
      <c r="V39" s="220">
        <f t="shared" si="74"/>
        <v>369</v>
      </c>
      <c r="W39" s="220">
        <f t="shared" si="75"/>
        <v>245</v>
      </c>
      <c r="X39" s="220">
        <f t="shared" si="76"/>
        <v>325</v>
      </c>
      <c r="Y39" s="220">
        <f t="shared" si="77"/>
        <v>418</v>
      </c>
      <c r="Z39" s="220">
        <v>6</v>
      </c>
      <c r="AA39" s="220">
        <v>5</v>
      </c>
      <c r="AB39" s="220">
        <v>7</v>
      </c>
      <c r="AC39" s="220">
        <v>2</v>
      </c>
      <c r="AD39" s="220">
        <v>3</v>
      </c>
      <c r="AE39" s="220">
        <f t="shared" si="78"/>
        <v>-137</v>
      </c>
      <c r="AF39" s="220">
        <f t="shared" si="79"/>
        <v>-214</v>
      </c>
      <c r="AG39" s="220">
        <f t="shared" si="80"/>
        <v>-216</v>
      </c>
      <c r="AH39" s="220">
        <f t="shared" si="81"/>
        <v>-169</v>
      </c>
      <c r="AI39" s="220">
        <f t="shared" si="82"/>
        <v>-145</v>
      </c>
      <c r="AJ39" s="50">
        <f t="shared" si="47"/>
        <v>2.6410000000000009</v>
      </c>
      <c r="AK39" s="257"/>
      <c r="AL39" s="257">
        <f t="shared" si="48"/>
        <v>1.2</v>
      </c>
      <c r="AM39" s="52"/>
      <c r="AN39" s="88"/>
    </row>
    <row r="40" spans="1:40" s="29" customFormat="1" ht="17.25" customHeight="1">
      <c r="A40" s="48">
        <v>69</v>
      </c>
      <c r="B40" s="49">
        <f t="shared" si="64"/>
        <v>45583</v>
      </c>
      <c r="C40" s="220">
        <f t="shared" si="65"/>
        <v>1049</v>
      </c>
      <c r="D40" s="220">
        <f t="shared" ref="D40" si="84">D39+32</f>
        <v>2175</v>
      </c>
      <c r="E40" s="220">
        <f t="shared" si="67"/>
        <v>3224</v>
      </c>
      <c r="F40" s="220">
        <f t="shared" si="55"/>
        <v>713</v>
      </c>
      <c r="G40" s="220">
        <f t="shared" si="56"/>
        <v>860</v>
      </c>
      <c r="H40" s="220">
        <f t="shared" si="57"/>
        <v>986</v>
      </c>
      <c r="I40" s="220">
        <f t="shared" si="58"/>
        <v>901</v>
      </c>
      <c r="J40" s="220">
        <f t="shared" si="59"/>
        <v>810</v>
      </c>
      <c r="K40" s="220">
        <f t="shared" si="60"/>
        <v>2511</v>
      </c>
      <c r="L40" s="220">
        <f t="shared" si="61"/>
        <v>2364</v>
      </c>
      <c r="M40" s="220">
        <f t="shared" si="62"/>
        <v>2238</v>
      </c>
      <c r="N40" s="220">
        <f t="shared" si="63"/>
        <v>2323</v>
      </c>
      <c r="O40" s="220">
        <f t="shared" si="63"/>
        <v>2414</v>
      </c>
      <c r="P40" s="220">
        <f t="shared" si="68"/>
        <v>2000</v>
      </c>
      <c r="Q40" s="220">
        <f t="shared" si="69"/>
        <v>2000</v>
      </c>
      <c r="R40" s="220">
        <f t="shared" si="70"/>
        <v>2000</v>
      </c>
      <c r="S40" s="220">
        <f t="shared" si="71"/>
        <v>2000</v>
      </c>
      <c r="T40" s="220">
        <f t="shared" si="72"/>
        <v>2000</v>
      </c>
      <c r="U40" s="220">
        <f t="shared" si="73"/>
        <v>511</v>
      </c>
      <c r="V40" s="220">
        <f t="shared" si="74"/>
        <v>364</v>
      </c>
      <c r="W40" s="220">
        <f t="shared" si="75"/>
        <v>238</v>
      </c>
      <c r="X40" s="220">
        <f t="shared" si="76"/>
        <v>323</v>
      </c>
      <c r="Y40" s="220">
        <f t="shared" si="77"/>
        <v>414</v>
      </c>
      <c r="Z40" s="220">
        <v>5</v>
      </c>
      <c r="AA40" s="220">
        <v>5</v>
      </c>
      <c r="AB40" s="220">
        <v>7</v>
      </c>
      <c r="AC40" s="220">
        <v>2</v>
      </c>
      <c r="AD40" s="220">
        <v>4</v>
      </c>
      <c r="AE40" s="220">
        <f t="shared" si="78"/>
        <v>-142</v>
      </c>
      <c r="AF40" s="220">
        <f t="shared" si="79"/>
        <v>-219</v>
      </c>
      <c r="AG40" s="220">
        <f t="shared" si="80"/>
        <v>-223</v>
      </c>
      <c r="AH40" s="220">
        <f t="shared" si="81"/>
        <v>-171</v>
      </c>
      <c r="AI40" s="220">
        <f t="shared" si="82"/>
        <v>-149</v>
      </c>
      <c r="AJ40" s="50">
        <f t="shared" si="47"/>
        <v>2.6340000000000008</v>
      </c>
      <c r="AK40" s="257"/>
      <c r="AL40" s="257">
        <f t="shared" si="48"/>
        <v>1.2</v>
      </c>
      <c r="AM40" s="52"/>
      <c r="AN40" s="88"/>
    </row>
    <row r="41" spans="1:40" s="29" customFormat="1" ht="17.25" customHeight="1">
      <c r="A41" s="48">
        <v>70</v>
      </c>
      <c r="B41" s="49">
        <f t="shared" si="64"/>
        <v>45584</v>
      </c>
      <c r="C41" s="220">
        <f t="shared" si="65"/>
        <v>1049</v>
      </c>
      <c r="D41" s="220">
        <f t="shared" ref="D41" si="85">D40-18</f>
        <v>2157</v>
      </c>
      <c r="E41" s="220">
        <f t="shared" si="67"/>
        <v>3206</v>
      </c>
      <c r="F41" s="220">
        <f t="shared" si="55"/>
        <v>699</v>
      </c>
      <c r="G41" s="220">
        <f t="shared" si="56"/>
        <v>847</v>
      </c>
      <c r="H41" s="220">
        <f t="shared" si="57"/>
        <v>976</v>
      </c>
      <c r="I41" s="220">
        <f t="shared" si="58"/>
        <v>884</v>
      </c>
      <c r="J41" s="220">
        <f t="shared" si="59"/>
        <v>795</v>
      </c>
      <c r="K41" s="220">
        <f t="shared" si="60"/>
        <v>2507</v>
      </c>
      <c r="L41" s="220">
        <f t="shared" si="61"/>
        <v>2359</v>
      </c>
      <c r="M41" s="220">
        <f t="shared" si="62"/>
        <v>2230</v>
      </c>
      <c r="N41" s="220">
        <f t="shared" si="63"/>
        <v>2322</v>
      </c>
      <c r="O41" s="220">
        <f t="shared" si="63"/>
        <v>2411</v>
      </c>
      <c r="P41" s="220">
        <f t="shared" si="68"/>
        <v>2000</v>
      </c>
      <c r="Q41" s="220">
        <f t="shared" si="69"/>
        <v>2000</v>
      </c>
      <c r="R41" s="220">
        <f t="shared" si="70"/>
        <v>2000</v>
      </c>
      <c r="S41" s="220">
        <f t="shared" si="71"/>
        <v>2000</v>
      </c>
      <c r="T41" s="220">
        <f t="shared" si="72"/>
        <v>2000</v>
      </c>
      <c r="U41" s="220">
        <f t="shared" si="73"/>
        <v>507</v>
      </c>
      <c r="V41" s="220">
        <f t="shared" si="74"/>
        <v>359</v>
      </c>
      <c r="W41" s="220">
        <f t="shared" si="75"/>
        <v>230</v>
      </c>
      <c r="X41" s="220">
        <f t="shared" si="76"/>
        <v>322</v>
      </c>
      <c r="Y41" s="220">
        <f t="shared" si="77"/>
        <v>411</v>
      </c>
      <c r="Z41" s="220">
        <v>4</v>
      </c>
      <c r="AA41" s="220">
        <v>5</v>
      </c>
      <c r="AB41" s="220">
        <v>8</v>
      </c>
      <c r="AC41" s="220">
        <v>1</v>
      </c>
      <c r="AD41" s="220">
        <v>3</v>
      </c>
      <c r="AE41" s="220">
        <f t="shared" si="78"/>
        <v>-146</v>
      </c>
      <c r="AF41" s="220">
        <f t="shared" si="79"/>
        <v>-224</v>
      </c>
      <c r="AG41" s="220">
        <f t="shared" si="80"/>
        <v>-231</v>
      </c>
      <c r="AH41" s="220">
        <f t="shared" si="81"/>
        <v>-172</v>
      </c>
      <c r="AI41" s="220">
        <f t="shared" si="82"/>
        <v>-152</v>
      </c>
      <c r="AJ41" s="50">
        <f t="shared" si="47"/>
        <v>2.6260000000000008</v>
      </c>
      <c r="AK41" s="257"/>
      <c r="AL41" s="257">
        <f t="shared" si="48"/>
        <v>1.2</v>
      </c>
      <c r="AM41" s="52"/>
      <c r="AN41" s="88"/>
    </row>
    <row r="42" spans="1:40" s="29" customFormat="1" ht="17.25" customHeight="1">
      <c r="A42" s="48">
        <v>71</v>
      </c>
      <c r="B42" s="49">
        <f t="shared" si="64"/>
        <v>45585</v>
      </c>
      <c r="C42" s="220">
        <f t="shared" si="65"/>
        <v>1049</v>
      </c>
      <c r="D42" s="220">
        <f t="shared" ref="D42" si="86">D41-26</f>
        <v>2131</v>
      </c>
      <c r="E42" s="220">
        <f t="shared" si="67"/>
        <v>3180</v>
      </c>
      <c r="F42" s="220">
        <f t="shared" si="55"/>
        <v>677</v>
      </c>
      <c r="G42" s="220">
        <f t="shared" si="56"/>
        <v>826</v>
      </c>
      <c r="H42" s="220">
        <f t="shared" si="57"/>
        <v>957</v>
      </c>
      <c r="I42" s="220">
        <f t="shared" si="58"/>
        <v>859</v>
      </c>
      <c r="J42" s="220">
        <f t="shared" si="59"/>
        <v>771</v>
      </c>
      <c r="K42" s="220">
        <f t="shared" si="60"/>
        <v>2503</v>
      </c>
      <c r="L42" s="220">
        <f t="shared" si="61"/>
        <v>2354</v>
      </c>
      <c r="M42" s="220">
        <f t="shared" si="62"/>
        <v>2223</v>
      </c>
      <c r="N42" s="220">
        <f t="shared" si="63"/>
        <v>2321</v>
      </c>
      <c r="O42" s="220">
        <f t="shared" si="63"/>
        <v>2409</v>
      </c>
      <c r="P42" s="220">
        <f t="shared" si="68"/>
        <v>2000</v>
      </c>
      <c r="Q42" s="220">
        <f t="shared" si="69"/>
        <v>2000</v>
      </c>
      <c r="R42" s="220">
        <f t="shared" si="70"/>
        <v>2000</v>
      </c>
      <c r="S42" s="220">
        <f t="shared" si="71"/>
        <v>2000</v>
      </c>
      <c r="T42" s="220">
        <f t="shared" si="72"/>
        <v>2000</v>
      </c>
      <c r="U42" s="220">
        <f t="shared" si="73"/>
        <v>503</v>
      </c>
      <c r="V42" s="220">
        <f t="shared" si="74"/>
        <v>354</v>
      </c>
      <c r="W42" s="220">
        <f t="shared" si="75"/>
        <v>223</v>
      </c>
      <c r="X42" s="220">
        <f t="shared" si="76"/>
        <v>321</v>
      </c>
      <c r="Y42" s="220">
        <f t="shared" si="77"/>
        <v>409</v>
      </c>
      <c r="Z42" s="220">
        <v>4</v>
      </c>
      <c r="AA42" s="220">
        <v>5</v>
      </c>
      <c r="AB42" s="220">
        <v>7</v>
      </c>
      <c r="AC42" s="220">
        <v>1</v>
      </c>
      <c r="AD42" s="220">
        <v>2</v>
      </c>
      <c r="AE42" s="220">
        <f t="shared" si="78"/>
        <v>-150</v>
      </c>
      <c r="AF42" s="220">
        <f t="shared" si="79"/>
        <v>-229</v>
      </c>
      <c r="AG42" s="220">
        <f t="shared" si="80"/>
        <v>-238</v>
      </c>
      <c r="AH42" s="220">
        <f t="shared" si="81"/>
        <v>-173</v>
      </c>
      <c r="AI42" s="220">
        <f t="shared" si="82"/>
        <v>-154</v>
      </c>
      <c r="AJ42" s="50">
        <f t="shared" si="47"/>
        <v>2.6190000000000007</v>
      </c>
      <c r="AK42" s="257"/>
      <c r="AL42" s="257">
        <f t="shared" si="48"/>
        <v>1.2</v>
      </c>
      <c r="AM42" s="52"/>
      <c r="AN42" s="88"/>
    </row>
    <row r="43" spans="1:40" s="29" customFormat="1" ht="17.25" customHeight="1">
      <c r="A43" s="48">
        <v>72</v>
      </c>
      <c r="B43" s="49">
        <f t="shared" si="64"/>
        <v>45586</v>
      </c>
      <c r="C43" s="220">
        <f t="shared" si="65"/>
        <v>1049</v>
      </c>
      <c r="D43" s="220">
        <f t="shared" ref="D43" si="87">D42+15</f>
        <v>2146</v>
      </c>
      <c r="E43" s="220">
        <f t="shared" si="67"/>
        <v>3195</v>
      </c>
      <c r="F43" s="220">
        <f t="shared" si="55"/>
        <v>695</v>
      </c>
      <c r="G43" s="220">
        <f t="shared" si="56"/>
        <v>846</v>
      </c>
      <c r="H43" s="220">
        <f t="shared" si="57"/>
        <v>978</v>
      </c>
      <c r="I43" s="220">
        <f t="shared" si="58"/>
        <v>875</v>
      </c>
      <c r="J43" s="220">
        <f t="shared" si="59"/>
        <v>788</v>
      </c>
      <c r="K43" s="220">
        <f t="shared" si="60"/>
        <v>2500</v>
      </c>
      <c r="L43" s="220">
        <f t="shared" si="61"/>
        <v>2349</v>
      </c>
      <c r="M43" s="220">
        <f t="shared" si="62"/>
        <v>2217</v>
      </c>
      <c r="N43" s="220">
        <f t="shared" si="63"/>
        <v>2320</v>
      </c>
      <c r="O43" s="220">
        <f t="shared" si="63"/>
        <v>2407</v>
      </c>
      <c r="P43" s="220">
        <f t="shared" si="68"/>
        <v>2000</v>
      </c>
      <c r="Q43" s="220">
        <f t="shared" si="69"/>
        <v>2000</v>
      </c>
      <c r="R43" s="220">
        <f t="shared" si="70"/>
        <v>2000</v>
      </c>
      <c r="S43" s="220">
        <f t="shared" si="71"/>
        <v>2000</v>
      </c>
      <c r="T43" s="220">
        <f t="shared" si="72"/>
        <v>2000</v>
      </c>
      <c r="U43" s="220">
        <f t="shared" si="73"/>
        <v>500</v>
      </c>
      <c r="V43" s="220">
        <f t="shared" si="74"/>
        <v>349</v>
      </c>
      <c r="W43" s="220">
        <f t="shared" si="75"/>
        <v>217</v>
      </c>
      <c r="X43" s="220">
        <f t="shared" si="76"/>
        <v>320</v>
      </c>
      <c r="Y43" s="220">
        <f t="shared" si="77"/>
        <v>407</v>
      </c>
      <c r="Z43" s="220">
        <v>3</v>
      </c>
      <c r="AA43" s="220">
        <v>5</v>
      </c>
      <c r="AB43" s="220">
        <v>6</v>
      </c>
      <c r="AC43" s="220">
        <v>1</v>
      </c>
      <c r="AD43" s="220">
        <v>2</v>
      </c>
      <c r="AE43" s="220">
        <f t="shared" si="78"/>
        <v>-153</v>
      </c>
      <c r="AF43" s="220">
        <f t="shared" si="79"/>
        <v>-234</v>
      </c>
      <c r="AG43" s="220">
        <f t="shared" si="80"/>
        <v>-244</v>
      </c>
      <c r="AH43" s="220">
        <f t="shared" si="81"/>
        <v>-174</v>
      </c>
      <c r="AI43" s="220">
        <f t="shared" si="82"/>
        <v>-156</v>
      </c>
      <c r="AJ43" s="50">
        <f t="shared" si="47"/>
        <v>2.6130000000000009</v>
      </c>
      <c r="AK43" s="257"/>
      <c r="AL43" s="257">
        <f t="shared" si="48"/>
        <v>1.2</v>
      </c>
      <c r="AM43" s="52"/>
      <c r="AN43" s="88"/>
    </row>
    <row r="44" spans="1:40" s="29" customFormat="1" ht="17.25" customHeight="1">
      <c r="A44" s="48">
        <v>73</v>
      </c>
      <c r="B44" s="49">
        <f t="shared" si="64"/>
        <v>45587</v>
      </c>
      <c r="C44" s="220">
        <f t="shared" si="65"/>
        <v>1049</v>
      </c>
      <c r="D44" s="220">
        <f t="shared" ref="D44" si="88">D43+26</f>
        <v>2172</v>
      </c>
      <c r="E44" s="220">
        <f t="shared" si="67"/>
        <v>3221</v>
      </c>
      <c r="F44" s="220">
        <f t="shared" si="55"/>
        <v>724</v>
      </c>
      <c r="G44" s="220">
        <f t="shared" si="56"/>
        <v>876</v>
      </c>
      <c r="H44" s="220">
        <f t="shared" si="57"/>
        <v>1012</v>
      </c>
      <c r="I44" s="220">
        <f t="shared" si="58"/>
        <v>902</v>
      </c>
      <c r="J44" s="220">
        <f t="shared" si="59"/>
        <v>816</v>
      </c>
      <c r="K44" s="220">
        <f t="shared" si="60"/>
        <v>2497</v>
      </c>
      <c r="L44" s="220">
        <f t="shared" si="61"/>
        <v>2345</v>
      </c>
      <c r="M44" s="220">
        <f t="shared" si="62"/>
        <v>2209</v>
      </c>
      <c r="N44" s="220">
        <f t="shared" si="63"/>
        <v>2319</v>
      </c>
      <c r="O44" s="220">
        <f t="shared" si="63"/>
        <v>2405</v>
      </c>
      <c r="P44" s="220">
        <f t="shared" si="68"/>
        <v>2000</v>
      </c>
      <c r="Q44" s="220">
        <f t="shared" si="69"/>
        <v>2000</v>
      </c>
      <c r="R44" s="220">
        <f t="shared" si="70"/>
        <v>2000</v>
      </c>
      <c r="S44" s="220">
        <f t="shared" si="71"/>
        <v>2000</v>
      </c>
      <c r="T44" s="220">
        <f t="shared" si="72"/>
        <v>2000</v>
      </c>
      <c r="U44" s="220">
        <f t="shared" si="73"/>
        <v>497</v>
      </c>
      <c r="V44" s="220">
        <f t="shared" si="74"/>
        <v>345</v>
      </c>
      <c r="W44" s="220">
        <f t="shared" si="75"/>
        <v>209</v>
      </c>
      <c r="X44" s="220">
        <f t="shared" si="76"/>
        <v>319</v>
      </c>
      <c r="Y44" s="220">
        <f t="shared" si="77"/>
        <v>405</v>
      </c>
      <c r="Z44" s="220">
        <v>3</v>
      </c>
      <c r="AA44" s="220">
        <v>4</v>
      </c>
      <c r="AB44" s="220">
        <v>8</v>
      </c>
      <c r="AC44" s="220">
        <v>1</v>
      </c>
      <c r="AD44" s="220">
        <v>2</v>
      </c>
      <c r="AE44" s="220">
        <f t="shared" si="78"/>
        <v>-156</v>
      </c>
      <c r="AF44" s="220">
        <f t="shared" si="79"/>
        <v>-238</v>
      </c>
      <c r="AG44" s="220">
        <f t="shared" si="80"/>
        <v>-252</v>
      </c>
      <c r="AH44" s="220">
        <f t="shared" si="81"/>
        <v>-175</v>
      </c>
      <c r="AI44" s="220">
        <f t="shared" si="82"/>
        <v>-158</v>
      </c>
      <c r="AJ44" s="50">
        <f t="shared" si="47"/>
        <v>2.6050000000000009</v>
      </c>
      <c r="AK44" s="257"/>
      <c r="AL44" s="257">
        <f t="shared" si="48"/>
        <v>1.2</v>
      </c>
      <c r="AM44" s="52"/>
      <c r="AN44" s="88"/>
    </row>
    <row r="45" spans="1:40" s="29" customFormat="1" ht="17.25" customHeight="1">
      <c r="A45" s="48">
        <v>74</v>
      </c>
      <c r="B45" s="49">
        <f t="shared" si="64"/>
        <v>45588</v>
      </c>
      <c r="C45" s="220">
        <f t="shared" si="65"/>
        <v>1049</v>
      </c>
      <c r="D45" s="220">
        <f t="shared" ref="D45" si="89">D44+32</f>
        <v>2204</v>
      </c>
      <c r="E45" s="220">
        <f t="shared" si="67"/>
        <v>3253</v>
      </c>
      <c r="F45" s="220">
        <f t="shared" si="55"/>
        <v>759</v>
      </c>
      <c r="G45" s="220">
        <f t="shared" si="56"/>
        <v>912</v>
      </c>
      <c r="H45" s="220">
        <f t="shared" si="57"/>
        <v>1051</v>
      </c>
      <c r="I45" s="220">
        <f t="shared" si="58"/>
        <v>935</v>
      </c>
      <c r="J45" s="220">
        <f t="shared" si="59"/>
        <v>850</v>
      </c>
      <c r="K45" s="220">
        <f t="shared" si="60"/>
        <v>2494</v>
      </c>
      <c r="L45" s="220">
        <f t="shared" si="61"/>
        <v>2341</v>
      </c>
      <c r="M45" s="220">
        <f t="shared" si="62"/>
        <v>2202</v>
      </c>
      <c r="N45" s="220">
        <f t="shared" si="63"/>
        <v>2318</v>
      </c>
      <c r="O45" s="220">
        <f t="shared" si="63"/>
        <v>2403</v>
      </c>
      <c r="P45" s="220">
        <f t="shared" si="68"/>
        <v>2000</v>
      </c>
      <c r="Q45" s="220">
        <f t="shared" si="69"/>
        <v>2000</v>
      </c>
      <c r="R45" s="220">
        <f t="shared" si="70"/>
        <v>2000</v>
      </c>
      <c r="S45" s="220">
        <f t="shared" si="71"/>
        <v>2000</v>
      </c>
      <c r="T45" s="220">
        <f t="shared" si="72"/>
        <v>2000</v>
      </c>
      <c r="U45" s="220">
        <f t="shared" si="73"/>
        <v>494</v>
      </c>
      <c r="V45" s="220">
        <f t="shared" si="74"/>
        <v>341</v>
      </c>
      <c r="W45" s="220">
        <f t="shared" si="75"/>
        <v>202</v>
      </c>
      <c r="X45" s="220">
        <f t="shared" si="76"/>
        <v>318</v>
      </c>
      <c r="Y45" s="220">
        <f t="shared" si="77"/>
        <v>403</v>
      </c>
      <c r="Z45" s="220">
        <v>3</v>
      </c>
      <c r="AA45" s="220">
        <v>4</v>
      </c>
      <c r="AB45" s="220">
        <v>7</v>
      </c>
      <c r="AC45" s="220">
        <v>1</v>
      </c>
      <c r="AD45" s="220">
        <v>2</v>
      </c>
      <c r="AE45" s="220">
        <f t="shared" si="78"/>
        <v>-159</v>
      </c>
      <c r="AF45" s="220">
        <f t="shared" si="79"/>
        <v>-242</v>
      </c>
      <c r="AG45" s="220">
        <f t="shared" si="80"/>
        <v>-259</v>
      </c>
      <c r="AH45" s="220">
        <f t="shared" si="81"/>
        <v>-176</v>
      </c>
      <c r="AI45" s="220">
        <f t="shared" si="82"/>
        <v>-160</v>
      </c>
      <c r="AJ45" s="50">
        <f t="shared" si="47"/>
        <v>2.5980000000000008</v>
      </c>
      <c r="AK45" s="257"/>
      <c r="AL45" s="257">
        <f t="shared" si="48"/>
        <v>1.2</v>
      </c>
      <c r="AM45" s="52"/>
      <c r="AN45" s="88"/>
    </row>
    <row r="46" spans="1:40" s="29" customFormat="1" ht="17.25" customHeight="1">
      <c r="A46" s="48">
        <v>75</v>
      </c>
      <c r="B46" s="49">
        <f t="shared" si="64"/>
        <v>45589</v>
      </c>
      <c r="C46" s="220">
        <f t="shared" si="65"/>
        <v>1049</v>
      </c>
      <c r="D46" s="220">
        <f t="shared" ref="D46" si="90">D45-18</f>
        <v>2186</v>
      </c>
      <c r="E46" s="220">
        <f t="shared" si="67"/>
        <v>3235</v>
      </c>
      <c r="F46" s="220">
        <f t="shared" si="55"/>
        <v>743</v>
      </c>
      <c r="G46" s="220">
        <f t="shared" si="56"/>
        <v>897</v>
      </c>
      <c r="H46" s="220">
        <f t="shared" si="57"/>
        <v>1040</v>
      </c>
      <c r="I46" s="220">
        <f t="shared" si="58"/>
        <v>918</v>
      </c>
      <c r="J46" s="220">
        <f t="shared" si="59"/>
        <v>833</v>
      </c>
      <c r="K46" s="220">
        <f t="shared" si="60"/>
        <v>2492</v>
      </c>
      <c r="L46" s="220">
        <f t="shared" si="61"/>
        <v>2338</v>
      </c>
      <c r="M46" s="220">
        <f t="shared" si="62"/>
        <v>2195</v>
      </c>
      <c r="N46" s="220">
        <f t="shared" si="63"/>
        <v>2317</v>
      </c>
      <c r="O46" s="220">
        <f t="shared" si="63"/>
        <v>2402</v>
      </c>
      <c r="P46" s="220">
        <f t="shared" si="68"/>
        <v>2000</v>
      </c>
      <c r="Q46" s="220">
        <f t="shared" si="69"/>
        <v>2000</v>
      </c>
      <c r="R46" s="220">
        <f t="shared" si="70"/>
        <v>2000</v>
      </c>
      <c r="S46" s="220">
        <f t="shared" si="71"/>
        <v>2000</v>
      </c>
      <c r="T46" s="220">
        <f t="shared" si="72"/>
        <v>2000</v>
      </c>
      <c r="U46" s="220">
        <f t="shared" si="73"/>
        <v>492</v>
      </c>
      <c r="V46" s="220">
        <f t="shared" si="74"/>
        <v>338</v>
      </c>
      <c r="W46" s="220">
        <f t="shared" si="75"/>
        <v>195</v>
      </c>
      <c r="X46" s="220">
        <f t="shared" si="76"/>
        <v>317</v>
      </c>
      <c r="Y46" s="220">
        <f t="shared" si="77"/>
        <v>402</v>
      </c>
      <c r="Z46" s="220">
        <v>2</v>
      </c>
      <c r="AA46" s="220">
        <v>3</v>
      </c>
      <c r="AB46" s="220">
        <v>7</v>
      </c>
      <c r="AC46" s="220">
        <v>1</v>
      </c>
      <c r="AD46" s="220">
        <v>1</v>
      </c>
      <c r="AE46" s="220">
        <f t="shared" si="78"/>
        <v>-161</v>
      </c>
      <c r="AF46" s="220">
        <f t="shared" si="79"/>
        <v>-245</v>
      </c>
      <c r="AG46" s="220">
        <f t="shared" si="80"/>
        <v>-266</v>
      </c>
      <c r="AH46" s="220">
        <f t="shared" si="81"/>
        <v>-177</v>
      </c>
      <c r="AI46" s="220">
        <f t="shared" si="82"/>
        <v>-161</v>
      </c>
      <c r="AJ46" s="50">
        <f t="shared" si="47"/>
        <v>2.5910000000000006</v>
      </c>
      <c r="AK46" s="257"/>
      <c r="AL46" s="257">
        <f t="shared" si="48"/>
        <v>1.2</v>
      </c>
      <c r="AM46" s="52"/>
      <c r="AN46" s="88"/>
    </row>
    <row r="47" spans="1:40" s="29" customFormat="1" ht="17.25" customHeight="1">
      <c r="A47" s="48">
        <v>76</v>
      </c>
      <c r="B47" s="49">
        <f t="shared" si="64"/>
        <v>45590</v>
      </c>
      <c r="C47" s="220">
        <f t="shared" si="65"/>
        <v>1049</v>
      </c>
      <c r="D47" s="220">
        <f t="shared" ref="D47" si="91">D46-26</f>
        <v>2160</v>
      </c>
      <c r="E47" s="220">
        <f t="shared" si="67"/>
        <v>3209</v>
      </c>
      <c r="F47" s="220">
        <f t="shared" si="55"/>
        <v>719</v>
      </c>
      <c r="G47" s="220">
        <f t="shared" si="56"/>
        <v>874</v>
      </c>
      <c r="H47" s="220">
        <f t="shared" si="57"/>
        <v>1021</v>
      </c>
      <c r="I47" s="220">
        <f t="shared" si="58"/>
        <v>893</v>
      </c>
      <c r="J47" s="220">
        <f t="shared" si="59"/>
        <v>808</v>
      </c>
      <c r="K47" s="220">
        <f t="shared" si="60"/>
        <v>2490</v>
      </c>
      <c r="L47" s="220">
        <f t="shared" si="61"/>
        <v>2335</v>
      </c>
      <c r="M47" s="220">
        <f t="shared" si="62"/>
        <v>2188</v>
      </c>
      <c r="N47" s="220">
        <f t="shared" si="63"/>
        <v>2316</v>
      </c>
      <c r="O47" s="220">
        <f t="shared" si="63"/>
        <v>2401</v>
      </c>
      <c r="P47" s="220">
        <f t="shared" si="68"/>
        <v>2000</v>
      </c>
      <c r="Q47" s="220">
        <f t="shared" si="69"/>
        <v>2000</v>
      </c>
      <c r="R47" s="220">
        <f t="shared" si="70"/>
        <v>2000</v>
      </c>
      <c r="S47" s="220">
        <f t="shared" si="71"/>
        <v>2000</v>
      </c>
      <c r="T47" s="220">
        <f t="shared" si="72"/>
        <v>2000</v>
      </c>
      <c r="U47" s="220">
        <f t="shared" si="73"/>
        <v>490</v>
      </c>
      <c r="V47" s="220">
        <f t="shared" si="74"/>
        <v>335</v>
      </c>
      <c r="W47" s="220">
        <f t="shared" si="75"/>
        <v>188</v>
      </c>
      <c r="X47" s="220">
        <f t="shared" si="76"/>
        <v>316</v>
      </c>
      <c r="Y47" s="220">
        <f t="shared" si="77"/>
        <v>401</v>
      </c>
      <c r="Z47" s="220">
        <v>2</v>
      </c>
      <c r="AA47" s="220">
        <v>3</v>
      </c>
      <c r="AB47" s="220">
        <v>7</v>
      </c>
      <c r="AC47" s="220">
        <v>1</v>
      </c>
      <c r="AD47" s="220">
        <v>1</v>
      </c>
      <c r="AE47" s="220">
        <f t="shared" si="78"/>
        <v>-163</v>
      </c>
      <c r="AF47" s="220">
        <f t="shared" si="79"/>
        <v>-248</v>
      </c>
      <c r="AG47" s="220">
        <f t="shared" si="80"/>
        <v>-273</v>
      </c>
      <c r="AH47" s="220">
        <f t="shared" si="81"/>
        <v>-178</v>
      </c>
      <c r="AI47" s="220">
        <f t="shared" si="82"/>
        <v>-162</v>
      </c>
      <c r="AJ47" s="50">
        <f t="shared" si="47"/>
        <v>2.5840000000000005</v>
      </c>
      <c r="AK47" s="257"/>
      <c r="AL47" s="257">
        <f t="shared" si="48"/>
        <v>1.2</v>
      </c>
      <c r="AM47" s="52"/>
      <c r="AN47" s="88"/>
    </row>
    <row r="48" spans="1:40" s="29" customFormat="1" ht="17.25" customHeight="1">
      <c r="A48" s="48">
        <v>77</v>
      </c>
      <c r="B48" s="49">
        <f t="shared" si="64"/>
        <v>45591</v>
      </c>
      <c r="C48" s="220">
        <f t="shared" si="65"/>
        <v>1049</v>
      </c>
      <c r="D48" s="220">
        <f t="shared" ref="D48" si="92">D47+15</f>
        <v>2175</v>
      </c>
      <c r="E48" s="220">
        <f t="shared" si="67"/>
        <v>3224</v>
      </c>
      <c r="F48" s="220">
        <f t="shared" si="55"/>
        <v>736</v>
      </c>
      <c r="G48" s="220">
        <f t="shared" si="56"/>
        <v>892</v>
      </c>
      <c r="H48" s="220">
        <f t="shared" si="57"/>
        <v>1044</v>
      </c>
      <c r="I48" s="220">
        <f t="shared" si="58"/>
        <v>908</v>
      </c>
      <c r="J48" s="220">
        <f t="shared" si="59"/>
        <v>824</v>
      </c>
      <c r="K48" s="220">
        <f t="shared" si="60"/>
        <v>2488</v>
      </c>
      <c r="L48" s="220">
        <f t="shared" si="61"/>
        <v>2332</v>
      </c>
      <c r="M48" s="220">
        <f t="shared" si="62"/>
        <v>2180</v>
      </c>
      <c r="N48" s="220">
        <f t="shared" si="63"/>
        <v>2316</v>
      </c>
      <c r="O48" s="220">
        <f t="shared" si="63"/>
        <v>2400</v>
      </c>
      <c r="P48" s="220">
        <f t="shared" si="68"/>
        <v>2000</v>
      </c>
      <c r="Q48" s="220">
        <f t="shared" si="69"/>
        <v>2000</v>
      </c>
      <c r="R48" s="220">
        <f t="shared" si="70"/>
        <v>2000</v>
      </c>
      <c r="S48" s="220">
        <f t="shared" si="71"/>
        <v>2000</v>
      </c>
      <c r="T48" s="220">
        <f t="shared" si="72"/>
        <v>2000</v>
      </c>
      <c r="U48" s="220">
        <f t="shared" si="73"/>
        <v>488</v>
      </c>
      <c r="V48" s="220">
        <f t="shared" si="74"/>
        <v>332</v>
      </c>
      <c r="W48" s="220">
        <f t="shared" si="75"/>
        <v>180</v>
      </c>
      <c r="X48" s="220">
        <f t="shared" si="76"/>
        <v>316</v>
      </c>
      <c r="Y48" s="220">
        <f t="shared" si="77"/>
        <v>400</v>
      </c>
      <c r="Z48" s="220">
        <v>2</v>
      </c>
      <c r="AA48" s="220">
        <v>3</v>
      </c>
      <c r="AB48" s="220">
        <v>8</v>
      </c>
      <c r="AC48" s="220">
        <v>0</v>
      </c>
      <c r="AD48" s="220">
        <v>1</v>
      </c>
      <c r="AE48" s="220">
        <f t="shared" si="78"/>
        <v>-165</v>
      </c>
      <c r="AF48" s="220">
        <f t="shared" si="79"/>
        <v>-251</v>
      </c>
      <c r="AG48" s="220">
        <f t="shared" si="80"/>
        <v>-281</v>
      </c>
      <c r="AH48" s="220">
        <f t="shared" si="81"/>
        <v>-178</v>
      </c>
      <c r="AI48" s="220">
        <f t="shared" si="82"/>
        <v>-163</v>
      </c>
      <c r="AJ48" s="50">
        <f t="shared" si="47"/>
        <v>2.5760000000000005</v>
      </c>
      <c r="AK48" s="257"/>
      <c r="AL48" s="257">
        <f t="shared" si="48"/>
        <v>1.2</v>
      </c>
      <c r="AM48" s="52"/>
      <c r="AN48" s="88"/>
    </row>
    <row r="49" spans="1:40" s="29" customFormat="1" ht="17.25" customHeight="1">
      <c r="A49" s="48">
        <v>78</v>
      </c>
      <c r="B49" s="49">
        <f t="shared" si="64"/>
        <v>45592</v>
      </c>
      <c r="C49" s="220">
        <f t="shared" si="65"/>
        <v>1049</v>
      </c>
      <c r="D49" s="220">
        <f t="shared" ref="D49" si="93">D48+26</f>
        <v>2201</v>
      </c>
      <c r="E49" s="220">
        <f t="shared" si="67"/>
        <v>3250</v>
      </c>
      <c r="F49" s="220">
        <f t="shared" si="55"/>
        <v>764</v>
      </c>
      <c r="G49" s="220">
        <f t="shared" si="56"/>
        <v>920</v>
      </c>
      <c r="H49" s="220">
        <f t="shared" si="57"/>
        <v>1077</v>
      </c>
      <c r="I49" s="220">
        <f t="shared" si="58"/>
        <v>934</v>
      </c>
      <c r="J49" s="220">
        <f t="shared" si="59"/>
        <v>851</v>
      </c>
      <c r="K49" s="220">
        <f t="shared" si="60"/>
        <v>2486</v>
      </c>
      <c r="L49" s="220">
        <f t="shared" si="61"/>
        <v>2330</v>
      </c>
      <c r="M49" s="220">
        <f t="shared" si="62"/>
        <v>2173</v>
      </c>
      <c r="N49" s="220">
        <f t="shared" si="63"/>
        <v>2316</v>
      </c>
      <c r="O49" s="220">
        <f t="shared" si="63"/>
        <v>2399</v>
      </c>
      <c r="P49" s="220">
        <f t="shared" si="68"/>
        <v>2000</v>
      </c>
      <c r="Q49" s="220">
        <f t="shared" si="69"/>
        <v>2000</v>
      </c>
      <c r="R49" s="220">
        <f t="shared" si="70"/>
        <v>2000</v>
      </c>
      <c r="S49" s="220">
        <f t="shared" si="71"/>
        <v>2000</v>
      </c>
      <c r="T49" s="220">
        <f t="shared" si="72"/>
        <v>2000</v>
      </c>
      <c r="U49" s="220">
        <f t="shared" si="73"/>
        <v>486</v>
      </c>
      <c r="V49" s="220">
        <f t="shared" si="74"/>
        <v>330</v>
      </c>
      <c r="W49" s="220">
        <f t="shared" si="75"/>
        <v>173</v>
      </c>
      <c r="X49" s="220">
        <f t="shared" si="76"/>
        <v>316</v>
      </c>
      <c r="Y49" s="220">
        <f t="shared" si="77"/>
        <v>399</v>
      </c>
      <c r="Z49" s="220">
        <v>2</v>
      </c>
      <c r="AA49" s="220">
        <v>2</v>
      </c>
      <c r="AB49" s="220">
        <v>7</v>
      </c>
      <c r="AC49" s="220">
        <v>0</v>
      </c>
      <c r="AD49" s="220">
        <v>1</v>
      </c>
      <c r="AE49" s="220">
        <f t="shared" si="78"/>
        <v>-167</v>
      </c>
      <c r="AF49" s="220">
        <f t="shared" si="79"/>
        <v>-253</v>
      </c>
      <c r="AG49" s="220">
        <f t="shared" si="80"/>
        <v>-288</v>
      </c>
      <c r="AH49" s="220">
        <f t="shared" si="81"/>
        <v>-178</v>
      </c>
      <c r="AI49" s="220">
        <f t="shared" si="82"/>
        <v>-164</v>
      </c>
      <c r="AJ49" s="50">
        <f t="shared" si="47"/>
        <v>2.5690000000000004</v>
      </c>
      <c r="AK49" s="257"/>
      <c r="AL49" s="257">
        <f t="shared" si="48"/>
        <v>1.2</v>
      </c>
      <c r="AM49" s="52"/>
      <c r="AN49" s="88"/>
    </row>
    <row r="50" spans="1:40" s="29" customFormat="1" ht="17.25" customHeight="1">
      <c r="A50" s="48">
        <v>79</v>
      </c>
      <c r="B50" s="49">
        <f t="shared" si="64"/>
        <v>45593</v>
      </c>
      <c r="C50" s="220">
        <f t="shared" si="65"/>
        <v>1049</v>
      </c>
      <c r="D50" s="220">
        <f t="shared" ref="D50" si="94">D49+32</f>
        <v>2233</v>
      </c>
      <c r="E50" s="220">
        <f t="shared" si="67"/>
        <v>3282</v>
      </c>
      <c r="F50" s="220">
        <f t="shared" si="55"/>
        <v>797</v>
      </c>
      <c r="G50" s="220">
        <f t="shared" si="56"/>
        <v>954</v>
      </c>
      <c r="H50" s="220">
        <f t="shared" si="57"/>
        <v>1115</v>
      </c>
      <c r="I50" s="220">
        <f t="shared" si="58"/>
        <v>971</v>
      </c>
      <c r="J50" s="220">
        <f t="shared" si="59"/>
        <v>884</v>
      </c>
      <c r="K50" s="220">
        <f t="shared" si="60"/>
        <v>2485</v>
      </c>
      <c r="L50" s="220">
        <f t="shared" si="61"/>
        <v>2328</v>
      </c>
      <c r="M50" s="220">
        <f t="shared" si="62"/>
        <v>2167</v>
      </c>
      <c r="N50" s="220">
        <f t="shared" si="63"/>
        <v>2311</v>
      </c>
      <c r="O50" s="220">
        <f t="shared" si="63"/>
        <v>2398</v>
      </c>
      <c r="P50" s="220">
        <f t="shared" si="68"/>
        <v>2000</v>
      </c>
      <c r="Q50" s="220">
        <f t="shared" si="69"/>
        <v>2000</v>
      </c>
      <c r="R50" s="220">
        <f t="shared" si="70"/>
        <v>2000</v>
      </c>
      <c r="S50" s="220">
        <f t="shared" si="71"/>
        <v>2000</v>
      </c>
      <c r="T50" s="220">
        <f t="shared" si="72"/>
        <v>2000</v>
      </c>
      <c r="U50" s="220">
        <f t="shared" si="73"/>
        <v>485</v>
      </c>
      <c r="V50" s="220">
        <f t="shared" si="74"/>
        <v>328</v>
      </c>
      <c r="W50" s="220">
        <f t="shared" si="75"/>
        <v>167</v>
      </c>
      <c r="X50" s="220">
        <f t="shared" si="76"/>
        <v>311</v>
      </c>
      <c r="Y50" s="220">
        <f t="shared" si="77"/>
        <v>398</v>
      </c>
      <c r="Z50" s="220">
        <v>1</v>
      </c>
      <c r="AA50" s="220">
        <v>2</v>
      </c>
      <c r="AB50" s="220">
        <v>6</v>
      </c>
      <c r="AC50" s="220">
        <v>5</v>
      </c>
      <c r="AD50" s="220">
        <v>1</v>
      </c>
      <c r="AE50" s="220">
        <f t="shared" si="78"/>
        <v>-168</v>
      </c>
      <c r="AF50" s="220">
        <f t="shared" si="79"/>
        <v>-255</v>
      </c>
      <c r="AG50" s="220">
        <f t="shared" si="80"/>
        <v>-294</v>
      </c>
      <c r="AH50" s="220">
        <f t="shared" si="81"/>
        <v>-183</v>
      </c>
      <c r="AI50" s="220">
        <f t="shared" si="82"/>
        <v>-165</v>
      </c>
      <c r="AJ50" s="50">
        <f t="shared" si="47"/>
        <v>2.5630000000000006</v>
      </c>
      <c r="AK50" s="257"/>
      <c r="AL50" s="257">
        <f t="shared" si="48"/>
        <v>1.2</v>
      </c>
      <c r="AM50" s="52"/>
      <c r="AN50" s="88"/>
    </row>
    <row r="51" spans="1:40" s="29" customFormat="1" ht="17.25" customHeight="1">
      <c r="A51" s="48">
        <v>80</v>
      </c>
      <c r="B51" s="49">
        <f t="shared" si="64"/>
        <v>45594</v>
      </c>
      <c r="C51" s="220">
        <f t="shared" si="65"/>
        <v>1049</v>
      </c>
      <c r="D51" s="220">
        <f t="shared" ref="D51" si="95">D50-18</f>
        <v>2215</v>
      </c>
      <c r="E51" s="220">
        <f t="shared" si="67"/>
        <v>3264</v>
      </c>
      <c r="F51" s="220">
        <f t="shared" si="55"/>
        <v>780</v>
      </c>
      <c r="G51" s="220">
        <f t="shared" si="56"/>
        <v>938</v>
      </c>
      <c r="H51" s="220">
        <f t="shared" si="57"/>
        <v>1105</v>
      </c>
      <c r="I51" s="220">
        <f t="shared" si="58"/>
        <v>958</v>
      </c>
      <c r="J51" s="220">
        <f t="shared" si="59"/>
        <v>867</v>
      </c>
      <c r="K51" s="220">
        <f t="shared" si="60"/>
        <v>2484</v>
      </c>
      <c r="L51" s="220">
        <f t="shared" si="61"/>
        <v>2326</v>
      </c>
      <c r="M51" s="220">
        <f t="shared" si="62"/>
        <v>2159</v>
      </c>
      <c r="N51" s="220">
        <f t="shared" si="63"/>
        <v>2306</v>
      </c>
      <c r="O51" s="220">
        <f t="shared" si="63"/>
        <v>2397</v>
      </c>
      <c r="P51" s="220">
        <f t="shared" si="68"/>
        <v>2000</v>
      </c>
      <c r="Q51" s="220">
        <f t="shared" si="69"/>
        <v>2000</v>
      </c>
      <c r="R51" s="220">
        <f t="shared" si="70"/>
        <v>2000</v>
      </c>
      <c r="S51" s="220">
        <f t="shared" si="71"/>
        <v>2000</v>
      </c>
      <c r="T51" s="220">
        <f t="shared" si="72"/>
        <v>2000</v>
      </c>
      <c r="U51" s="220">
        <f t="shared" si="73"/>
        <v>484</v>
      </c>
      <c r="V51" s="220">
        <f t="shared" si="74"/>
        <v>326</v>
      </c>
      <c r="W51" s="220">
        <f t="shared" si="75"/>
        <v>159</v>
      </c>
      <c r="X51" s="220">
        <f t="shared" si="76"/>
        <v>306</v>
      </c>
      <c r="Y51" s="220">
        <f t="shared" si="77"/>
        <v>397</v>
      </c>
      <c r="Z51" s="220">
        <v>1</v>
      </c>
      <c r="AA51" s="220">
        <v>2</v>
      </c>
      <c r="AB51" s="220">
        <v>8</v>
      </c>
      <c r="AC51" s="220">
        <v>5</v>
      </c>
      <c r="AD51" s="220">
        <v>1</v>
      </c>
      <c r="AE51" s="220">
        <f t="shared" si="78"/>
        <v>-169</v>
      </c>
      <c r="AF51" s="220">
        <f t="shared" si="79"/>
        <v>-257</v>
      </c>
      <c r="AG51" s="220">
        <f t="shared" si="80"/>
        <v>-302</v>
      </c>
      <c r="AH51" s="220">
        <f t="shared" si="81"/>
        <v>-188</v>
      </c>
      <c r="AI51" s="220">
        <f t="shared" si="82"/>
        <v>-166</v>
      </c>
      <c r="AJ51" s="50">
        <f t="shared" si="47"/>
        <v>2.5550000000000006</v>
      </c>
      <c r="AK51" s="257"/>
      <c r="AL51" s="257">
        <f t="shared" si="48"/>
        <v>1.2</v>
      </c>
      <c r="AM51" s="52"/>
      <c r="AN51" s="88"/>
    </row>
    <row r="52" spans="1:40" s="29" customFormat="1" ht="17.25" customHeight="1">
      <c r="A52" s="48">
        <v>81</v>
      </c>
      <c r="B52" s="49">
        <f t="shared" si="64"/>
        <v>45595</v>
      </c>
      <c r="C52" s="220">
        <f t="shared" si="65"/>
        <v>1049</v>
      </c>
      <c r="D52" s="220">
        <f t="shared" ref="D52" si="96">D51-26</f>
        <v>2189</v>
      </c>
      <c r="E52" s="220">
        <f t="shared" si="67"/>
        <v>3238</v>
      </c>
      <c r="F52" s="220">
        <f t="shared" si="55"/>
        <v>755</v>
      </c>
      <c r="G52" s="220">
        <f t="shared" si="56"/>
        <v>914</v>
      </c>
      <c r="H52" s="220">
        <f t="shared" si="57"/>
        <v>1086</v>
      </c>
      <c r="I52" s="220">
        <f t="shared" si="58"/>
        <v>937</v>
      </c>
      <c r="J52" s="220">
        <f t="shared" si="59"/>
        <v>842</v>
      </c>
      <c r="K52" s="220">
        <f t="shared" si="60"/>
        <v>2483</v>
      </c>
      <c r="L52" s="220">
        <f t="shared" si="61"/>
        <v>2324</v>
      </c>
      <c r="M52" s="220">
        <f t="shared" si="62"/>
        <v>2152</v>
      </c>
      <c r="N52" s="220">
        <f t="shared" si="63"/>
        <v>2301</v>
      </c>
      <c r="O52" s="220">
        <f t="shared" si="63"/>
        <v>2396</v>
      </c>
      <c r="P52" s="220">
        <f t="shared" si="68"/>
        <v>2000</v>
      </c>
      <c r="Q52" s="220">
        <f t="shared" si="69"/>
        <v>2000</v>
      </c>
      <c r="R52" s="220">
        <f t="shared" si="70"/>
        <v>2000</v>
      </c>
      <c r="S52" s="220">
        <f t="shared" si="71"/>
        <v>2000</v>
      </c>
      <c r="T52" s="220">
        <f t="shared" si="72"/>
        <v>2000</v>
      </c>
      <c r="U52" s="220">
        <f t="shared" si="73"/>
        <v>483</v>
      </c>
      <c r="V52" s="220">
        <f t="shared" si="74"/>
        <v>324</v>
      </c>
      <c r="W52" s="220">
        <f t="shared" si="75"/>
        <v>152</v>
      </c>
      <c r="X52" s="220">
        <f t="shared" si="76"/>
        <v>301</v>
      </c>
      <c r="Y52" s="220">
        <f t="shared" si="77"/>
        <v>396</v>
      </c>
      <c r="Z52" s="220">
        <v>1</v>
      </c>
      <c r="AA52" s="220">
        <v>2</v>
      </c>
      <c r="AB52" s="220">
        <v>7</v>
      </c>
      <c r="AC52" s="220">
        <v>5</v>
      </c>
      <c r="AD52" s="220">
        <v>1</v>
      </c>
      <c r="AE52" s="220">
        <f t="shared" si="78"/>
        <v>-170</v>
      </c>
      <c r="AF52" s="220">
        <f t="shared" si="79"/>
        <v>-259</v>
      </c>
      <c r="AG52" s="220">
        <f t="shared" si="80"/>
        <v>-309</v>
      </c>
      <c r="AH52" s="220">
        <f t="shared" si="81"/>
        <v>-193</v>
      </c>
      <c r="AI52" s="220">
        <f t="shared" si="82"/>
        <v>-167</v>
      </c>
      <c r="AJ52" s="50">
        <f t="shared" si="47"/>
        <v>2.5480000000000005</v>
      </c>
      <c r="AK52" s="257"/>
      <c r="AL52" s="257">
        <f t="shared" si="48"/>
        <v>1.2</v>
      </c>
      <c r="AM52" s="52"/>
      <c r="AN52" s="88"/>
    </row>
    <row r="53" spans="1:40" s="29" customFormat="1" ht="17.25" customHeight="1">
      <c r="A53" s="48">
        <v>82</v>
      </c>
      <c r="B53" s="49">
        <f t="shared" si="64"/>
        <v>45596</v>
      </c>
      <c r="C53" s="220">
        <f t="shared" si="65"/>
        <v>1049</v>
      </c>
      <c r="D53" s="220">
        <f t="shared" ref="D53" si="97">D52+15</f>
        <v>2204</v>
      </c>
      <c r="E53" s="220">
        <f t="shared" si="67"/>
        <v>3253</v>
      </c>
      <c r="F53" s="220">
        <f t="shared" si="55"/>
        <v>771</v>
      </c>
      <c r="G53" s="220">
        <f t="shared" si="56"/>
        <v>930</v>
      </c>
      <c r="H53" s="220">
        <f t="shared" si="57"/>
        <v>1108</v>
      </c>
      <c r="I53" s="220">
        <f t="shared" si="58"/>
        <v>956</v>
      </c>
      <c r="J53" s="220">
        <f t="shared" si="59"/>
        <v>857</v>
      </c>
      <c r="K53" s="220">
        <f t="shared" si="60"/>
        <v>2482</v>
      </c>
      <c r="L53" s="220">
        <f t="shared" si="61"/>
        <v>2323</v>
      </c>
      <c r="M53" s="220">
        <f t="shared" si="62"/>
        <v>2145</v>
      </c>
      <c r="N53" s="220">
        <f t="shared" si="63"/>
        <v>2297</v>
      </c>
      <c r="O53" s="220">
        <f t="shared" si="63"/>
        <v>2396</v>
      </c>
      <c r="P53" s="220">
        <f t="shared" si="68"/>
        <v>2000</v>
      </c>
      <c r="Q53" s="220">
        <f t="shared" si="69"/>
        <v>2000</v>
      </c>
      <c r="R53" s="220">
        <f t="shared" si="70"/>
        <v>2000</v>
      </c>
      <c r="S53" s="220">
        <f t="shared" si="71"/>
        <v>2000</v>
      </c>
      <c r="T53" s="220">
        <f t="shared" si="72"/>
        <v>2000</v>
      </c>
      <c r="U53" s="220">
        <f t="shared" si="73"/>
        <v>482</v>
      </c>
      <c r="V53" s="220">
        <f t="shared" si="74"/>
        <v>323</v>
      </c>
      <c r="W53" s="220">
        <f t="shared" si="75"/>
        <v>145</v>
      </c>
      <c r="X53" s="220">
        <f t="shared" si="76"/>
        <v>297</v>
      </c>
      <c r="Y53" s="220">
        <f t="shared" si="77"/>
        <v>396</v>
      </c>
      <c r="Z53" s="220">
        <v>1</v>
      </c>
      <c r="AA53" s="220">
        <v>1</v>
      </c>
      <c r="AB53" s="220">
        <v>7</v>
      </c>
      <c r="AC53" s="220">
        <v>4</v>
      </c>
      <c r="AD53" s="220">
        <v>0</v>
      </c>
      <c r="AE53" s="220">
        <f t="shared" si="78"/>
        <v>-171</v>
      </c>
      <c r="AF53" s="220">
        <f t="shared" si="79"/>
        <v>-260</v>
      </c>
      <c r="AG53" s="220">
        <f t="shared" si="80"/>
        <v>-316</v>
      </c>
      <c r="AH53" s="220">
        <f t="shared" si="81"/>
        <v>-197</v>
      </c>
      <c r="AI53" s="220">
        <f t="shared" si="82"/>
        <v>-167</v>
      </c>
      <c r="AJ53" s="50">
        <f t="shared" si="47"/>
        <v>2.5410000000000004</v>
      </c>
      <c r="AK53" s="257"/>
      <c r="AL53" s="257">
        <f t="shared" si="48"/>
        <v>1.2</v>
      </c>
      <c r="AM53" s="52"/>
      <c r="AN53" s="88"/>
    </row>
    <row r="54" spans="1:40" s="29" customFormat="1" ht="17.25" customHeight="1">
      <c r="A54" s="48">
        <v>83</v>
      </c>
      <c r="B54" s="49">
        <f t="shared" si="64"/>
        <v>45597</v>
      </c>
      <c r="C54" s="220">
        <f t="shared" si="65"/>
        <v>1049</v>
      </c>
      <c r="D54" s="220">
        <f t="shared" ref="D54" si="98">D53+26</f>
        <v>2230</v>
      </c>
      <c r="E54" s="220">
        <f t="shared" si="67"/>
        <v>3279</v>
      </c>
      <c r="F54" s="220">
        <f t="shared" si="55"/>
        <v>798</v>
      </c>
      <c r="G54" s="220">
        <f t="shared" si="56"/>
        <v>957</v>
      </c>
      <c r="H54" s="220">
        <f t="shared" si="57"/>
        <v>1141</v>
      </c>
      <c r="I54" s="220">
        <f t="shared" si="58"/>
        <v>986</v>
      </c>
      <c r="J54" s="220">
        <f t="shared" si="59"/>
        <v>883</v>
      </c>
      <c r="K54" s="220">
        <f t="shared" si="60"/>
        <v>2481</v>
      </c>
      <c r="L54" s="220">
        <f t="shared" si="61"/>
        <v>2322</v>
      </c>
      <c r="M54" s="220">
        <f t="shared" si="62"/>
        <v>2138</v>
      </c>
      <c r="N54" s="220">
        <f t="shared" si="63"/>
        <v>2293</v>
      </c>
      <c r="O54" s="220">
        <f t="shared" si="63"/>
        <v>2396</v>
      </c>
      <c r="P54" s="220">
        <f t="shared" si="68"/>
        <v>2000</v>
      </c>
      <c r="Q54" s="220">
        <f t="shared" si="69"/>
        <v>2000</v>
      </c>
      <c r="R54" s="220">
        <f t="shared" si="70"/>
        <v>2000</v>
      </c>
      <c r="S54" s="220">
        <f t="shared" si="71"/>
        <v>2000</v>
      </c>
      <c r="T54" s="220">
        <f t="shared" si="72"/>
        <v>2000</v>
      </c>
      <c r="U54" s="220">
        <f t="shared" si="73"/>
        <v>481</v>
      </c>
      <c r="V54" s="220">
        <f t="shared" si="74"/>
        <v>322</v>
      </c>
      <c r="W54" s="220">
        <f t="shared" si="75"/>
        <v>138</v>
      </c>
      <c r="X54" s="220">
        <f t="shared" si="76"/>
        <v>293</v>
      </c>
      <c r="Y54" s="220">
        <f t="shared" si="77"/>
        <v>396</v>
      </c>
      <c r="Z54" s="220">
        <v>1</v>
      </c>
      <c r="AA54" s="220">
        <v>1</v>
      </c>
      <c r="AB54" s="220">
        <v>7</v>
      </c>
      <c r="AC54" s="220">
        <v>4</v>
      </c>
      <c r="AD54" s="220">
        <v>0</v>
      </c>
      <c r="AE54" s="220">
        <f t="shared" si="78"/>
        <v>-172</v>
      </c>
      <c r="AF54" s="220">
        <f t="shared" si="79"/>
        <v>-261</v>
      </c>
      <c r="AG54" s="220">
        <f t="shared" si="80"/>
        <v>-323</v>
      </c>
      <c r="AH54" s="220">
        <f t="shared" si="81"/>
        <v>-201</v>
      </c>
      <c r="AI54" s="220">
        <f t="shared" si="82"/>
        <v>-167</v>
      </c>
      <c r="AJ54" s="50">
        <f t="shared" si="47"/>
        <v>2.5340000000000003</v>
      </c>
      <c r="AK54" s="257"/>
      <c r="AL54" s="257">
        <f t="shared" si="48"/>
        <v>1.2</v>
      </c>
      <c r="AM54" s="52"/>
      <c r="AN54" s="88"/>
    </row>
    <row r="55" spans="1:40" s="29" customFormat="1" ht="17.25" customHeight="1">
      <c r="A55" s="48">
        <v>84</v>
      </c>
      <c r="B55" s="49">
        <f t="shared" si="64"/>
        <v>45598</v>
      </c>
      <c r="C55" s="220">
        <f t="shared" si="65"/>
        <v>1049</v>
      </c>
      <c r="D55" s="220">
        <f t="shared" ref="D55" si="99">D54+32</f>
        <v>2262</v>
      </c>
      <c r="E55" s="220">
        <f t="shared" si="67"/>
        <v>3311</v>
      </c>
      <c r="F55" s="220">
        <f t="shared" si="55"/>
        <v>831</v>
      </c>
      <c r="G55" s="220">
        <f t="shared" si="56"/>
        <v>990</v>
      </c>
      <c r="H55" s="220">
        <f t="shared" si="57"/>
        <v>1181</v>
      </c>
      <c r="I55" s="220">
        <f t="shared" si="58"/>
        <v>1019</v>
      </c>
      <c r="J55" s="220">
        <f t="shared" si="59"/>
        <v>917</v>
      </c>
      <c r="K55" s="220">
        <f t="shared" si="60"/>
        <v>2480</v>
      </c>
      <c r="L55" s="220">
        <f t="shared" si="61"/>
        <v>2321</v>
      </c>
      <c r="M55" s="220">
        <f t="shared" si="62"/>
        <v>2130</v>
      </c>
      <c r="N55" s="220">
        <f t="shared" si="63"/>
        <v>2292</v>
      </c>
      <c r="O55" s="220">
        <f t="shared" si="63"/>
        <v>2394</v>
      </c>
      <c r="P55" s="220">
        <f t="shared" si="68"/>
        <v>2000</v>
      </c>
      <c r="Q55" s="220">
        <f t="shared" si="69"/>
        <v>2000</v>
      </c>
      <c r="R55" s="220">
        <f t="shared" si="70"/>
        <v>2000</v>
      </c>
      <c r="S55" s="220">
        <f t="shared" si="71"/>
        <v>2000</v>
      </c>
      <c r="T55" s="220">
        <f t="shared" si="72"/>
        <v>2000</v>
      </c>
      <c r="U55" s="220">
        <f t="shared" si="73"/>
        <v>480</v>
      </c>
      <c r="V55" s="220">
        <f t="shared" si="74"/>
        <v>321</v>
      </c>
      <c r="W55" s="220">
        <f t="shared" si="75"/>
        <v>130</v>
      </c>
      <c r="X55" s="220">
        <f t="shared" si="76"/>
        <v>292</v>
      </c>
      <c r="Y55" s="220">
        <f t="shared" si="77"/>
        <v>394</v>
      </c>
      <c r="Z55" s="220">
        <v>1</v>
      </c>
      <c r="AA55" s="220">
        <v>1</v>
      </c>
      <c r="AB55" s="220">
        <v>8</v>
      </c>
      <c r="AC55" s="220">
        <v>1</v>
      </c>
      <c r="AD55" s="220">
        <v>2</v>
      </c>
      <c r="AE55" s="220">
        <f t="shared" si="78"/>
        <v>-173</v>
      </c>
      <c r="AF55" s="220">
        <f t="shared" si="79"/>
        <v>-262</v>
      </c>
      <c r="AG55" s="220">
        <f t="shared" si="80"/>
        <v>-331</v>
      </c>
      <c r="AH55" s="220">
        <f t="shared" si="81"/>
        <v>-202</v>
      </c>
      <c r="AI55" s="220">
        <f t="shared" si="82"/>
        <v>-169</v>
      </c>
      <c r="AJ55" s="50">
        <f t="shared" si="47"/>
        <v>2.5260000000000002</v>
      </c>
      <c r="AK55" s="257"/>
      <c r="AL55" s="257">
        <f t="shared" si="48"/>
        <v>1.2</v>
      </c>
      <c r="AM55" s="52"/>
      <c r="AN55" s="88"/>
    </row>
    <row r="56" spans="1:40" s="29" customFormat="1" ht="17.25" customHeight="1">
      <c r="A56" s="48">
        <v>85</v>
      </c>
      <c r="B56" s="49">
        <f t="shared" si="64"/>
        <v>45599</v>
      </c>
      <c r="C56" s="220">
        <f t="shared" si="65"/>
        <v>1049</v>
      </c>
      <c r="D56" s="220">
        <f t="shared" ref="D56" si="100">D55-18</f>
        <v>2244</v>
      </c>
      <c r="E56" s="220">
        <f t="shared" si="67"/>
        <v>3293</v>
      </c>
      <c r="F56" s="220">
        <f t="shared" si="55"/>
        <v>814</v>
      </c>
      <c r="G56" s="220">
        <f t="shared" si="56"/>
        <v>973</v>
      </c>
      <c r="H56" s="220">
        <f t="shared" si="57"/>
        <v>1170</v>
      </c>
      <c r="I56" s="220">
        <f t="shared" si="58"/>
        <v>1002</v>
      </c>
      <c r="J56" s="220">
        <f t="shared" si="59"/>
        <v>899</v>
      </c>
      <c r="K56" s="220">
        <f t="shared" si="60"/>
        <v>2479</v>
      </c>
      <c r="L56" s="220">
        <f t="shared" si="61"/>
        <v>2320</v>
      </c>
      <c r="M56" s="220">
        <f t="shared" si="62"/>
        <v>2123</v>
      </c>
      <c r="N56" s="220">
        <f t="shared" si="63"/>
        <v>2291</v>
      </c>
      <c r="O56" s="220">
        <f t="shared" si="63"/>
        <v>2394</v>
      </c>
      <c r="P56" s="220">
        <f t="shared" si="68"/>
        <v>2000</v>
      </c>
      <c r="Q56" s="220">
        <f t="shared" si="69"/>
        <v>2000</v>
      </c>
      <c r="R56" s="220">
        <f t="shared" si="70"/>
        <v>2000</v>
      </c>
      <c r="S56" s="220">
        <f t="shared" si="71"/>
        <v>2000</v>
      </c>
      <c r="T56" s="220">
        <f t="shared" si="72"/>
        <v>2000</v>
      </c>
      <c r="U56" s="220">
        <f t="shared" si="73"/>
        <v>479</v>
      </c>
      <c r="V56" s="220">
        <f t="shared" si="74"/>
        <v>320</v>
      </c>
      <c r="W56" s="220">
        <f t="shared" si="75"/>
        <v>123</v>
      </c>
      <c r="X56" s="220">
        <f t="shared" si="76"/>
        <v>291</v>
      </c>
      <c r="Y56" s="220">
        <f t="shared" si="77"/>
        <v>394</v>
      </c>
      <c r="Z56" s="220">
        <v>1</v>
      </c>
      <c r="AA56" s="220">
        <v>1</v>
      </c>
      <c r="AB56" s="220">
        <v>7</v>
      </c>
      <c r="AC56" s="220">
        <v>1</v>
      </c>
      <c r="AD56" s="220">
        <v>0</v>
      </c>
      <c r="AE56" s="220">
        <f t="shared" si="78"/>
        <v>-174</v>
      </c>
      <c r="AF56" s="220">
        <f t="shared" si="79"/>
        <v>-263</v>
      </c>
      <c r="AG56" s="220">
        <f t="shared" si="80"/>
        <v>-338</v>
      </c>
      <c r="AH56" s="220">
        <f t="shared" si="81"/>
        <v>-203</v>
      </c>
      <c r="AI56" s="220">
        <f t="shared" si="82"/>
        <v>-169</v>
      </c>
      <c r="AJ56" s="50">
        <f t="shared" si="47"/>
        <v>2.5190000000000001</v>
      </c>
      <c r="AK56" s="257"/>
      <c r="AL56" s="257">
        <f t="shared" si="48"/>
        <v>1.2</v>
      </c>
      <c r="AM56" s="52"/>
      <c r="AN56" s="88"/>
    </row>
    <row r="57" spans="1:40" s="29" customFormat="1" ht="17.25" customHeight="1">
      <c r="A57" s="48">
        <v>86</v>
      </c>
      <c r="B57" s="49">
        <f t="shared" si="64"/>
        <v>45600</v>
      </c>
      <c r="C57" s="220">
        <f t="shared" si="65"/>
        <v>1049</v>
      </c>
      <c r="D57" s="220">
        <f t="shared" ref="D57" si="101">D56-26</f>
        <v>2218</v>
      </c>
      <c r="E57" s="220">
        <f t="shared" si="67"/>
        <v>3267</v>
      </c>
      <c r="F57" s="220">
        <f t="shared" si="55"/>
        <v>788</v>
      </c>
      <c r="G57" s="220">
        <f t="shared" si="56"/>
        <v>948</v>
      </c>
      <c r="H57" s="220">
        <f t="shared" si="57"/>
        <v>1150</v>
      </c>
      <c r="I57" s="220">
        <f t="shared" si="58"/>
        <v>977</v>
      </c>
      <c r="J57" s="220">
        <f t="shared" si="59"/>
        <v>873</v>
      </c>
      <c r="K57" s="220">
        <f t="shared" si="60"/>
        <v>2479</v>
      </c>
      <c r="L57" s="220">
        <f t="shared" si="61"/>
        <v>2319</v>
      </c>
      <c r="M57" s="220">
        <f t="shared" si="62"/>
        <v>2117</v>
      </c>
      <c r="N57" s="220">
        <f t="shared" si="63"/>
        <v>2290</v>
      </c>
      <c r="O57" s="220">
        <f t="shared" si="63"/>
        <v>2394</v>
      </c>
      <c r="P57" s="220">
        <f t="shared" si="68"/>
        <v>2000</v>
      </c>
      <c r="Q57" s="220">
        <f t="shared" si="69"/>
        <v>2000</v>
      </c>
      <c r="R57" s="220">
        <f t="shared" si="70"/>
        <v>2000</v>
      </c>
      <c r="S57" s="220">
        <f t="shared" si="71"/>
        <v>2000</v>
      </c>
      <c r="T57" s="220">
        <f t="shared" si="72"/>
        <v>2000</v>
      </c>
      <c r="U57" s="220">
        <f t="shared" si="73"/>
        <v>479</v>
      </c>
      <c r="V57" s="220">
        <f t="shared" si="74"/>
        <v>319</v>
      </c>
      <c r="W57" s="220">
        <f t="shared" si="75"/>
        <v>117</v>
      </c>
      <c r="X57" s="220">
        <f t="shared" si="76"/>
        <v>290</v>
      </c>
      <c r="Y57" s="220">
        <f t="shared" si="77"/>
        <v>394</v>
      </c>
      <c r="Z57" s="220">
        <v>0</v>
      </c>
      <c r="AA57" s="220">
        <v>1</v>
      </c>
      <c r="AB57" s="220">
        <v>6</v>
      </c>
      <c r="AC57" s="220">
        <v>1</v>
      </c>
      <c r="AD57" s="220">
        <v>0</v>
      </c>
      <c r="AE57" s="220">
        <f t="shared" si="78"/>
        <v>-174</v>
      </c>
      <c r="AF57" s="220">
        <f t="shared" si="79"/>
        <v>-264</v>
      </c>
      <c r="AG57" s="220">
        <f t="shared" si="80"/>
        <v>-344</v>
      </c>
      <c r="AH57" s="220">
        <f t="shared" si="81"/>
        <v>-204</v>
      </c>
      <c r="AI57" s="220">
        <f t="shared" si="82"/>
        <v>-169</v>
      </c>
      <c r="AJ57" s="50">
        <f t="shared" si="47"/>
        <v>2.5130000000000003</v>
      </c>
      <c r="AK57" s="257"/>
      <c r="AL57" s="257">
        <f t="shared" si="48"/>
        <v>1.2</v>
      </c>
      <c r="AM57" s="52"/>
      <c r="AN57" s="88"/>
    </row>
    <row r="58" spans="1:40" s="29" customFormat="1" ht="17.25" customHeight="1">
      <c r="A58" s="48">
        <v>87</v>
      </c>
      <c r="B58" s="49">
        <f t="shared" si="64"/>
        <v>45601</v>
      </c>
      <c r="C58" s="220">
        <f t="shared" si="65"/>
        <v>1049</v>
      </c>
      <c r="D58" s="220">
        <f t="shared" ref="D58" si="102">D57+15</f>
        <v>2233</v>
      </c>
      <c r="E58" s="220">
        <f t="shared" si="67"/>
        <v>3282</v>
      </c>
      <c r="F58" s="220">
        <f t="shared" si="55"/>
        <v>803</v>
      </c>
      <c r="G58" s="220">
        <f t="shared" si="56"/>
        <v>964</v>
      </c>
      <c r="H58" s="220">
        <f t="shared" si="57"/>
        <v>1172</v>
      </c>
      <c r="I58" s="220">
        <f t="shared" si="58"/>
        <v>993</v>
      </c>
      <c r="J58" s="220">
        <f t="shared" si="59"/>
        <v>888</v>
      </c>
      <c r="K58" s="220">
        <f t="shared" si="60"/>
        <v>2479</v>
      </c>
      <c r="L58" s="220">
        <f t="shared" si="61"/>
        <v>2318</v>
      </c>
      <c r="M58" s="220">
        <f t="shared" si="62"/>
        <v>2110</v>
      </c>
      <c r="N58" s="220">
        <f t="shared" si="63"/>
        <v>2289</v>
      </c>
      <c r="O58" s="220">
        <f t="shared" si="63"/>
        <v>2394</v>
      </c>
      <c r="P58" s="220">
        <f t="shared" si="68"/>
        <v>2000</v>
      </c>
      <c r="Q58" s="220">
        <f t="shared" si="69"/>
        <v>2000</v>
      </c>
      <c r="R58" s="220">
        <f t="shared" si="70"/>
        <v>2000</v>
      </c>
      <c r="S58" s="220">
        <f t="shared" si="71"/>
        <v>2000</v>
      </c>
      <c r="T58" s="220">
        <f t="shared" si="72"/>
        <v>2000</v>
      </c>
      <c r="U58" s="220">
        <f t="shared" si="73"/>
        <v>479</v>
      </c>
      <c r="V58" s="220">
        <f t="shared" si="74"/>
        <v>318</v>
      </c>
      <c r="W58" s="220">
        <f t="shared" si="75"/>
        <v>110</v>
      </c>
      <c r="X58" s="220">
        <f t="shared" si="76"/>
        <v>289</v>
      </c>
      <c r="Y58" s="220">
        <f t="shared" si="77"/>
        <v>394</v>
      </c>
      <c r="Z58" s="220">
        <v>0</v>
      </c>
      <c r="AA58" s="220">
        <v>1</v>
      </c>
      <c r="AB58" s="220">
        <v>7</v>
      </c>
      <c r="AC58" s="220">
        <v>1</v>
      </c>
      <c r="AD58" s="220">
        <v>0</v>
      </c>
      <c r="AE58" s="220">
        <f t="shared" si="78"/>
        <v>-174</v>
      </c>
      <c r="AF58" s="220">
        <f t="shared" si="79"/>
        <v>-265</v>
      </c>
      <c r="AG58" s="220">
        <f t="shared" si="80"/>
        <v>-351</v>
      </c>
      <c r="AH58" s="220">
        <f t="shared" si="81"/>
        <v>-205</v>
      </c>
      <c r="AI58" s="220">
        <f t="shared" si="82"/>
        <v>-169</v>
      </c>
      <c r="AJ58" s="50">
        <f t="shared" si="47"/>
        <v>2.5060000000000002</v>
      </c>
      <c r="AK58" s="257"/>
      <c r="AL58" s="257">
        <f t="shared" si="48"/>
        <v>1.2</v>
      </c>
      <c r="AM58" s="52"/>
      <c r="AN58" s="88"/>
    </row>
    <row r="59" spans="1:40" s="29" customFormat="1" ht="17.25" customHeight="1">
      <c r="A59" s="48">
        <v>88</v>
      </c>
      <c r="B59" s="49">
        <f t="shared" si="64"/>
        <v>45602</v>
      </c>
      <c r="C59" s="220">
        <f t="shared" si="65"/>
        <v>1049</v>
      </c>
      <c r="D59" s="220">
        <f t="shared" ref="D59" si="103">D58+26</f>
        <v>2259</v>
      </c>
      <c r="E59" s="220">
        <f t="shared" si="67"/>
        <v>3308</v>
      </c>
      <c r="F59" s="220">
        <f t="shared" si="55"/>
        <v>831</v>
      </c>
      <c r="G59" s="220">
        <f t="shared" si="56"/>
        <v>991</v>
      </c>
      <c r="H59" s="220">
        <f t="shared" si="57"/>
        <v>1203</v>
      </c>
      <c r="I59" s="220">
        <f t="shared" si="58"/>
        <v>1020</v>
      </c>
      <c r="J59" s="220">
        <f t="shared" si="59"/>
        <v>914</v>
      </c>
      <c r="K59" s="220">
        <f t="shared" si="60"/>
        <v>2477</v>
      </c>
      <c r="L59" s="220">
        <f t="shared" si="61"/>
        <v>2317</v>
      </c>
      <c r="M59" s="220">
        <f t="shared" si="62"/>
        <v>2105</v>
      </c>
      <c r="N59" s="220">
        <f t="shared" si="63"/>
        <v>2288</v>
      </c>
      <c r="O59" s="220">
        <f t="shared" si="63"/>
        <v>2394</v>
      </c>
      <c r="P59" s="220">
        <f t="shared" si="68"/>
        <v>2000</v>
      </c>
      <c r="Q59" s="220">
        <f t="shared" si="69"/>
        <v>2000</v>
      </c>
      <c r="R59" s="220">
        <f t="shared" si="70"/>
        <v>2000</v>
      </c>
      <c r="S59" s="220">
        <f t="shared" si="71"/>
        <v>2000</v>
      </c>
      <c r="T59" s="220">
        <f t="shared" si="72"/>
        <v>2000</v>
      </c>
      <c r="U59" s="220">
        <f t="shared" si="73"/>
        <v>477</v>
      </c>
      <c r="V59" s="220">
        <f t="shared" si="74"/>
        <v>317</v>
      </c>
      <c r="W59" s="220">
        <f t="shared" si="75"/>
        <v>105</v>
      </c>
      <c r="X59" s="220">
        <f t="shared" si="76"/>
        <v>288</v>
      </c>
      <c r="Y59" s="220">
        <f t="shared" si="77"/>
        <v>394</v>
      </c>
      <c r="Z59" s="220">
        <v>2</v>
      </c>
      <c r="AA59" s="220">
        <v>1</v>
      </c>
      <c r="AB59" s="220">
        <v>5</v>
      </c>
      <c r="AC59" s="220">
        <v>1</v>
      </c>
      <c r="AD59" s="220">
        <v>0</v>
      </c>
      <c r="AE59" s="220">
        <f t="shared" si="78"/>
        <v>-176</v>
      </c>
      <c r="AF59" s="220">
        <f t="shared" si="79"/>
        <v>-266</v>
      </c>
      <c r="AG59" s="220">
        <f t="shared" si="80"/>
        <v>-356</v>
      </c>
      <c r="AH59" s="220">
        <f t="shared" si="81"/>
        <v>-206</v>
      </c>
      <c r="AI59" s="220">
        <f t="shared" si="82"/>
        <v>-169</v>
      </c>
      <c r="AJ59" s="50">
        <f t="shared" si="47"/>
        <v>2.5010000000000003</v>
      </c>
      <c r="AK59" s="257"/>
      <c r="AL59" s="257">
        <f t="shared" si="48"/>
        <v>1.2</v>
      </c>
      <c r="AM59" s="52"/>
      <c r="AN59" s="88"/>
    </row>
    <row r="60" spans="1:40" s="29" customFormat="1" ht="17.25" customHeight="1">
      <c r="A60" s="48">
        <v>89</v>
      </c>
      <c r="B60" s="49">
        <f t="shared" si="64"/>
        <v>45603</v>
      </c>
      <c r="C60" s="220">
        <f t="shared" si="65"/>
        <v>1049</v>
      </c>
      <c r="D60" s="220">
        <f t="shared" ref="D60" si="104">D59+32</f>
        <v>2291</v>
      </c>
      <c r="E60" s="220">
        <f t="shared" si="67"/>
        <v>3340</v>
      </c>
      <c r="F60" s="220">
        <f t="shared" si="55"/>
        <v>863</v>
      </c>
      <c r="G60" s="220">
        <f t="shared" si="56"/>
        <v>1023</v>
      </c>
      <c r="H60" s="220">
        <f t="shared" si="57"/>
        <v>1240</v>
      </c>
      <c r="I60" s="220">
        <f t="shared" si="58"/>
        <v>1053</v>
      </c>
      <c r="J60" s="220">
        <f t="shared" si="59"/>
        <v>946</v>
      </c>
      <c r="K60" s="220">
        <f t="shared" si="60"/>
        <v>2477</v>
      </c>
      <c r="L60" s="220">
        <f t="shared" si="61"/>
        <v>2317</v>
      </c>
      <c r="M60" s="220">
        <f t="shared" si="62"/>
        <v>2100</v>
      </c>
      <c r="N60" s="220">
        <f t="shared" si="63"/>
        <v>2287</v>
      </c>
      <c r="O60" s="220">
        <f t="shared" si="63"/>
        <v>2394</v>
      </c>
      <c r="P60" s="220">
        <f t="shared" si="68"/>
        <v>2000</v>
      </c>
      <c r="Q60" s="220">
        <f t="shared" si="69"/>
        <v>2000</v>
      </c>
      <c r="R60" s="220">
        <f t="shared" si="70"/>
        <v>2000</v>
      </c>
      <c r="S60" s="220">
        <f t="shared" si="71"/>
        <v>2000</v>
      </c>
      <c r="T60" s="220">
        <f t="shared" si="72"/>
        <v>2000</v>
      </c>
      <c r="U60" s="220">
        <f t="shared" si="73"/>
        <v>477</v>
      </c>
      <c r="V60" s="220">
        <f t="shared" si="74"/>
        <v>317</v>
      </c>
      <c r="W60" s="220">
        <f t="shared" si="75"/>
        <v>100</v>
      </c>
      <c r="X60" s="220">
        <f t="shared" si="76"/>
        <v>287</v>
      </c>
      <c r="Y60" s="220">
        <f t="shared" si="77"/>
        <v>394</v>
      </c>
      <c r="Z60" s="220">
        <v>0</v>
      </c>
      <c r="AA60" s="220">
        <v>0</v>
      </c>
      <c r="AB60" s="220">
        <v>5</v>
      </c>
      <c r="AC60" s="220">
        <v>1</v>
      </c>
      <c r="AD60" s="220">
        <v>0</v>
      </c>
      <c r="AE60" s="220">
        <f t="shared" si="78"/>
        <v>-176</v>
      </c>
      <c r="AF60" s="220">
        <f t="shared" si="79"/>
        <v>-266</v>
      </c>
      <c r="AG60" s="220">
        <f t="shared" si="80"/>
        <v>-361</v>
      </c>
      <c r="AH60" s="220">
        <f t="shared" si="81"/>
        <v>-207</v>
      </c>
      <c r="AI60" s="220">
        <f t="shared" si="82"/>
        <v>-169</v>
      </c>
      <c r="AJ60" s="50">
        <f t="shared" si="47"/>
        <v>2.4960000000000004</v>
      </c>
      <c r="AK60" s="257"/>
      <c r="AL60" s="257">
        <f t="shared" si="48"/>
        <v>1.2</v>
      </c>
      <c r="AM60" s="52"/>
      <c r="AN60" s="88"/>
    </row>
    <row r="61" spans="1:40" s="29" customFormat="1" ht="17.25" customHeight="1">
      <c r="A61" s="48">
        <v>90</v>
      </c>
      <c r="B61" s="49">
        <f t="shared" si="64"/>
        <v>45604</v>
      </c>
      <c r="C61" s="220">
        <f t="shared" si="65"/>
        <v>1049</v>
      </c>
      <c r="D61" s="220">
        <f t="shared" ref="D61" si="105">D60-18</f>
        <v>2273</v>
      </c>
      <c r="E61" s="220">
        <f t="shared" si="67"/>
        <v>3322</v>
      </c>
      <c r="F61" s="220">
        <f t="shared" si="55"/>
        <v>845</v>
      </c>
      <c r="G61" s="220">
        <f t="shared" si="56"/>
        <v>1005</v>
      </c>
      <c r="H61" s="220">
        <f t="shared" si="57"/>
        <v>1227</v>
      </c>
      <c r="I61" s="220">
        <f t="shared" si="58"/>
        <v>1035</v>
      </c>
      <c r="J61" s="220">
        <f t="shared" si="59"/>
        <v>928</v>
      </c>
      <c r="K61" s="220">
        <f t="shared" si="60"/>
        <v>2477</v>
      </c>
      <c r="L61" s="220">
        <f t="shared" si="61"/>
        <v>2317</v>
      </c>
      <c r="M61" s="220">
        <f t="shared" si="62"/>
        <v>2095</v>
      </c>
      <c r="N61" s="220">
        <f t="shared" si="63"/>
        <v>2287</v>
      </c>
      <c r="O61" s="220">
        <f t="shared" si="63"/>
        <v>2394</v>
      </c>
      <c r="P61" s="220">
        <f t="shared" si="68"/>
        <v>2000</v>
      </c>
      <c r="Q61" s="220">
        <f t="shared" si="69"/>
        <v>2000</v>
      </c>
      <c r="R61" s="220">
        <f t="shared" si="70"/>
        <v>2000</v>
      </c>
      <c r="S61" s="220">
        <f t="shared" si="71"/>
        <v>2000</v>
      </c>
      <c r="T61" s="220">
        <f t="shared" si="72"/>
        <v>2000</v>
      </c>
      <c r="U61" s="220">
        <f t="shared" si="73"/>
        <v>477</v>
      </c>
      <c r="V61" s="220">
        <f t="shared" si="74"/>
        <v>317</v>
      </c>
      <c r="W61" s="220">
        <f t="shared" si="75"/>
        <v>95</v>
      </c>
      <c r="X61" s="220">
        <f t="shared" si="76"/>
        <v>287</v>
      </c>
      <c r="Y61" s="220">
        <f t="shared" si="77"/>
        <v>394</v>
      </c>
      <c r="Z61" s="220">
        <v>0</v>
      </c>
      <c r="AA61" s="220">
        <v>0</v>
      </c>
      <c r="AB61" s="220">
        <v>5</v>
      </c>
      <c r="AC61" s="220">
        <v>0</v>
      </c>
      <c r="AD61" s="220">
        <v>0</v>
      </c>
      <c r="AE61" s="220">
        <f t="shared" si="78"/>
        <v>-176</v>
      </c>
      <c r="AF61" s="220">
        <f t="shared" si="79"/>
        <v>-266</v>
      </c>
      <c r="AG61" s="220">
        <f t="shared" si="80"/>
        <v>-366</v>
      </c>
      <c r="AH61" s="220">
        <f t="shared" si="81"/>
        <v>-207</v>
      </c>
      <c r="AI61" s="220">
        <f t="shared" si="82"/>
        <v>-169</v>
      </c>
      <c r="AJ61" s="50">
        <f t="shared" si="47"/>
        <v>2.4910000000000005</v>
      </c>
      <c r="AK61" s="257"/>
      <c r="AL61" s="257">
        <f t="shared" si="48"/>
        <v>1.2</v>
      </c>
      <c r="AM61" s="52"/>
      <c r="AN61" s="88"/>
    </row>
    <row r="62" spans="1:40" s="29" customFormat="1" ht="17.25" customHeight="1">
      <c r="A62" s="48">
        <v>91</v>
      </c>
      <c r="B62" s="49">
        <f t="shared" si="64"/>
        <v>45605</v>
      </c>
      <c r="C62" s="220">
        <f t="shared" si="65"/>
        <v>1049</v>
      </c>
      <c r="D62" s="220">
        <f t="shared" ref="D62" si="106">D61-26</f>
        <v>2247</v>
      </c>
      <c r="E62" s="220">
        <f t="shared" si="67"/>
        <v>3296</v>
      </c>
      <c r="F62" s="220">
        <f t="shared" si="55"/>
        <v>821</v>
      </c>
      <c r="G62" s="220">
        <f t="shared" si="56"/>
        <v>981</v>
      </c>
      <c r="H62" s="220">
        <f t="shared" si="57"/>
        <v>1206</v>
      </c>
      <c r="I62" s="220">
        <f t="shared" si="58"/>
        <v>1009</v>
      </c>
      <c r="J62" s="220">
        <f t="shared" si="59"/>
        <v>902</v>
      </c>
      <c r="K62" s="220">
        <f t="shared" si="60"/>
        <v>2475</v>
      </c>
      <c r="L62" s="220">
        <f t="shared" si="61"/>
        <v>2315</v>
      </c>
      <c r="M62" s="220">
        <f t="shared" si="62"/>
        <v>2090</v>
      </c>
      <c r="N62" s="220">
        <f t="shared" si="63"/>
        <v>2287</v>
      </c>
      <c r="O62" s="220">
        <f t="shared" si="63"/>
        <v>2394</v>
      </c>
      <c r="P62" s="220">
        <f t="shared" si="68"/>
        <v>2000</v>
      </c>
      <c r="Q62" s="220">
        <f t="shared" si="69"/>
        <v>2000</v>
      </c>
      <c r="R62" s="220">
        <f t="shared" si="70"/>
        <v>2000</v>
      </c>
      <c r="S62" s="220">
        <f t="shared" si="71"/>
        <v>2000</v>
      </c>
      <c r="T62" s="220">
        <f t="shared" si="72"/>
        <v>2000</v>
      </c>
      <c r="U62" s="220">
        <f t="shared" si="73"/>
        <v>475</v>
      </c>
      <c r="V62" s="220">
        <f t="shared" si="74"/>
        <v>315</v>
      </c>
      <c r="W62" s="220">
        <f t="shared" si="75"/>
        <v>90</v>
      </c>
      <c r="X62" s="220">
        <f t="shared" si="76"/>
        <v>287</v>
      </c>
      <c r="Y62" s="220">
        <f t="shared" si="77"/>
        <v>394</v>
      </c>
      <c r="Z62" s="220">
        <v>2</v>
      </c>
      <c r="AA62" s="220">
        <v>2</v>
      </c>
      <c r="AB62" s="220">
        <v>5</v>
      </c>
      <c r="AC62" s="220">
        <v>0</v>
      </c>
      <c r="AD62" s="220">
        <v>0</v>
      </c>
      <c r="AE62" s="220">
        <f t="shared" si="78"/>
        <v>-178</v>
      </c>
      <c r="AF62" s="220">
        <f t="shared" si="79"/>
        <v>-268</v>
      </c>
      <c r="AG62" s="220">
        <f t="shared" si="80"/>
        <v>-371</v>
      </c>
      <c r="AH62" s="220">
        <f t="shared" si="81"/>
        <v>-207</v>
      </c>
      <c r="AI62" s="220">
        <f t="shared" si="82"/>
        <v>-169</v>
      </c>
      <c r="AJ62" s="50">
        <f t="shared" si="47"/>
        <v>2.4860000000000007</v>
      </c>
      <c r="AK62" s="257"/>
      <c r="AL62" s="257">
        <f t="shared" si="48"/>
        <v>1.2</v>
      </c>
      <c r="AM62" s="52"/>
      <c r="AN62" s="88"/>
    </row>
    <row r="63" spans="1:40" s="29" customFormat="1" ht="17.25" customHeight="1">
      <c r="A63" s="48">
        <v>92</v>
      </c>
      <c r="B63" s="49">
        <f t="shared" si="64"/>
        <v>45606</v>
      </c>
      <c r="C63" s="220">
        <f t="shared" si="65"/>
        <v>1049</v>
      </c>
      <c r="D63" s="220">
        <f t="shared" ref="D63" si="107">D62+15</f>
        <v>2262</v>
      </c>
      <c r="E63" s="220">
        <f t="shared" si="67"/>
        <v>3311</v>
      </c>
      <c r="F63" s="220">
        <f t="shared" si="55"/>
        <v>836</v>
      </c>
      <c r="G63" s="220">
        <f t="shared" si="56"/>
        <v>996</v>
      </c>
      <c r="H63" s="220">
        <f t="shared" si="57"/>
        <v>1226</v>
      </c>
      <c r="I63" s="220">
        <f t="shared" si="58"/>
        <v>1026</v>
      </c>
      <c r="J63" s="220">
        <f t="shared" si="59"/>
        <v>917</v>
      </c>
      <c r="K63" s="220">
        <f t="shared" si="60"/>
        <v>2475</v>
      </c>
      <c r="L63" s="220">
        <f t="shared" si="61"/>
        <v>2315</v>
      </c>
      <c r="M63" s="220">
        <f t="shared" si="62"/>
        <v>2085</v>
      </c>
      <c r="N63" s="220">
        <f t="shared" si="63"/>
        <v>2285</v>
      </c>
      <c r="O63" s="220">
        <f t="shared" si="63"/>
        <v>2394</v>
      </c>
      <c r="P63" s="220">
        <f t="shared" si="68"/>
        <v>2000</v>
      </c>
      <c r="Q63" s="220">
        <f t="shared" si="69"/>
        <v>2000</v>
      </c>
      <c r="R63" s="220">
        <f t="shared" si="70"/>
        <v>2000</v>
      </c>
      <c r="S63" s="220">
        <f t="shared" si="71"/>
        <v>2000</v>
      </c>
      <c r="T63" s="220">
        <f t="shared" si="72"/>
        <v>2000</v>
      </c>
      <c r="U63" s="220">
        <f t="shared" si="73"/>
        <v>475</v>
      </c>
      <c r="V63" s="220">
        <f t="shared" si="74"/>
        <v>315</v>
      </c>
      <c r="W63" s="220">
        <f t="shared" si="75"/>
        <v>85</v>
      </c>
      <c r="X63" s="220">
        <f t="shared" si="76"/>
        <v>285</v>
      </c>
      <c r="Y63" s="220">
        <f t="shared" si="77"/>
        <v>394</v>
      </c>
      <c r="Z63" s="220">
        <v>0</v>
      </c>
      <c r="AA63" s="220">
        <v>0</v>
      </c>
      <c r="AB63" s="220">
        <v>5</v>
      </c>
      <c r="AC63" s="220">
        <v>2</v>
      </c>
      <c r="AD63" s="220">
        <v>0</v>
      </c>
      <c r="AE63" s="220">
        <f t="shared" si="78"/>
        <v>-178</v>
      </c>
      <c r="AF63" s="220">
        <f t="shared" si="79"/>
        <v>-268</v>
      </c>
      <c r="AG63" s="220">
        <f t="shared" si="80"/>
        <v>-376</v>
      </c>
      <c r="AH63" s="220">
        <f t="shared" si="81"/>
        <v>-209</v>
      </c>
      <c r="AI63" s="220">
        <f t="shared" si="82"/>
        <v>-169</v>
      </c>
      <c r="AJ63" s="50">
        <f t="shared" si="47"/>
        <v>2.4810000000000008</v>
      </c>
      <c r="AK63" s="257"/>
      <c r="AL63" s="257">
        <f t="shared" si="48"/>
        <v>1.2</v>
      </c>
      <c r="AM63" s="52"/>
      <c r="AN63" s="88"/>
    </row>
    <row r="64" spans="1:40" s="29" customFormat="1" ht="17.25" customHeight="1">
      <c r="A64" s="48">
        <v>93</v>
      </c>
      <c r="B64" s="49">
        <f t="shared" si="64"/>
        <v>45607</v>
      </c>
      <c r="C64" s="220">
        <f t="shared" si="65"/>
        <v>1049</v>
      </c>
      <c r="D64" s="220">
        <f t="shared" ref="D64" si="108">D63+26</f>
        <v>2288</v>
      </c>
      <c r="E64" s="220">
        <f t="shared" si="67"/>
        <v>3337</v>
      </c>
      <c r="F64" s="220">
        <f t="shared" si="55"/>
        <v>862</v>
      </c>
      <c r="G64" s="220">
        <f t="shared" si="56"/>
        <v>1025</v>
      </c>
      <c r="H64" s="220">
        <f t="shared" si="57"/>
        <v>1256</v>
      </c>
      <c r="I64" s="220">
        <f t="shared" si="58"/>
        <v>1052</v>
      </c>
      <c r="J64" s="220">
        <f t="shared" si="59"/>
        <v>943</v>
      </c>
      <c r="K64" s="220">
        <f t="shared" si="60"/>
        <v>2475</v>
      </c>
      <c r="L64" s="220">
        <f t="shared" si="61"/>
        <v>2312</v>
      </c>
      <c r="M64" s="220">
        <f t="shared" si="62"/>
        <v>2081</v>
      </c>
      <c r="N64" s="220">
        <f t="shared" si="63"/>
        <v>2285</v>
      </c>
      <c r="O64" s="220">
        <f t="shared" si="63"/>
        <v>2394</v>
      </c>
      <c r="P64" s="220">
        <f t="shared" si="68"/>
        <v>2000</v>
      </c>
      <c r="Q64" s="220">
        <f t="shared" si="69"/>
        <v>2000</v>
      </c>
      <c r="R64" s="220">
        <f t="shared" si="70"/>
        <v>2000</v>
      </c>
      <c r="S64" s="220">
        <f t="shared" si="71"/>
        <v>2000</v>
      </c>
      <c r="T64" s="220">
        <f t="shared" si="72"/>
        <v>2000</v>
      </c>
      <c r="U64" s="220">
        <f t="shared" si="73"/>
        <v>475</v>
      </c>
      <c r="V64" s="220">
        <f t="shared" si="74"/>
        <v>312</v>
      </c>
      <c r="W64" s="220">
        <f t="shared" si="75"/>
        <v>81</v>
      </c>
      <c r="X64" s="220">
        <f t="shared" si="76"/>
        <v>285</v>
      </c>
      <c r="Y64" s="220">
        <f t="shared" si="77"/>
        <v>394</v>
      </c>
      <c r="Z64" s="220">
        <v>0</v>
      </c>
      <c r="AA64" s="220">
        <v>3</v>
      </c>
      <c r="AB64" s="220">
        <v>4</v>
      </c>
      <c r="AC64" s="220">
        <v>0</v>
      </c>
      <c r="AD64" s="220">
        <v>0</v>
      </c>
      <c r="AE64" s="220">
        <f t="shared" si="78"/>
        <v>-178</v>
      </c>
      <c r="AF64" s="220">
        <f t="shared" si="79"/>
        <v>-271</v>
      </c>
      <c r="AG64" s="220">
        <f t="shared" si="80"/>
        <v>-380</v>
      </c>
      <c r="AH64" s="220">
        <f t="shared" si="81"/>
        <v>-209</v>
      </c>
      <c r="AI64" s="220">
        <f t="shared" si="82"/>
        <v>-169</v>
      </c>
      <c r="AJ64" s="50">
        <f t="shared" si="47"/>
        <v>2.4770000000000008</v>
      </c>
      <c r="AK64" s="257"/>
      <c r="AL64" s="257">
        <f t="shared" si="48"/>
        <v>1.2</v>
      </c>
      <c r="AM64" s="52"/>
      <c r="AN64" s="88"/>
    </row>
    <row r="65" spans="1:40" s="29" customFormat="1" ht="17.25" customHeight="1">
      <c r="A65" s="48">
        <v>94</v>
      </c>
      <c r="B65" s="49">
        <f t="shared" si="64"/>
        <v>45608</v>
      </c>
      <c r="C65" s="220">
        <f t="shared" si="65"/>
        <v>1049</v>
      </c>
      <c r="D65" s="220">
        <f t="shared" ref="D65" si="109">D64+32</f>
        <v>2320</v>
      </c>
      <c r="E65" s="220">
        <f t="shared" si="67"/>
        <v>3369</v>
      </c>
      <c r="F65" s="220">
        <f t="shared" si="55"/>
        <v>894</v>
      </c>
      <c r="G65" s="220">
        <f t="shared" si="56"/>
        <v>1057</v>
      </c>
      <c r="H65" s="220">
        <f t="shared" si="57"/>
        <v>1292</v>
      </c>
      <c r="I65" s="220">
        <f t="shared" si="58"/>
        <v>1087</v>
      </c>
      <c r="J65" s="220">
        <f t="shared" si="59"/>
        <v>975</v>
      </c>
      <c r="K65" s="220">
        <f t="shared" si="60"/>
        <v>2475</v>
      </c>
      <c r="L65" s="220">
        <f t="shared" si="61"/>
        <v>2312</v>
      </c>
      <c r="M65" s="220">
        <f t="shared" si="62"/>
        <v>2077</v>
      </c>
      <c r="N65" s="220">
        <f t="shared" si="63"/>
        <v>2282</v>
      </c>
      <c r="O65" s="220">
        <f t="shared" si="63"/>
        <v>2394</v>
      </c>
      <c r="P65" s="220">
        <f t="shared" si="68"/>
        <v>2000</v>
      </c>
      <c r="Q65" s="220">
        <f t="shared" si="69"/>
        <v>2000</v>
      </c>
      <c r="R65" s="220">
        <f t="shared" si="70"/>
        <v>2000</v>
      </c>
      <c r="S65" s="220">
        <f t="shared" si="71"/>
        <v>2000</v>
      </c>
      <c r="T65" s="220">
        <f t="shared" si="72"/>
        <v>2000</v>
      </c>
      <c r="U65" s="220">
        <f t="shared" si="73"/>
        <v>475</v>
      </c>
      <c r="V65" s="220">
        <f t="shared" si="74"/>
        <v>312</v>
      </c>
      <c r="W65" s="220">
        <f t="shared" si="75"/>
        <v>77</v>
      </c>
      <c r="X65" s="220">
        <f t="shared" si="76"/>
        <v>282</v>
      </c>
      <c r="Y65" s="220">
        <f t="shared" si="77"/>
        <v>394</v>
      </c>
      <c r="Z65" s="220">
        <v>0</v>
      </c>
      <c r="AA65" s="220">
        <v>0</v>
      </c>
      <c r="AB65" s="220">
        <v>4</v>
      </c>
      <c r="AC65" s="220">
        <v>3</v>
      </c>
      <c r="AD65" s="220">
        <v>0</v>
      </c>
      <c r="AE65" s="220">
        <f t="shared" si="78"/>
        <v>-178</v>
      </c>
      <c r="AF65" s="220">
        <f t="shared" si="79"/>
        <v>-271</v>
      </c>
      <c r="AG65" s="220">
        <f t="shared" si="80"/>
        <v>-384</v>
      </c>
      <c r="AH65" s="220">
        <f t="shared" si="81"/>
        <v>-212</v>
      </c>
      <c r="AI65" s="220">
        <f t="shared" si="82"/>
        <v>-169</v>
      </c>
      <c r="AJ65" s="50">
        <f t="shared" si="47"/>
        <v>2.4730000000000008</v>
      </c>
      <c r="AK65" s="257"/>
      <c r="AL65" s="257">
        <f t="shared" si="48"/>
        <v>1.2</v>
      </c>
      <c r="AM65" s="52"/>
      <c r="AN65" s="88"/>
    </row>
    <row r="66" spans="1:40" s="29" customFormat="1" ht="17.25" customHeight="1">
      <c r="A66" s="48">
        <v>95</v>
      </c>
      <c r="B66" s="49">
        <f t="shared" si="64"/>
        <v>45609</v>
      </c>
      <c r="C66" s="220">
        <f t="shared" si="65"/>
        <v>1049</v>
      </c>
      <c r="D66" s="220">
        <f t="shared" ref="D66" si="110">D65-18</f>
        <v>2302</v>
      </c>
      <c r="E66" s="220">
        <f t="shared" si="67"/>
        <v>3351</v>
      </c>
      <c r="F66" s="220">
        <f t="shared" si="55"/>
        <v>876</v>
      </c>
      <c r="G66" s="220">
        <f t="shared" si="56"/>
        <v>1042</v>
      </c>
      <c r="H66" s="220">
        <f t="shared" si="57"/>
        <v>1277</v>
      </c>
      <c r="I66" s="220">
        <f t="shared" si="58"/>
        <v>1069</v>
      </c>
      <c r="J66" s="220">
        <f t="shared" si="59"/>
        <v>957</v>
      </c>
      <c r="K66" s="220">
        <f t="shared" si="60"/>
        <v>2475</v>
      </c>
      <c r="L66" s="220">
        <f t="shared" si="61"/>
        <v>2309</v>
      </c>
      <c r="M66" s="220">
        <f t="shared" si="62"/>
        <v>2074</v>
      </c>
      <c r="N66" s="220">
        <f t="shared" si="63"/>
        <v>2282</v>
      </c>
      <c r="O66" s="220">
        <f t="shared" si="63"/>
        <v>2394</v>
      </c>
      <c r="P66" s="220">
        <f t="shared" si="68"/>
        <v>2000</v>
      </c>
      <c r="Q66" s="220">
        <f t="shared" si="69"/>
        <v>2000</v>
      </c>
      <c r="R66" s="220">
        <f t="shared" si="70"/>
        <v>2000</v>
      </c>
      <c r="S66" s="220">
        <f t="shared" si="71"/>
        <v>2000</v>
      </c>
      <c r="T66" s="220">
        <f t="shared" si="72"/>
        <v>2000</v>
      </c>
      <c r="U66" s="220">
        <f t="shared" si="73"/>
        <v>475</v>
      </c>
      <c r="V66" s="220">
        <f t="shared" si="74"/>
        <v>309</v>
      </c>
      <c r="W66" s="220">
        <f t="shared" si="75"/>
        <v>74</v>
      </c>
      <c r="X66" s="220">
        <f t="shared" si="76"/>
        <v>282</v>
      </c>
      <c r="Y66" s="220">
        <f t="shared" si="77"/>
        <v>394</v>
      </c>
      <c r="Z66" s="220">
        <v>0</v>
      </c>
      <c r="AA66" s="220">
        <v>3</v>
      </c>
      <c r="AB66" s="220">
        <v>3</v>
      </c>
      <c r="AC66" s="220">
        <v>0</v>
      </c>
      <c r="AD66" s="220">
        <v>0</v>
      </c>
      <c r="AE66" s="220">
        <f t="shared" si="78"/>
        <v>-178</v>
      </c>
      <c r="AF66" s="220">
        <f t="shared" si="79"/>
        <v>-274</v>
      </c>
      <c r="AG66" s="220">
        <f t="shared" si="80"/>
        <v>-387</v>
      </c>
      <c r="AH66" s="220">
        <f t="shared" si="81"/>
        <v>-212</v>
      </c>
      <c r="AI66" s="220">
        <f t="shared" si="82"/>
        <v>-169</v>
      </c>
      <c r="AJ66" s="50">
        <f t="shared" si="47"/>
        <v>2.4700000000000006</v>
      </c>
      <c r="AK66" s="257"/>
      <c r="AL66" s="257">
        <f t="shared" si="48"/>
        <v>1.2</v>
      </c>
      <c r="AM66" s="52"/>
      <c r="AN66" s="88"/>
    </row>
    <row r="67" spans="1:40" s="29" customFormat="1" ht="17.25" customHeight="1">
      <c r="A67" s="48">
        <v>96</v>
      </c>
      <c r="B67" s="49">
        <f t="shared" si="64"/>
        <v>45610</v>
      </c>
      <c r="C67" s="220">
        <f t="shared" si="65"/>
        <v>1049</v>
      </c>
      <c r="D67" s="220">
        <f t="shared" ref="D67" si="111">D66-26</f>
        <v>2276</v>
      </c>
      <c r="E67" s="220">
        <f t="shared" si="67"/>
        <v>3325</v>
      </c>
      <c r="F67" s="220">
        <f t="shared" si="55"/>
        <v>851</v>
      </c>
      <c r="G67" s="220">
        <f t="shared" si="56"/>
        <v>1016</v>
      </c>
      <c r="H67" s="220">
        <f t="shared" si="57"/>
        <v>1254</v>
      </c>
      <c r="I67" s="220">
        <f t="shared" si="58"/>
        <v>1046</v>
      </c>
      <c r="J67" s="220">
        <f t="shared" si="59"/>
        <v>931</v>
      </c>
      <c r="K67" s="220">
        <f t="shared" si="60"/>
        <v>2474</v>
      </c>
      <c r="L67" s="220">
        <f t="shared" si="61"/>
        <v>2309</v>
      </c>
      <c r="M67" s="220">
        <f t="shared" si="62"/>
        <v>2071</v>
      </c>
      <c r="N67" s="220">
        <f t="shared" si="63"/>
        <v>2279</v>
      </c>
      <c r="O67" s="220">
        <f t="shared" si="63"/>
        <v>2394</v>
      </c>
      <c r="P67" s="220">
        <f t="shared" si="68"/>
        <v>2000</v>
      </c>
      <c r="Q67" s="220">
        <f t="shared" si="69"/>
        <v>2000</v>
      </c>
      <c r="R67" s="220">
        <f t="shared" si="70"/>
        <v>2000</v>
      </c>
      <c r="S67" s="220">
        <f t="shared" si="71"/>
        <v>2000</v>
      </c>
      <c r="T67" s="220">
        <f t="shared" si="72"/>
        <v>2000</v>
      </c>
      <c r="U67" s="220">
        <f t="shared" si="73"/>
        <v>474</v>
      </c>
      <c r="V67" s="220">
        <f t="shared" si="74"/>
        <v>309</v>
      </c>
      <c r="W67" s="220">
        <f t="shared" si="75"/>
        <v>71</v>
      </c>
      <c r="X67" s="220">
        <f t="shared" si="76"/>
        <v>279</v>
      </c>
      <c r="Y67" s="220">
        <f t="shared" si="77"/>
        <v>394</v>
      </c>
      <c r="Z67" s="220">
        <v>1</v>
      </c>
      <c r="AA67" s="220">
        <v>0</v>
      </c>
      <c r="AB67" s="220">
        <v>3</v>
      </c>
      <c r="AC67" s="220">
        <v>3</v>
      </c>
      <c r="AD67" s="220">
        <v>0</v>
      </c>
      <c r="AE67" s="220">
        <f t="shared" si="78"/>
        <v>-179</v>
      </c>
      <c r="AF67" s="220">
        <f t="shared" si="79"/>
        <v>-274</v>
      </c>
      <c r="AG67" s="220">
        <f t="shared" si="80"/>
        <v>-390</v>
      </c>
      <c r="AH67" s="220">
        <f t="shared" si="81"/>
        <v>-215</v>
      </c>
      <c r="AI67" s="220">
        <f t="shared" si="82"/>
        <v>-169</v>
      </c>
      <c r="AJ67" s="50">
        <f t="shared" si="47"/>
        <v>2.4670000000000005</v>
      </c>
      <c r="AK67" s="257"/>
      <c r="AL67" s="257">
        <f t="shared" si="48"/>
        <v>1.2</v>
      </c>
      <c r="AM67" s="52"/>
      <c r="AN67" s="88"/>
    </row>
    <row r="68" spans="1:40" s="29" customFormat="1" ht="17.25" customHeight="1">
      <c r="A68" s="48">
        <v>97</v>
      </c>
      <c r="B68" s="49">
        <f t="shared" si="64"/>
        <v>45611</v>
      </c>
      <c r="C68" s="220">
        <f t="shared" si="65"/>
        <v>1049</v>
      </c>
      <c r="D68" s="220">
        <f t="shared" ref="D68" si="112">D67+15</f>
        <v>2291</v>
      </c>
      <c r="E68" s="220">
        <f t="shared" si="67"/>
        <v>3340</v>
      </c>
      <c r="F68" s="220">
        <f t="shared" si="55"/>
        <v>866</v>
      </c>
      <c r="G68" s="220">
        <f t="shared" si="56"/>
        <v>1031</v>
      </c>
      <c r="H68" s="220">
        <f t="shared" si="57"/>
        <v>1272</v>
      </c>
      <c r="I68" s="220">
        <f t="shared" si="58"/>
        <v>1061</v>
      </c>
      <c r="J68" s="220">
        <f t="shared" si="59"/>
        <v>948</v>
      </c>
      <c r="K68" s="220">
        <f t="shared" si="60"/>
        <v>2474</v>
      </c>
      <c r="L68" s="220">
        <f t="shared" si="61"/>
        <v>2309</v>
      </c>
      <c r="M68" s="220">
        <f t="shared" si="62"/>
        <v>2068</v>
      </c>
      <c r="N68" s="220">
        <f t="shared" si="63"/>
        <v>2279</v>
      </c>
      <c r="O68" s="220">
        <f t="shared" si="63"/>
        <v>2392</v>
      </c>
      <c r="P68" s="220">
        <f t="shared" si="68"/>
        <v>2000</v>
      </c>
      <c r="Q68" s="220">
        <f t="shared" si="69"/>
        <v>2000</v>
      </c>
      <c r="R68" s="220">
        <f t="shared" si="70"/>
        <v>2000</v>
      </c>
      <c r="S68" s="220">
        <f t="shared" si="71"/>
        <v>2000</v>
      </c>
      <c r="T68" s="220">
        <f t="shared" si="72"/>
        <v>2000</v>
      </c>
      <c r="U68" s="220">
        <f t="shared" si="73"/>
        <v>474</v>
      </c>
      <c r="V68" s="220">
        <f t="shared" si="74"/>
        <v>309</v>
      </c>
      <c r="W68" s="220">
        <f t="shared" si="75"/>
        <v>68</v>
      </c>
      <c r="X68" s="220">
        <f t="shared" si="76"/>
        <v>279</v>
      </c>
      <c r="Y68" s="220">
        <f t="shared" si="77"/>
        <v>392</v>
      </c>
      <c r="Z68" s="220">
        <v>0</v>
      </c>
      <c r="AA68" s="220">
        <v>0</v>
      </c>
      <c r="AB68" s="220">
        <v>3</v>
      </c>
      <c r="AC68" s="220">
        <v>0</v>
      </c>
      <c r="AD68" s="220">
        <v>2</v>
      </c>
      <c r="AE68" s="220">
        <f t="shared" si="78"/>
        <v>-179</v>
      </c>
      <c r="AF68" s="220">
        <f t="shared" si="79"/>
        <v>-274</v>
      </c>
      <c r="AG68" s="220">
        <f t="shared" si="80"/>
        <v>-393</v>
      </c>
      <c r="AH68" s="220">
        <f t="shared" si="81"/>
        <v>-215</v>
      </c>
      <c r="AI68" s="220">
        <f t="shared" si="82"/>
        <v>-171</v>
      </c>
      <c r="AJ68" s="50">
        <f t="shared" si="47"/>
        <v>2.4640000000000004</v>
      </c>
      <c r="AK68" s="257"/>
      <c r="AL68" s="257">
        <f t="shared" si="48"/>
        <v>1.2</v>
      </c>
      <c r="AM68" s="52"/>
      <c r="AN68" s="88"/>
    </row>
    <row r="69" spans="1:40" s="29" customFormat="1" ht="17.25" customHeight="1">
      <c r="A69" s="48">
        <v>98</v>
      </c>
      <c r="B69" s="49">
        <f t="shared" si="64"/>
        <v>45612</v>
      </c>
      <c r="C69" s="220">
        <f t="shared" si="65"/>
        <v>1049</v>
      </c>
      <c r="D69" s="220">
        <f t="shared" ref="D69" si="113">D68+26</f>
        <v>2317</v>
      </c>
      <c r="E69" s="220">
        <f t="shared" si="67"/>
        <v>3366</v>
      </c>
      <c r="F69" s="220">
        <f t="shared" si="55"/>
        <v>893</v>
      </c>
      <c r="G69" s="220">
        <f t="shared" si="56"/>
        <v>1059</v>
      </c>
      <c r="H69" s="220">
        <f t="shared" si="57"/>
        <v>1300</v>
      </c>
      <c r="I69" s="220">
        <f t="shared" si="58"/>
        <v>1089</v>
      </c>
      <c r="J69" s="220">
        <f t="shared" si="59"/>
        <v>974</v>
      </c>
      <c r="K69" s="220">
        <f t="shared" si="60"/>
        <v>2473</v>
      </c>
      <c r="L69" s="220">
        <f t="shared" si="61"/>
        <v>2307</v>
      </c>
      <c r="M69" s="220">
        <f t="shared" si="62"/>
        <v>2066</v>
      </c>
      <c r="N69" s="220">
        <f t="shared" si="63"/>
        <v>2277</v>
      </c>
      <c r="O69" s="220">
        <f t="shared" si="63"/>
        <v>2392</v>
      </c>
      <c r="P69" s="220">
        <f t="shared" si="68"/>
        <v>2000</v>
      </c>
      <c r="Q69" s="220">
        <f t="shared" si="69"/>
        <v>2000</v>
      </c>
      <c r="R69" s="220">
        <f t="shared" si="70"/>
        <v>2000</v>
      </c>
      <c r="S69" s="220">
        <f t="shared" si="71"/>
        <v>2000</v>
      </c>
      <c r="T69" s="220">
        <f t="shared" si="72"/>
        <v>2000</v>
      </c>
      <c r="U69" s="220">
        <f t="shared" si="73"/>
        <v>473</v>
      </c>
      <c r="V69" s="220">
        <f t="shared" si="74"/>
        <v>307</v>
      </c>
      <c r="W69" s="220">
        <f t="shared" si="75"/>
        <v>66</v>
      </c>
      <c r="X69" s="220">
        <f t="shared" si="76"/>
        <v>277</v>
      </c>
      <c r="Y69" s="220">
        <f t="shared" si="77"/>
        <v>392</v>
      </c>
      <c r="Z69" s="220">
        <v>1</v>
      </c>
      <c r="AA69" s="220">
        <v>2</v>
      </c>
      <c r="AB69" s="220">
        <v>2</v>
      </c>
      <c r="AC69" s="220">
        <v>2</v>
      </c>
      <c r="AD69" s="220">
        <v>0</v>
      </c>
      <c r="AE69" s="220">
        <f t="shared" si="78"/>
        <v>-180</v>
      </c>
      <c r="AF69" s="220">
        <f t="shared" si="79"/>
        <v>-276</v>
      </c>
      <c r="AG69" s="220">
        <f t="shared" si="80"/>
        <v>-395</v>
      </c>
      <c r="AH69" s="220">
        <f t="shared" si="81"/>
        <v>-217</v>
      </c>
      <c r="AI69" s="220">
        <f t="shared" si="82"/>
        <v>-171</v>
      </c>
      <c r="AJ69" s="50">
        <f t="shared" si="47"/>
        <v>2.4620000000000006</v>
      </c>
      <c r="AK69" s="257"/>
      <c r="AL69" s="257">
        <f t="shared" si="48"/>
        <v>1.2</v>
      </c>
      <c r="AM69" s="52"/>
      <c r="AN69" s="88"/>
    </row>
    <row r="70" spans="1:40" s="29" customFormat="1" ht="17.25" customHeight="1">
      <c r="A70" s="48">
        <v>99</v>
      </c>
      <c r="B70" s="49">
        <f t="shared" si="64"/>
        <v>45613</v>
      </c>
      <c r="C70" s="220">
        <f t="shared" si="65"/>
        <v>1049</v>
      </c>
      <c r="D70" s="220">
        <f t="shared" ref="D70" si="114">D69+32</f>
        <v>2349</v>
      </c>
      <c r="E70" s="220">
        <f t="shared" si="67"/>
        <v>3398</v>
      </c>
      <c r="F70" s="220">
        <f t="shared" si="55"/>
        <v>926</v>
      </c>
      <c r="G70" s="220">
        <f t="shared" si="56"/>
        <v>1091</v>
      </c>
      <c r="H70" s="220">
        <f t="shared" si="57"/>
        <v>1334</v>
      </c>
      <c r="I70" s="220">
        <f t="shared" si="58"/>
        <v>1121</v>
      </c>
      <c r="J70" s="220">
        <f t="shared" si="59"/>
        <v>1006</v>
      </c>
      <c r="K70" s="220">
        <f t="shared" si="60"/>
        <v>2472</v>
      </c>
      <c r="L70" s="220">
        <f t="shared" si="61"/>
        <v>2307</v>
      </c>
      <c r="M70" s="220">
        <f t="shared" si="62"/>
        <v>2064</v>
      </c>
      <c r="N70" s="220">
        <f t="shared" si="63"/>
        <v>2277</v>
      </c>
      <c r="O70" s="220">
        <f t="shared" si="63"/>
        <v>2392</v>
      </c>
      <c r="P70" s="220">
        <f t="shared" si="68"/>
        <v>2000</v>
      </c>
      <c r="Q70" s="220">
        <f t="shared" si="69"/>
        <v>2000</v>
      </c>
      <c r="R70" s="220">
        <f t="shared" si="70"/>
        <v>2000</v>
      </c>
      <c r="S70" s="220">
        <f t="shared" si="71"/>
        <v>2000</v>
      </c>
      <c r="T70" s="220">
        <f t="shared" si="72"/>
        <v>2000</v>
      </c>
      <c r="U70" s="220">
        <f t="shared" si="73"/>
        <v>472</v>
      </c>
      <c r="V70" s="220">
        <f t="shared" si="74"/>
        <v>307</v>
      </c>
      <c r="W70" s="220">
        <f t="shared" si="75"/>
        <v>64</v>
      </c>
      <c r="X70" s="220">
        <f t="shared" si="76"/>
        <v>277</v>
      </c>
      <c r="Y70" s="220">
        <f t="shared" si="77"/>
        <v>392</v>
      </c>
      <c r="Z70" s="220">
        <v>1</v>
      </c>
      <c r="AA70" s="220">
        <v>0</v>
      </c>
      <c r="AB70" s="220">
        <v>2</v>
      </c>
      <c r="AC70" s="220">
        <v>0</v>
      </c>
      <c r="AD70" s="220">
        <v>0</v>
      </c>
      <c r="AE70" s="220">
        <f t="shared" si="78"/>
        <v>-181</v>
      </c>
      <c r="AF70" s="220">
        <f t="shared" si="79"/>
        <v>-276</v>
      </c>
      <c r="AG70" s="220">
        <f t="shared" si="80"/>
        <v>-397</v>
      </c>
      <c r="AH70" s="220">
        <f t="shared" si="81"/>
        <v>-217</v>
      </c>
      <c r="AI70" s="220">
        <f t="shared" si="82"/>
        <v>-171</v>
      </c>
      <c r="AJ70" s="50">
        <f t="shared" si="47"/>
        <v>2.4600000000000009</v>
      </c>
      <c r="AK70" s="257"/>
      <c r="AL70" s="257">
        <f t="shared" si="48"/>
        <v>1.2</v>
      </c>
      <c r="AM70" s="52"/>
      <c r="AN70" s="88"/>
    </row>
    <row r="71" spans="1:40" s="29" customFormat="1" ht="17.25" customHeight="1">
      <c r="A71" s="48">
        <v>100</v>
      </c>
      <c r="B71" s="49">
        <f t="shared" si="64"/>
        <v>45614</v>
      </c>
      <c r="C71" s="220">
        <f t="shared" si="65"/>
        <v>1049</v>
      </c>
      <c r="D71" s="220">
        <f t="shared" ref="D71" si="115">D70-18</f>
        <v>2331</v>
      </c>
      <c r="E71" s="220">
        <f t="shared" si="67"/>
        <v>3380</v>
      </c>
      <c r="F71" s="220">
        <f t="shared" si="55"/>
        <v>908</v>
      </c>
      <c r="G71" s="220">
        <f t="shared" si="56"/>
        <v>1074</v>
      </c>
      <c r="H71" s="220">
        <f t="shared" si="57"/>
        <v>1318</v>
      </c>
      <c r="I71" s="220">
        <f t="shared" si="58"/>
        <v>1106</v>
      </c>
      <c r="J71" s="220">
        <f t="shared" si="59"/>
        <v>988</v>
      </c>
      <c r="K71" s="220">
        <f t="shared" si="60"/>
        <v>2472</v>
      </c>
      <c r="L71" s="220">
        <f t="shared" si="61"/>
        <v>2306</v>
      </c>
      <c r="M71" s="220">
        <f t="shared" si="62"/>
        <v>2062</v>
      </c>
      <c r="N71" s="220">
        <f t="shared" si="63"/>
        <v>2274</v>
      </c>
      <c r="O71" s="220">
        <f t="shared" si="63"/>
        <v>2392</v>
      </c>
      <c r="P71" s="220">
        <f t="shared" si="68"/>
        <v>2000</v>
      </c>
      <c r="Q71" s="220">
        <f t="shared" si="69"/>
        <v>2000</v>
      </c>
      <c r="R71" s="220">
        <f t="shared" si="70"/>
        <v>2000</v>
      </c>
      <c r="S71" s="220">
        <f t="shared" si="71"/>
        <v>2000</v>
      </c>
      <c r="T71" s="220">
        <f t="shared" si="72"/>
        <v>2000</v>
      </c>
      <c r="U71" s="220">
        <f t="shared" si="73"/>
        <v>472</v>
      </c>
      <c r="V71" s="220">
        <f t="shared" si="74"/>
        <v>306</v>
      </c>
      <c r="W71" s="220">
        <f t="shared" si="75"/>
        <v>62</v>
      </c>
      <c r="X71" s="220">
        <f t="shared" si="76"/>
        <v>274</v>
      </c>
      <c r="Y71" s="220">
        <f t="shared" si="77"/>
        <v>392</v>
      </c>
      <c r="Z71" s="220">
        <v>0</v>
      </c>
      <c r="AA71" s="220">
        <v>1</v>
      </c>
      <c r="AB71" s="220">
        <v>2</v>
      </c>
      <c r="AC71" s="220">
        <v>3</v>
      </c>
      <c r="AD71" s="220">
        <v>0</v>
      </c>
      <c r="AE71" s="220">
        <f t="shared" si="78"/>
        <v>-181</v>
      </c>
      <c r="AF71" s="220">
        <f t="shared" si="79"/>
        <v>-277</v>
      </c>
      <c r="AG71" s="220">
        <f t="shared" si="80"/>
        <v>-399</v>
      </c>
      <c r="AH71" s="220">
        <f t="shared" si="81"/>
        <v>-220</v>
      </c>
      <c r="AI71" s="220">
        <f t="shared" si="82"/>
        <v>-171</v>
      </c>
      <c r="AJ71" s="50">
        <f t="shared" si="47"/>
        <v>2.4580000000000011</v>
      </c>
      <c r="AK71" s="257"/>
      <c r="AL71" s="257">
        <f t="shared" si="48"/>
        <v>1.2</v>
      </c>
      <c r="AM71" s="52"/>
      <c r="AN71" s="88"/>
    </row>
    <row r="72" spans="1:40" s="29" customFormat="1" ht="17.25" customHeight="1">
      <c r="A72" s="48">
        <v>101</v>
      </c>
      <c r="B72" s="49">
        <f t="shared" si="64"/>
        <v>45615</v>
      </c>
      <c r="C72" s="220">
        <f t="shared" si="65"/>
        <v>1049</v>
      </c>
      <c r="D72" s="220">
        <f t="shared" ref="D72" si="116">D71-26</f>
        <v>2305</v>
      </c>
      <c r="E72" s="220">
        <f t="shared" si="67"/>
        <v>3354</v>
      </c>
      <c r="F72" s="220">
        <f t="shared" si="55"/>
        <v>883</v>
      </c>
      <c r="G72" s="220">
        <f t="shared" si="56"/>
        <v>1049</v>
      </c>
      <c r="H72" s="220">
        <f t="shared" si="57"/>
        <v>1294</v>
      </c>
      <c r="I72" s="220">
        <f t="shared" si="58"/>
        <v>1081</v>
      </c>
      <c r="J72" s="220">
        <f t="shared" si="59"/>
        <v>962</v>
      </c>
      <c r="K72" s="220">
        <f t="shared" si="60"/>
        <v>2471</v>
      </c>
      <c r="L72" s="220">
        <f t="shared" si="61"/>
        <v>2305</v>
      </c>
      <c r="M72" s="220">
        <f t="shared" si="62"/>
        <v>2060</v>
      </c>
      <c r="N72" s="220">
        <f t="shared" si="63"/>
        <v>2273</v>
      </c>
      <c r="O72" s="220">
        <f t="shared" si="63"/>
        <v>2392</v>
      </c>
      <c r="P72" s="220">
        <f t="shared" si="68"/>
        <v>2000</v>
      </c>
      <c r="Q72" s="220">
        <f t="shared" si="69"/>
        <v>2000</v>
      </c>
      <c r="R72" s="220">
        <f t="shared" si="70"/>
        <v>2000</v>
      </c>
      <c r="S72" s="220">
        <f t="shared" si="71"/>
        <v>2000</v>
      </c>
      <c r="T72" s="220">
        <f t="shared" si="72"/>
        <v>2000</v>
      </c>
      <c r="U72" s="220">
        <f t="shared" si="73"/>
        <v>471</v>
      </c>
      <c r="V72" s="220">
        <f t="shared" si="74"/>
        <v>305</v>
      </c>
      <c r="W72" s="220">
        <f t="shared" si="75"/>
        <v>60</v>
      </c>
      <c r="X72" s="220">
        <f t="shared" si="76"/>
        <v>273</v>
      </c>
      <c r="Y72" s="220">
        <f t="shared" si="77"/>
        <v>392</v>
      </c>
      <c r="Z72" s="220">
        <v>1</v>
      </c>
      <c r="AA72" s="220">
        <v>1</v>
      </c>
      <c r="AB72" s="220">
        <v>2</v>
      </c>
      <c r="AC72" s="220">
        <v>1</v>
      </c>
      <c r="AD72" s="220">
        <v>0</v>
      </c>
      <c r="AE72" s="220">
        <f t="shared" si="78"/>
        <v>-182</v>
      </c>
      <c r="AF72" s="220">
        <f t="shared" si="79"/>
        <v>-278</v>
      </c>
      <c r="AG72" s="220">
        <f t="shared" si="80"/>
        <v>-401</v>
      </c>
      <c r="AH72" s="220">
        <f t="shared" si="81"/>
        <v>-221</v>
      </c>
      <c r="AI72" s="220">
        <f t="shared" si="82"/>
        <v>-171</v>
      </c>
      <c r="AJ72" s="50">
        <f t="shared" si="47"/>
        <v>2.4560000000000013</v>
      </c>
      <c r="AK72" s="257"/>
      <c r="AL72" s="257">
        <f t="shared" si="48"/>
        <v>1.2</v>
      </c>
      <c r="AM72" s="52"/>
      <c r="AN72" s="88"/>
    </row>
    <row r="73" spans="1:40" s="29" customFormat="1" ht="17.25" customHeight="1">
      <c r="A73" s="48">
        <v>102</v>
      </c>
      <c r="B73" s="49">
        <f t="shared" si="64"/>
        <v>45616</v>
      </c>
      <c r="C73" s="220">
        <f t="shared" si="65"/>
        <v>1049</v>
      </c>
      <c r="D73" s="220">
        <f t="shared" ref="D73" si="117">D72+15</f>
        <v>2320</v>
      </c>
      <c r="E73" s="220">
        <f t="shared" si="67"/>
        <v>3369</v>
      </c>
      <c r="F73" s="220">
        <f t="shared" si="55"/>
        <v>898</v>
      </c>
      <c r="G73" s="220">
        <f t="shared" si="56"/>
        <v>1064</v>
      </c>
      <c r="H73" s="220">
        <f t="shared" si="57"/>
        <v>1310</v>
      </c>
      <c r="I73" s="220">
        <f t="shared" si="58"/>
        <v>1096</v>
      </c>
      <c r="J73" s="220">
        <f t="shared" si="59"/>
        <v>977</v>
      </c>
      <c r="K73" s="220">
        <f t="shared" si="60"/>
        <v>2471</v>
      </c>
      <c r="L73" s="220">
        <f t="shared" si="61"/>
        <v>2305</v>
      </c>
      <c r="M73" s="220">
        <f t="shared" si="62"/>
        <v>2059</v>
      </c>
      <c r="N73" s="220">
        <f t="shared" si="63"/>
        <v>2273</v>
      </c>
      <c r="O73" s="220">
        <f t="shared" si="63"/>
        <v>2392</v>
      </c>
      <c r="P73" s="220">
        <f t="shared" si="68"/>
        <v>2000</v>
      </c>
      <c r="Q73" s="220">
        <f t="shared" si="69"/>
        <v>2000</v>
      </c>
      <c r="R73" s="220">
        <f t="shared" si="70"/>
        <v>2000</v>
      </c>
      <c r="S73" s="220">
        <f t="shared" si="71"/>
        <v>2000</v>
      </c>
      <c r="T73" s="220">
        <f t="shared" si="72"/>
        <v>2000</v>
      </c>
      <c r="U73" s="220">
        <f t="shared" si="73"/>
        <v>471</v>
      </c>
      <c r="V73" s="220">
        <f t="shared" si="74"/>
        <v>305</v>
      </c>
      <c r="W73" s="220">
        <f t="shared" si="75"/>
        <v>59</v>
      </c>
      <c r="X73" s="220">
        <f t="shared" si="76"/>
        <v>273</v>
      </c>
      <c r="Y73" s="220">
        <f t="shared" si="77"/>
        <v>392</v>
      </c>
      <c r="Z73" s="220">
        <v>0</v>
      </c>
      <c r="AA73" s="220">
        <v>0</v>
      </c>
      <c r="AB73" s="220">
        <v>1</v>
      </c>
      <c r="AC73" s="220">
        <v>0</v>
      </c>
      <c r="AD73" s="220">
        <v>0</v>
      </c>
      <c r="AE73" s="220">
        <f t="shared" si="78"/>
        <v>-182</v>
      </c>
      <c r="AF73" s="220">
        <f t="shared" si="79"/>
        <v>-278</v>
      </c>
      <c r="AG73" s="220">
        <f t="shared" si="80"/>
        <v>-402</v>
      </c>
      <c r="AH73" s="220">
        <f t="shared" si="81"/>
        <v>-221</v>
      </c>
      <c r="AI73" s="220">
        <f t="shared" si="82"/>
        <v>-171</v>
      </c>
      <c r="AJ73" s="50">
        <f t="shared" si="47"/>
        <v>2.4550000000000014</v>
      </c>
      <c r="AK73" s="257"/>
      <c r="AL73" s="257">
        <f t="shared" si="48"/>
        <v>1.2</v>
      </c>
      <c r="AM73" s="52"/>
      <c r="AN73" s="88"/>
    </row>
    <row r="74" spans="1:40" s="29" customFormat="1" ht="17.25" customHeight="1">
      <c r="A74" s="48">
        <v>103</v>
      </c>
      <c r="B74" s="49">
        <f t="shared" si="64"/>
        <v>45617</v>
      </c>
      <c r="C74" s="220">
        <f t="shared" si="65"/>
        <v>1049</v>
      </c>
      <c r="D74" s="220">
        <f t="shared" ref="D74" si="118">D73+26</f>
        <v>2346</v>
      </c>
      <c r="E74" s="220">
        <f t="shared" si="67"/>
        <v>3395</v>
      </c>
      <c r="F74" s="220">
        <f t="shared" si="55"/>
        <v>924</v>
      </c>
      <c r="G74" s="220">
        <f t="shared" si="56"/>
        <v>1092</v>
      </c>
      <c r="H74" s="220">
        <f t="shared" si="57"/>
        <v>1337</v>
      </c>
      <c r="I74" s="220">
        <f t="shared" si="58"/>
        <v>1124</v>
      </c>
      <c r="J74" s="220">
        <f t="shared" si="59"/>
        <v>1003</v>
      </c>
      <c r="K74" s="220">
        <f t="shared" si="60"/>
        <v>2471</v>
      </c>
      <c r="L74" s="220">
        <f t="shared" si="61"/>
        <v>2303</v>
      </c>
      <c r="M74" s="220">
        <f t="shared" si="62"/>
        <v>2058</v>
      </c>
      <c r="N74" s="220">
        <f t="shared" si="63"/>
        <v>2271</v>
      </c>
      <c r="O74" s="220">
        <f t="shared" si="63"/>
        <v>2392</v>
      </c>
      <c r="P74" s="220">
        <f t="shared" si="68"/>
        <v>2000</v>
      </c>
      <c r="Q74" s="220">
        <f t="shared" si="69"/>
        <v>2000</v>
      </c>
      <c r="R74" s="220">
        <f t="shared" si="70"/>
        <v>2000</v>
      </c>
      <c r="S74" s="220">
        <f t="shared" si="71"/>
        <v>2000</v>
      </c>
      <c r="T74" s="220">
        <f t="shared" si="72"/>
        <v>2000</v>
      </c>
      <c r="U74" s="220">
        <f t="shared" si="73"/>
        <v>471</v>
      </c>
      <c r="V74" s="220">
        <f t="shared" si="74"/>
        <v>303</v>
      </c>
      <c r="W74" s="220">
        <f t="shared" si="75"/>
        <v>58</v>
      </c>
      <c r="X74" s="220">
        <f t="shared" si="76"/>
        <v>271</v>
      </c>
      <c r="Y74" s="220">
        <f t="shared" si="77"/>
        <v>392</v>
      </c>
      <c r="Z74" s="220">
        <v>0</v>
      </c>
      <c r="AA74" s="220">
        <v>2</v>
      </c>
      <c r="AB74" s="220">
        <v>1</v>
      </c>
      <c r="AC74" s="220">
        <v>2</v>
      </c>
      <c r="AD74" s="220">
        <v>0</v>
      </c>
      <c r="AE74" s="220">
        <f t="shared" si="78"/>
        <v>-182</v>
      </c>
      <c r="AF74" s="220">
        <f t="shared" si="79"/>
        <v>-280</v>
      </c>
      <c r="AG74" s="220">
        <f t="shared" si="80"/>
        <v>-403</v>
      </c>
      <c r="AH74" s="220">
        <f t="shared" si="81"/>
        <v>-223</v>
      </c>
      <c r="AI74" s="220">
        <f t="shared" si="82"/>
        <v>-171</v>
      </c>
      <c r="AJ74" s="50">
        <f t="shared" si="47"/>
        <v>2.4540000000000015</v>
      </c>
      <c r="AK74" s="257"/>
      <c r="AL74" s="257">
        <f t="shared" si="48"/>
        <v>1.2</v>
      </c>
      <c r="AM74" s="52"/>
      <c r="AN74" s="88"/>
    </row>
    <row r="75" spans="1:40" s="29" customFormat="1" ht="17.25" customHeight="1">
      <c r="A75" s="48">
        <v>104</v>
      </c>
      <c r="B75" s="49">
        <f t="shared" si="64"/>
        <v>45618</v>
      </c>
      <c r="C75" s="220">
        <f t="shared" si="65"/>
        <v>1049</v>
      </c>
      <c r="D75" s="220">
        <f t="shared" ref="D75" si="119">D74+32</f>
        <v>2378</v>
      </c>
      <c r="E75" s="220">
        <f t="shared" si="67"/>
        <v>3427</v>
      </c>
      <c r="F75" s="220">
        <f t="shared" si="55"/>
        <v>957</v>
      </c>
      <c r="G75" s="220">
        <f t="shared" si="56"/>
        <v>1124</v>
      </c>
      <c r="H75" s="220">
        <f t="shared" si="57"/>
        <v>1370</v>
      </c>
      <c r="I75" s="220">
        <f t="shared" si="58"/>
        <v>1156</v>
      </c>
      <c r="J75" s="220">
        <f t="shared" si="59"/>
        <v>1035</v>
      </c>
      <c r="K75" s="220">
        <f t="shared" si="60"/>
        <v>2470</v>
      </c>
      <c r="L75" s="220">
        <f t="shared" si="61"/>
        <v>2303</v>
      </c>
      <c r="M75" s="220">
        <f t="shared" si="62"/>
        <v>2057</v>
      </c>
      <c r="N75" s="220">
        <f t="shared" si="63"/>
        <v>2271</v>
      </c>
      <c r="O75" s="220">
        <f t="shared" si="63"/>
        <v>2392</v>
      </c>
      <c r="P75" s="220">
        <f t="shared" si="68"/>
        <v>2000</v>
      </c>
      <c r="Q75" s="220">
        <f t="shared" si="69"/>
        <v>2000</v>
      </c>
      <c r="R75" s="220">
        <f t="shared" si="70"/>
        <v>2000</v>
      </c>
      <c r="S75" s="220">
        <f t="shared" si="71"/>
        <v>2000</v>
      </c>
      <c r="T75" s="220">
        <f t="shared" si="72"/>
        <v>2000</v>
      </c>
      <c r="U75" s="220">
        <f t="shared" si="73"/>
        <v>470</v>
      </c>
      <c r="V75" s="220">
        <f t="shared" si="74"/>
        <v>303</v>
      </c>
      <c r="W75" s="220">
        <f t="shared" si="75"/>
        <v>57</v>
      </c>
      <c r="X75" s="220">
        <f t="shared" si="76"/>
        <v>271</v>
      </c>
      <c r="Y75" s="220">
        <f t="shared" si="77"/>
        <v>392</v>
      </c>
      <c r="Z75" s="220">
        <v>1</v>
      </c>
      <c r="AA75" s="220">
        <v>0</v>
      </c>
      <c r="AB75" s="220">
        <v>1</v>
      </c>
      <c r="AC75" s="220">
        <v>0</v>
      </c>
      <c r="AD75" s="220">
        <v>0</v>
      </c>
      <c r="AE75" s="220">
        <f t="shared" si="78"/>
        <v>-183</v>
      </c>
      <c r="AF75" s="220">
        <f t="shared" si="79"/>
        <v>-280</v>
      </c>
      <c r="AG75" s="220">
        <f t="shared" si="80"/>
        <v>-404</v>
      </c>
      <c r="AH75" s="220">
        <f t="shared" si="81"/>
        <v>-223</v>
      </c>
      <c r="AI75" s="220">
        <f t="shared" si="82"/>
        <v>-171</v>
      </c>
      <c r="AJ75" s="50">
        <f t="shared" si="47"/>
        <v>2.4530000000000016</v>
      </c>
      <c r="AK75" s="257"/>
      <c r="AL75" s="257">
        <f t="shared" si="48"/>
        <v>1.2</v>
      </c>
      <c r="AM75" s="52"/>
      <c r="AN75" s="88"/>
    </row>
    <row r="76" spans="1:40" s="29" customFormat="1" ht="17.25" customHeight="1">
      <c r="A76" s="48">
        <v>105</v>
      </c>
      <c r="B76" s="49">
        <f t="shared" si="64"/>
        <v>45619</v>
      </c>
      <c r="C76" s="220">
        <f t="shared" si="65"/>
        <v>1049</v>
      </c>
      <c r="D76" s="220">
        <f t="shared" ref="D76" si="120">D75-18</f>
        <v>2360</v>
      </c>
      <c r="E76" s="220">
        <f t="shared" si="67"/>
        <v>3409</v>
      </c>
      <c r="F76" s="220">
        <f t="shared" si="55"/>
        <v>939</v>
      </c>
      <c r="G76" s="220">
        <f t="shared" si="56"/>
        <v>1106</v>
      </c>
      <c r="H76" s="220">
        <f t="shared" si="57"/>
        <v>1353</v>
      </c>
      <c r="I76" s="220">
        <f t="shared" si="58"/>
        <v>1141</v>
      </c>
      <c r="J76" s="220">
        <f t="shared" si="59"/>
        <v>1017</v>
      </c>
      <c r="K76" s="220">
        <f t="shared" si="60"/>
        <v>2470</v>
      </c>
      <c r="L76" s="220">
        <f t="shared" si="61"/>
        <v>2303</v>
      </c>
      <c r="M76" s="220">
        <f t="shared" si="62"/>
        <v>2056</v>
      </c>
      <c r="N76" s="220">
        <f t="shared" si="63"/>
        <v>2268</v>
      </c>
      <c r="O76" s="220">
        <f t="shared" si="63"/>
        <v>2392</v>
      </c>
      <c r="P76" s="220">
        <f t="shared" si="68"/>
        <v>2000</v>
      </c>
      <c r="Q76" s="220">
        <f t="shared" si="69"/>
        <v>2000</v>
      </c>
      <c r="R76" s="220">
        <f t="shared" si="70"/>
        <v>2000</v>
      </c>
      <c r="S76" s="220">
        <f t="shared" si="71"/>
        <v>2000</v>
      </c>
      <c r="T76" s="220">
        <f t="shared" si="72"/>
        <v>2000</v>
      </c>
      <c r="U76" s="220">
        <f t="shared" si="73"/>
        <v>470</v>
      </c>
      <c r="V76" s="220">
        <f t="shared" si="74"/>
        <v>303</v>
      </c>
      <c r="W76" s="220">
        <f t="shared" si="75"/>
        <v>56</v>
      </c>
      <c r="X76" s="220">
        <f t="shared" si="76"/>
        <v>268</v>
      </c>
      <c r="Y76" s="220">
        <f t="shared" si="77"/>
        <v>392</v>
      </c>
      <c r="Z76" s="220">
        <v>0</v>
      </c>
      <c r="AA76" s="220">
        <v>0</v>
      </c>
      <c r="AB76" s="220">
        <v>1</v>
      </c>
      <c r="AC76" s="220">
        <v>3</v>
      </c>
      <c r="AD76" s="220">
        <v>0</v>
      </c>
      <c r="AE76" s="220">
        <f t="shared" si="78"/>
        <v>-183</v>
      </c>
      <c r="AF76" s="220">
        <f t="shared" si="79"/>
        <v>-280</v>
      </c>
      <c r="AG76" s="220">
        <f t="shared" si="80"/>
        <v>-405</v>
      </c>
      <c r="AH76" s="220">
        <f t="shared" si="81"/>
        <v>-226</v>
      </c>
      <c r="AI76" s="220">
        <f t="shared" si="82"/>
        <v>-171</v>
      </c>
      <c r="AJ76" s="50">
        <f t="shared" si="47"/>
        <v>2.4520000000000017</v>
      </c>
      <c r="AK76" s="257"/>
      <c r="AL76" s="257">
        <f t="shared" si="48"/>
        <v>1.2</v>
      </c>
      <c r="AM76" s="52"/>
      <c r="AN76" s="88"/>
    </row>
    <row r="77" spans="1:40" s="29" customFormat="1" ht="17.25" customHeight="1">
      <c r="A77" s="48">
        <v>106</v>
      </c>
      <c r="B77" s="49">
        <f t="shared" si="64"/>
        <v>45620</v>
      </c>
      <c r="C77" s="220">
        <f t="shared" si="65"/>
        <v>1049</v>
      </c>
      <c r="D77" s="220">
        <f t="shared" ref="D77" si="121">D76-26</f>
        <v>2334</v>
      </c>
      <c r="E77" s="220">
        <f t="shared" si="67"/>
        <v>3383</v>
      </c>
      <c r="F77" s="220">
        <f t="shared" si="55"/>
        <v>913</v>
      </c>
      <c r="G77" s="220">
        <f t="shared" si="56"/>
        <v>1080</v>
      </c>
      <c r="H77" s="220">
        <f t="shared" si="57"/>
        <v>1328</v>
      </c>
      <c r="I77" s="220">
        <f t="shared" si="58"/>
        <v>1115</v>
      </c>
      <c r="J77" s="220">
        <f t="shared" si="59"/>
        <v>991</v>
      </c>
      <c r="K77" s="220">
        <f t="shared" si="60"/>
        <v>2470</v>
      </c>
      <c r="L77" s="220">
        <f t="shared" si="61"/>
        <v>2303</v>
      </c>
      <c r="M77" s="220">
        <f t="shared" si="62"/>
        <v>2055</v>
      </c>
      <c r="N77" s="220">
        <f t="shared" si="63"/>
        <v>2268</v>
      </c>
      <c r="O77" s="220">
        <f t="shared" si="63"/>
        <v>2392</v>
      </c>
      <c r="P77" s="220">
        <f t="shared" si="68"/>
        <v>2000</v>
      </c>
      <c r="Q77" s="220">
        <f t="shared" si="69"/>
        <v>2000</v>
      </c>
      <c r="R77" s="220">
        <f t="shared" si="70"/>
        <v>2000</v>
      </c>
      <c r="S77" s="220">
        <f t="shared" si="71"/>
        <v>2000</v>
      </c>
      <c r="T77" s="220">
        <f t="shared" si="72"/>
        <v>2000</v>
      </c>
      <c r="U77" s="220">
        <f t="shared" si="73"/>
        <v>470</v>
      </c>
      <c r="V77" s="220">
        <f t="shared" si="74"/>
        <v>303</v>
      </c>
      <c r="W77" s="220">
        <f t="shared" si="75"/>
        <v>55</v>
      </c>
      <c r="X77" s="220">
        <f t="shared" si="76"/>
        <v>268</v>
      </c>
      <c r="Y77" s="220">
        <f t="shared" si="77"/>
        <v>392</v>
      </c>
      <c r="Z77" s="220">
        <v>0</v>
      </c>
      <c r="AA77" s="220">
        <v>0</v>
      </c>
      <c r="AB77" s="220">
        <v>1</v>
      </c>
      <c r="AC77" s="220">
        <v>0</v>
      </c>
      <c r="AD77" s="220">
        <v>0</v>
      </c>
      <c r="AE77" s="220">
        <f t="shared" si="78"/>
        <v>-183</v>
      </c>
      <c r="AF77" s="220">
        <f t="shared" si="79"/>
        <v>-280</v>
      </c>
      <c r="AG77" s="220">
        <f t="shared" si="80"/>
        <v>-406</v>
      </c>
      <c r="AH77" s="220">
        <f t="shared" si="81"/>
        <v>-226</v>
      </c>
      <c r="AI77" s="220">
        <f t="shared" si="82"/>
        <v>-171</v>
      </c>
      <c r="AJ77" s="50">
        <f t="shared" si="47"/>
        <v>2.4510000000000018</v>
      </c>
      <c r="AK77" s="257"/>
      <c r="AL77" s="257">
        <f t="shared" si="48"/>
        <v>1.2</v>
      </c>
      <c r="AM77" s="52"/>
      <c r="AN77" s="88"/>
    </row>
    <row r="78" spans="1:40" s="29" customFormat="1" ht="17.25" customHeight="1">
      <c r="A78" s="48">
        <v>107</v>
      </c>
      <c r="B78" s="49">
        <f t="shared" si="64"/>
        <v>45621</v>
      </c>
      <c r="C78" s="220">
        <f t="shared" si="65"/>
        <v>1049</v>
      </c>
      <c r="D78" s="220">
        <f t="shared" ref="D78" si="122">D77+15</f>
        <v>2349</v>
      </c>
      <c r="E78" s="220">
        <f t="shared" si="67"/>
        <v>3398</v>
      </c>
      <c r="F78" s="220">
        <f t="shared" si="55"/>
        <v>929</v>
      </c>
      <c r="G78" s="220">
        <f t="shared" si="56"/>
        <v>1098</v>
      </c>
      <c r="H78" s="220">
        <f t="shared" si="57"/>
        <v>1344</v>
      </c>
      <c r="I78" s="220">
        <f t="shared" si="58"/>
        <v>1130</v>
      </c>
      <c r="J78" s="220">
        <f t="shared" si="59"/>
        <v>1008</v>
      </c>
      <c r="K78" s="220">
        <f t="shared" si="60"/>
        <v>2469</v>
      </c>
      <c r="L78" s="220">
        <f t="shared" si="61"/>
        <v>2300</v>
      </c>
      <c r="M78" s="220">
        <f t="shared" si="62"/>
        <v>2054</v>
      </c>
      <c r="N78" s="220">
        <f t="shared" si="63"/>
        <v>2268</v>
      </c>
      <c r="O78" s="220">
        <f t="shared" si="63"/>
        <v>2390</v>
      </c>
      <c r="P78" s="220">
        <f t="shared" si="68"/>
        <v>2000</v>
      </c>
      <c r="Q78" s="220">
        <f t="shared" si="69"/>
        <v>2000</v>
      </c>
      <c r="R78" s="220">
        <f t="shared" si="70"/>
        <v>2000</v>
      </c>
      <c r="S78" s="220">
        <f t="shared" si="71"/>
        <v>2000</v>
      </c>
      <c r="T78" s="220">
        <f t="shared" si="72"/>
        <v>2000</v>
      </c>
      <c r="U78" s="220">
        <f t="shared" si="73"/>
        <v>469</v>
      </c>
      <c r="V78" s="220">
        <f t="shared" si="74"/>
        <v>300</v>
      </c>
      <c r="W78" s="220">
        <f t="shared" si="75"/>
        <v>54</v>
      </c>
      <c r="X78" s="220">
        <f t="shared" si="76"/>
        <v>268</v>
      </c>
      <c r="Y78" s="220">
        <f t="shared" si="77"/>
        <v>390</v>
      </c>
      <c r="Z78" s="220">
        <v>1</v>
      </c>
      <c r="AA78" s="220">
        <v>3</v>
      </c>
      <c r="AB78" s="220">
        <v>1</v>
      </c>
      <c r="AC78" s="220">
        <v>0</v>
      </c>
      <c r="AD78" s="220">
        <v>2</v>
      </c>
      <c r="AE78" s="220">
        <f t="shared" si="78"/>
        <v>-184</v>
      </c>
      <c r="AF78" s="220">
        <f t="shared" si="79"/>
        <v>-283</v>
      </c>
      <c r="AG78" s="220">
        <f t="shared" si="80"/>
        <v>-407</v>
      </c>
      <c r="AH78" s="220">
        <f t="shared" si="81"/>
        <v>-226</v>
      </c>
      <c r="AI78" s="220">
        <f t="shared" si="82"/>
        <v>-173</v>
      </c>
      <c r="AJ78" s="50">
        <f t="shared" si="47"/>
        <v>2.450000000000002</v>
      </c>
      <c r="AK78" s="257"/>
      <c r="AL78" s="257">
        <f t="shared" si="48"/>
        <v>1.2</v>
      </c>
      <c r="AM78" s="52"/>
      <c r="AN78" s="88"/>
    </row>
    <row r="79" spans="1:40" s="29" customFormat="1" ht="17.25" customHeight="1">
      <c r="A79" s="48">
        <v>108</v>
      </c>
      <c r="B79" s="49">
        <f t="shared" si="64"/>
        <v>45622</v>
      </c>
      <c r="C79" s="220">
        <f t="shared" si="65"/>
        <v>1049</v>
      </c>
      <c r="D79" s="220">
        <f t="shared" ref="D79" si="123">D78+26</f>
        <v>2375</v>
      </c>
      <c r="E79" s="220">
        <f t="shared" si="67"/>
        <v>3424</v>
      </c>
      <c r="F79" s="220">
        <f t="shared" si="55"/>
        <v>955</v>
      </c>
      <c r="G79" s="220">
        <f t="shared" si="56"/>
        <v>1124</v>
      </c>
      <c r="H79" s="220">
        <f t="shared" si="57"/>
        <v>1371</v>
      </c>
      <c r="I79" s="220">
        <f t="shared" si="58"/>
        <v>1159</v>
      </c>
      <c r="J79" s="220">
        <f t="shared" si="59"/>
        <v>1034</v>
      </c>
      <c r="K79" s="220">
        <f t="shared" si="60"/>
        <v>2469</v>
      </c>
      <c r="L79" s="220">
        <f t="shared" si="61"/>
        <v>2300</v>
      </c>
      <c r="M79" s="220">
        <f t="shared" si="62"/>
        <v>2053</v>
      </c>
      <c r="N79" s="220">
        <f t="shared" si="63"/>
        <v>2265</v>
      </c>
      <c r="O79" s="220">
        <f t="shared" si="63"/>
        <v>2390</v>
      </c>
      <c r="P79" s="220">
        <f t="shared" si="68"/>
        <v>2000</v>
      </c>
      <c r="Q79" s="220">
        <f t="shared" si="69"/>
        <v>2000</v>
      </c>
      <c r="R79" s="220">
        <f t="shared" si="70"/>
        <v>2000</v>
      </c>
      <c r="S79" s="220">
        <f t="shared" si="71"/>
        <v>2000</v>
      </c>
      <c r="T79" s="220">
        <f t="shared" si="72"/>
        <v>2000</v>
      </c>
      <c r="U79" s="220">
        <f t="shared" si="73"/>
        <v>469</v>
      </c>
      <c r="V79" s="220">
        <f t="shared" si="74"/>
        <v>300</v>
      </c>
      <c r="W79" s="220">
        <f t="shared" si="75"/>
        <v>53</v>
      </c>
      <c r="X79" s="220">
        <f t="shared" si="76"/>
        <v>265</v>
      </c>
      <c r="Y79" s="220">
        <f t="shared" si="77"/>
        <v>390</v>
      </c>
      <c r="Z79" s="220">
        <v>0</v>
      </c>
      <c r="AA79" s="220">
        <v>0</v>
      </c>
      <c r="AB79" s="220">
        <v>1</v>
      </c>
      <c r="AC79" s="220">
        <v>3</v>
      </c>
      <c r="AD79" s="220">
        <v>0</v>
      </c>
      <c r="AE79" s="220">
        <f t="shared" si="78"/>
        <v>-184</v>
      </c>
      <c r="AF79" s="220">
        <f t="shared" si="79"/>
        <v>-283</v>
      </c>
      <c r="AG79" s="220">
        <f t="shared" si="80"/>
        <v>-408</v>
      </c>
      <c r="AH79" s="220">
        <f t="shared" si="81"/>
        <v>-229</v>
      </c>
      <c r="AI79" s="220">
        <f t="shared" si="82"/>
        <v>-173</v>
      </c>
      <c r="AJ79" s="50">
        <f t="shared" si="47"/>
        <v>2.4490000000000021</v>
      </c>
      <c r="AK79" s="257"/>
      <c r="AL79" s="257">
        <f t="shared" si="48"/>
        <v>1.2</v>
      </c>
      <c r="AM79" s="52"/>
      <c r="AN79" s="88"/>
    </row>
    <row r="80" spans="1:40" s="29" customFormat="1" ht="17.25" customHeight="1">
      <c r="A80" s="48">
        <v>109</v>
      </c>
      <c r="B80" s="49">
        <f t="shared" si="64"/>
        <v>45623</v>
      </c>
      <c r="C80" s="220">
        <f t="shared" si="65"/>
        <v>1049</v>
      </c>
      <c r="D80" s="220">
        <f t="shared" ref="D80" si="124">D79+32</f>
        <v>2407</v>
      </c>
      <c r="E80" s="220">
        <f t="shared" si="67"/>
        <v>3456</v>
      </c>
      <c r="F80" s="220">
        <f t="shared" si="55"/>
        <v>988</v>
      </c>
      <c r="G80" s="220">
        <f t="shared" si="56"/>
        <v>1156</v>
      </c>
      <c r="H80" s="220">
        <f t="shared" si="57"/>
        <v>1403</v>
      </c>
      <c r="I80" s="220">
        <f t="shared" si="58"/>
        <v>1194</v>
      </c>
      <c r="J80" s="220">
        <f t="shared" si="59"/>
        <v>1066</v>
      </c>
      <c r="K80" s="220">
        <f t="shared" si="60"/>
        <v>2468</v>
      </c>
      <c r="L80" s="220">
        <f t="shared" si="61"/>
        <v>2300</v>
      </c>
      <c r="M80" s="220">
        <f t="shared" si="62"/>
        <v>2053</v>
      </c>
      <c r="N80" s="220">
        <f t="shared" si="63"/>
        <v>2262</v>
      </c>
      <c r="O80" s="220">
        <f t="shared" si="63"/>
        <v>2390</v>
      </c>
      <c r="P80" s="220">
        <f t="shared" si="68"/>
        <v>2000</v>
      </c>
      <c r="Q80" s="220">
        <f t="shared" si="69"/>
        <v>2000</v>
      </c>
      <c r="R80" s="220">
        <f t="shared" si="70"/>
        <v>2000</v>
      </c>
      <c r="S80" s="220">
        <f t="shared" si="71"/>
        <v>2000</v>
      </c>
      <c r="T80" s="220">
        <f t="shared" si="72"/>
        <v>2000</v>
      </c>
      <c r="U80" s="220">
        <f t="shared" si="73"/>
        <v>468</v>
      </c>
      <c r="V80" s="220">
        <f t="shared" si="74"/>
        <v>300</v>
      </c>
      <c r="W80" s="220">
        <f t="shared" si="75"/>
        <v>53</v>
      </c>
      <c r="X80" s="220">
        <f t="shared" si="76"/>
        <v>262</v>
      </c>
      <c r="Y80" s="220">
        <f t="shared" si="77"/>
        <v>390</v>
      </c>
      <c r="Z80" s="220">
        <v>1</v>
      </c>
      <c r="AA80" s="220">
        <v>0</v>
      </c>
      <c r="AB80" s="220">
        <v>0</v>
      </c>
      <c r="AC80" s="220">
        <v>3</v>
      </c>
      <c r="AD80" s="220">
        <v>0</v>
      </c>
      <c r="AE80" s="220">
        <f t="shared" si="78"/>
        <v>-185</v>
      </c>
      <c r="AF80" s="220">
        <f t="shared" si="79"/>
        <v>-283</v>
      </c>
      <c r="AG80" s="220">
        <f t="shared" si="80"/>
        <v>-408</v>
      </c>
      <c r="AH80" s="220">
        <f t="shared" si="81"/>
        <v>-232</v>
      </c>
      <c r="AI80" s="220">
        <f t="shared" si="82"/>
        <v>-173</v>
      </c>
      <c r="AJ80" s="50">
        <f t="shared" si="47"/>
        <v>2.4490000000000021</v>
      </c>
      <c r="AK80" s="257"/>
      <c r="AL80" s="257">
        <f t="shared" si="48"/>
        <v>1.2</v>
      </c>
      <c r="AM80" s="52"/>
      <c r="AN80" s="88"/>
    </row>
    <row r="81" spans="1:40" s="29" customFormat="1" ht="17.25" customHeight="1">
      <c r="A81" s="48">
        <v>110</v>
      </c>
      <c r="B81" s="49">
        <f t="shared" si="64"/>
        <v>45624</v>
      </c>
      <c r="C81" s="220">
        <f t="shared" si="65"/>
        <v>1049</v>
      </c>
      <c r="D81" s="220">
        <f t="shared" ref="D81" si="125">D80-18</f>
        <v>2389</v>
      </c>
      <c r="E81" s="220">
        <f t="shared" si="67"/>
        <v>3438</v>
      </c>
      <c r="F81" s="220">
        <f t="shared" si="55"/>
        <v>970</v>
      </c>
      <c r="G81" s="220">
        <f t="shared" si="56"/>
        <v>1138</v>
      </c>
      <c r="H81" s="220">
        <f t="shared" si="57"/>
        <v>1386</v>
      </c>
      <c r="I81" s="220">
        <f t="shared" si="58"/>
        <v>1179</v>
      </c>
      <c r="J81" s="220">
        <f t="shared" si="59"/>
        <v>1048</v>
      </c>
      <c r="K81" s="220">
        <f t="shared" si="60"/>
        <v>2468</v>
      </c>
      <c r="L81" s="220">
        <f t="shared" si="61"/>
        <v>2300</v>
      </c>
      <c r="M81" s="220">
        <f t="shared" si="62"/>
        <v>2052</v>
      </c>
      <c r="N81" s="220">
        <f t="shared" si="63"/>
        <v>2259</v>
      </c>
      <c r="O81" s="220">
        <f t="shared" si="63"/>
        <v>2390</v>
      </c>
      <c r="P81" s="220">
        <f t="shared" si="68"/>
        <v>2000</v>
      </c>
      <c r="Q81" s="220">
        <f t="shared" si="69"/>
        <v>2000</v>
      </c>
      <c r="R81" s="220">
        <f t="shared" si="70"/>
        <v>2000</v>
      </c>
      <c r="S81" s="220">
        <f t="shared" si="71"/>
        <v>2000</v>
      </c>
      <c r="T81" s="220">
        <f t="shared" si="72"/>
        <v>2000</v>
      </c>
      <c r="U81" s="220">
        <f t="shared" si="73"/>
        <v>468</v>
      </c>
      <c r="V81" s="220">
        <f t="shared" si="74"/>
        <v>300</v>
      </c>
      <c r="W81" s="220">
        <f t="shared" si="75"/>
        <v>52</v>
      </c>
      <c r="X81" s="220">
        <f t="shared" si="76"/>
        <v>259</v>
      </c>
      <c r="Y81" s="220">
        <f t="shared" si="77"/>
        <v>390</v>
      </c>
      <c r="Z81" s="220">
        <v>0</v>
      </c>
      <c r="AA81" s="220">
        <v>0</v>
      </c>
      <c r="AB81" s="220">
        <v>1</v>
      </c>
      <c r="AC81" s="220">
        <v>3</v>
      </c>
      <c r="AD81" s="220">
        <v>0</v>
      </c>
      <c r="AE81" s="220">
        <f t="shared" si="78"/>
        <v>-185</v>
      </c>
      <c r="AF81" s="220">
        <f t="shared" si="79"/>
        <v>-283</v>
      </c>
      <c r="AG81" s="220">
        <f t="shared" si="80"/>
        <v>-409</v>
      </c>
      <c r="AH81" s="220">
        <f t="shared" si="81"/>
        <v>-235</v>
      </c>
      <c r="AI81" s="220">
        <f t="shared" si="82"/>
        <v>-173</v>
      </c>
      <c r="AJ81" s="50">
        <f t="shared" si="47"/>
        <v>2.4480000000000022</v>
      </c>
      <c r="AK81" s="257"/>
      <c r="AL81" s="257">
        <f t="shared" si="48"/>
        <v>1.2</v>
      </c>
      <c r="AM81" s="52"/>
      <c r="AN81" s="88"/>
    </row>
    <row r="82" spans="1:40" s="29" customFormat="1" ht="17.25" customHeight="1">
      <c r="A82" s="48">
        <v>111</v>
      </c>
      <c r="B82" s="49">
        <f t="shared" si="64"/>
        <v>45625</v>
      </c>
      <c r="C82" s="220">
        <f t="shared" si="65"/>
        <v>1049</v>
      </c>
      <c r="D82" s="220">
        <f t="shared" ref="D82" si="126">D81-26</f>
        <v>2363</v>
      </c>
      <c r="E82" s="220">
        <f t="shared" si="67"/>
        <v>3412</v>
      </c>
      <c r="F82" s="220">
        <f t="shared" si="55"/>
        <v>945</v>
      </c>
      <c r="G82" s="220">
        <f t="shared" si="56"/>
        <v>1112</v>
      </c>
      <c r="H82" s="220">
        <f t="shared" si="57"/>
        <v>1360</v>
      </c>
      <c r="I82" s="220">
        <f t="shared" si="58"/>
        <v>1156</v>
      </c>
      <c r="J82" s="220">
        <f t="shared" si="59"/>
        <v>1022</v>
      </c>
      <c r="K82" s="220">
        <f t="shared" si="60"/>
        <v>2467</v>
      </c>
      <c r="L82" s="220">
        <f t="shared" si="61"/>
        <v>2300</v>
      </c>
      <c r="M82" s="220">
        <f t="shared" si="62"/>
        <v>2052</v>
      </c>
      <c r="N82" s="220">
        <f t="shared" si="63"/>
        <v>2256</v>
      </c>
      <c r="O82" s="220">
        <f t="shared" si="63"/>
        <v>2390</v>
      </c>
      <c r="P82" s="220">
        <f t="shared" si="68"/>
        <v>2000</v>
      </c>
      <c r="Q82" s="220">
        <f t="shared" si="69"/>
        <v>2000</v>
      </c>
      <c r="R82" s="220">
        <f t="shared" si="70"/>
        <v>2000</v>
      </c>
      <c r="S82" s="220">
        <f t="shared" si="71"/>
        <v>2000</v>
      </c>
      <c r="T82" s="220">
        <f t="shared" si="72"/>
        <v>2000</v>
      </c>
      <c r="U82" s="220">
        <f t="shared" si="73"/>
        <v>467</v>
      </c>
      <c r="V82" s="220">
        <f t="shared" si="74"/>
        <v>300</v>
      </c>
      <c r="W82" s="220">
        <f t="shared" si="75"/>
        <v>52</v>
      </c>
      <c r="X82" s="220">
        <f t="shared" si="76"/>
        <v>256</v>
      </c>
      <c r="Y82" s="220">
        <f t="shared" si="77"/>
        <v>390</v>
      </c>
      <c r="Z82" s="220">
        <v>1</v>
      </c>
      <c r="AA82" s="220">
        <v>0</v>
      </c>
      <c r="AB82" s="220">
        <v>0</v>
      </c>
      <c r="AC82" s="220">
        <v>3</v>
      </c>
      <c r="AD82" s="220">
        <v>0</v>
      </c>
      <c r="AE82" s="220">
        <f t="shared" si="78"/>
        <v>-186</v>
      </c>
      <c r="AF82" s="220">
        <f t="shared" si="79"/>
        <v>-283</v>
      </c>
      <c r="AG82" s="220">
        <f t="shared" si="80"/>
        <v>-409</v>
      </c>
      <c r="AH82" s="220">
        <f t="shared" si="81"/>
        <v>-238</v>
      </c>
      <c r="AI82" s="220">
        <f t="shared" si="82"/>
        <v>-173</v>
      </c>
      <c r="AJ82" s="50">
        <f t="shared" si="47"/>
        <v>2.4480000000000022</v>
      </c>
      <c r="AK82" s="257"/>
      <c r="AL82" s="257">
        <f t="shared" si="48"/>
        <v>1.2</v>
      </c>
      <c r="AM82" s="52"/>
      <c r="AN82" s="88"/>
    </row>
    <row r="83" spans="1:40" s="29" customFormat="1" ht="17.25" customHeight="1">
      <c r="A83" s="48">
        <v>112</v>
      </c>
      <c r="B83" s="49">
        <f t="shared" si="64"/>
        <v>45626</v>
      </c>
      <c r="C83" s="220">
        <f t="shared" si="65"/>
        <v>1049</v>
      </c>
      <c r="D83" s="220">
        <f t="shared" ref="D83" si="127">D82+15</f>
        <v>2378</v>
      </c>
      <c r="E83" s="220">
        <f t="shared" si="67"/>
        <v>3427</v>
      </c>
      <c r="F83" s="220">
        <f t="shared" si="55"/>
        <v>960</v>
      </c>
      <c r="G83" s="220">
        <f t="shared" si="56"/>
        <v>1129</v>
      </c>
      <c r="H83" s="220">
        <f t="shared" si="57"/>
        <v>1375</v>
      </c>
      <c r="I83" s="220">
        <f t="shared" si="58"/>
        <v>1173</v>
      </c>
      <c r="J83" s="220">
        <f t="shared" si="59"/>
        <v>1037</v>
      </c>
      <c r="K83" s="220">
        <f t="shared" si="60"/>
        <v>2467</v>
      </c>
      <c r="L83" s="220">
        <f t="shared" si="61"/>
        <v>2298</v>
      </c>
      <c r="M83" s="220">
        <f t="shared" si="62"/>
        <v>2052</v>
      </c>
      <c r="N83" s="220">
        <f t="shared" si="63"/>
        <v>2254</v>
      </c>
      <c r="O83" s="220">
        <f t="shared" si="63"/>
        <v>2390</v>
      </c>
      <c r="P83" s="220">
        <f t="shared" si="68"/>
        <v>2000</v>
      </c>
      <c r="Q83" s="220">
        <f t="shared" si="69"/>
        <v>2000</v>
      </c>
      <c r="R83" s="220">
        <f t="shared" si="70"/>
        <v>2000</v>
      </c>
      <c r="S83" s="220">
        <f t="shared" si="71"/>
        <v>2000</v>
      </c>
      <c r="T83" s="220">
        <f t="shared" si="72"/>
        <v>2000</v>
      </c>
      <c r="U83" s="220">
        <f t="shared" si="73"/>
        <v>467</v>
      </c>
      <c r="V83" s="220">
        <f t="shared" si="74"/>
        <v>298</v>
      </c>
      <c r="W83" s="220">
        <f t="shared" si="75"/>
        <v>52</v>
      </c>
      <c r="X83" s="220">
        <f t="shared" si="76"/>
        <v>254</v>
      </c>
      <c r="Y83" s="220">
        <f t="shared" si="77"/>
        <v>390</v>
      </c>
      <c r="Z83" s="220">
        <v>0</v>
      </c>
      <c r="AA83" s="220">
        <v>2</v>
      </c>
      <c r="AB83" s="220">
        <v>0</v>
      </c>
      <c r="AC83" s="220">
        <v>2</v>
      </c>
      <c r="AD83" s="220">
        <v>0</v>
      </c>
      <c r="AE83" s="220">
        <f t="shared" si="78"/>
        <v>-186</v>
      </c>
      <c r="AF83" s="220">
        <f t="shared" si="79"/>
        <v>-285</v>
      </c>
      <c r="AG83" s="220">
        <f t="shared" si="80"/>
        <v>-409</v>
      </c>
      <c r="AH83" s="220">
        <f t="shared" si="81"/>
        <v>-240</v>
      </c>
      <c r="AI83" s="220">
        <f t="shared" si="82"/>
        <v>-173</v>
      </c>
      <c r="AJ83" s="50">
        <f t="shared" si="47"/>
        <v>2.4480000000000022</v>
      </c>
      <c r="AK83" s="257"/>
      <c r="AL83" s="257">
        <f t="shared" si="48"/>
        <v>1.2</v>
      </c>
      <c r="AM83" s="52"/>
      <c r="AN83" s="88"/>
    </row>
    <row r="84" spans="1:40" s="29" customFormat="1" ht="17.25" customHeight="1">
      <c r="A84" s="48">
        <v>113</v>
      </c>
      <c r="B84" s="49">
        <f t="shared" si="64"/>
        <v>45627</v>
      </c>
      <c r="C84" s="220">
        <f t="shared" si="65"/>
        <v>1049</v>
      </c>
      <c r="D84" s="220">
        <f t="shared" ref="D84" si="128">D83+26</f>
        <v>2404</v>
      </c>
      <c r="E84" s="220">
        <f t="shared" si="67"/>
        <v>3453</v>
      </c>
      <c r="F84" s="220">
        <f t="shared" si="55"/>
        <v>987</v>
      </c>
      <c r="G84" s="220">
        <f t="shared" si="56"/>
        <v>1158</v>
      </c>
      <c r="H84" s="220">
        <f t="shared" si="57"/>
        <v>1403</v>
      </c>
      <c r="I84" s="220">
        <f t="shared" si="58"/>
        <v>1199</v>
      </c>
      <c r="J84" s="220">
        <f t="shared" si="59"/>
        <v>1063</v>
      </c>
      <c r="K84" s="220">
        <f t="shared" si="60"/>
        <v>2466</v>
      </c>
      <c r="L84" s="220">
        <f t="shared" si="61"/>
        <v>2295</v>
      </c>
      <c r="M84" s="220">
        <f t="shared" si="62"/>
        <v>2050</v>
      </c>
      <c r="N84" s="220">
        <f t="shared" si="63"/>
        <v>2254</v>
      </c>
      <c r="O84" s="220">
        <f t="shared" si="63"/>
        <v>2390</v>
      </c>
      <c r="P84" s="220">
        <f t="shared" si="68"/>
        <v>2000</v>
      </c>
      <c r="Q84" s="220">
        <f t="shared" si="69"/>
        <v>2000</v>
      </c>
      <c r="R84" s="220">
        <f t="shared" si="70"/>
        <v>2000</v>
      </c>
      <c r="S84" s="220">
        <f t="shared" si="71"/>
        <v>2000</v>
      </c>
      <c r="T84" s="220">
        <f t="shared" si="72"/>
        <v>2000</v>
      </c>
      <c r="U84" s="220">
        <f t="shared" si="73"/>
        <v>466</v>
      </c>
      <c r="V84" s="220">
        <f t="shared" si="74"/>
        <v>295</v>
      </c>
      <c r="W84" s="220">
        <f t="shared" si="75"/>
        <v>50</v>
      </c>
      <c r="X84" s="220">
        <f t="shared" si="76"/>
        <v>254</v>
      </c>
      <c r="Y84" s="220">
        <f t="shared" si="77"/>
        <v>390</v>
      </c>
      <c r="Z84" s="220">
        <v>1</v>
      </c>
      <c r="AA84" s="220">
        <v>3</v>
      </c>
      <c r="AB84" s="220">
        <v>2</v>
      </c>
      <c r="AC84" s="220">
        <v>0</v>
      </c>
      <c r="AD84" s="220">
        <v>0</v>
      </c>
      <c r="AE84" s="220">
        <f t="shared" si="78"/>
        <v>-187</v>
      </c>
      <c r="AF84" s="220">
        <f t="shared" si="79"/>
        <v>-288</v>
      </c>
      <c r="AG84" s="220">
        <f t="shared" si="80"/>
        <v>-411</v>
      </c>
      <c r="AH84" s="220">
        <f t="shared" si="81"/>
        <v>-240</v>
      </c>
      <c r="AI84" s="220">
        <f t="shared" si="82"/>
        <v>-173</v>
      </c>
      <c r="AJ84" s="50">
        <f t="shared" si="47"/>
        <v>2.4460000000000024</v>
      </c>
      <c r="AK84" s="257"/>
      <c r="AL84" s="257">
        <f t="shared" si="48"/>
        <v>1.2</v>
      </c>
      <c r="AM84" s="52"/>
      <c r="AN84" s="88"/>
    </row>
    <row r="85" spans="1:40" s="29" customFormat="1" ht="17.25" customHeight="1">
      <c r="A85" s="48">
        <v>114</v>
      </c>
      <c r="B85" s="49">
        <f t="shared" si="64"/>
        <v>45628</v>
      </c>
      <c r="C85" s="220">
        <f t="shared" si="65"/>
        <v>1049</v>
      </c>
      <c r="D85" s="220">
        <f t="shared" ref="D85" si="129">D84+32</f>
        <v>2436</v>
      </c>
      <c r="E85" s="220">
        <f t="shared" si="67"/>
        <v>3485</v>
      </c>
      <c r="F85" s="220">
        <f t="shared" si="55"/>
        <v>1019</v>
      </c>
      <c r="G85" s="220">
        <f t="shared" si="56"/>
        <v>1190</v>
      </c>
      <c r="H85" s="220">
        <f t="shared" si="57"/>
        <v>1435</v>
      </c>
      <c r="I85" s="220">
        <f t="shared" si="58"/>
        <v>1231</v>
      </c>
      <c r="J85" s="220">
        <f t="shared" si="59"/>
        <v>1095</v>
      </c>
      <c r="K85" s="220">
        <f t="shared" si="60"/>
        <v>2466</v>
      </c>
      <c r="L85" s="220">
        <f t="shared" si="61"/>
        <v>2295</v>
      </c>
      <c r="M85" s="220">
        <f t="shared" si="62"/>
        <v>2050</v>
      </c>
      <c r="N85" s="220">
        <f t="shared" si="63"/>
        <v>2254</v>
      </c>
      <c r="O85" s="220">
        <f t="shared" si="63"/>
        <v>2390</v>
      </c>
      <c r="P85" s="220">
        <f t="shared" si="68"/>
        <v>2000</v>
      </c>
      <c r="Q85" s="220">
        <f t="shared" si="69"/>
        <v>2000</v>
      </c>
      <c r="R85" s="220">
        <f t="shared" si="70"/>
        <v>2000</v>
      </c>
      <c r="S85" s="220">
        <f t="shared" si="71"/>
        <v>2000</v>
      </c>
      <c r="T85" s="220">
        <f t="shared" si="72"/>
        <v>2000</v>
      </c>
      <c r="U85" s="220">
        <f t="shared" si="73"/>
        <v>466</v>
      </c>
      <c r="V85" s="220">
        <f t="shared" si="74"/>
        <v>295</v>
      </c>
      <c r="W85" s="220">
        <f t="shared" si="75"/>
        <v>50</v>
      </c>
      <c r="X85" s="220">
        <f t="shared" si="76"/>
        <v>254</v>
      </c>
      <c r="Y85" s="220">
        <f t="shared" si="77"/>
        <v>390</v>
      </c>
      <c r="Z85" s="220">
        <v>0</v>
      </c>
      <c r="AA85" s="220">
        <v>0</v>
      </c>
      <c r="AB85" s="220">
        <v>0</v>
      </c>
      <c r="AC85" s="220">
        <v>0</v>
      </c>
      <c r="AD85" s="220">
        <v>0</v>
      </c>
      <c r="AE85" s="220">
        <f t="shared" si="78"/>
        <v>-187</v>
      </c>
      <c r="AF85" s="220">
        <f t="shared" si="79"/>
        <v>-288</v>
      </c>
      <c r="AG85" s="220">
        <f t="shared" si="80"/>
        <v>-411</v>
      </c>
      <c r="AH85" s="220">
        <f t="shared" si="81"/>
        <v>-240</v>
      </c>
      <c r="AI85" s="220">
        <f t="shared" si="82"/>
        <v>-173</v>
      </c>
      <c r="AJ85" s="50">
        <f t="shared" si="47"/>
        <v>2.4460000000000024</v>
      </c>
      <c r="AK85" s="257"/>
      <c r="AL85" s="257">
        <f t="shared" si="48"/>
        <v>1.2</v>
      </c>
      <c r="AM85" s="52"/>
      <c r="AN85" s="88"/>
    </row>
    <row r="86" spans="1:40" s="29" customFormat="1" ht="17.25" customHeight="1">
      <c r="A86" s="48">
        <v>115</v>
      </c>
      <c r="B86" s="49">
        <f t="shared" si="64"/>
        <v>45629</v>
      </c>
      <c r="C86" s="220">
        <f t="shared" si="65"/>
        <v>1049</v>
      </c>
      <c r="D86" s="220">
        <f t="shared" ref="D86" si="130">D85-18</f>
        <v>2418</v>
      </c>
      <c r="E86" s="220">
        <f t="shared" si="67"/>
        <v>3467</v>
      </c>
      <c r="F86" s="220">
        <f t="shared" si="55"/>
        <v>1002</v>
      </c>
      <c r="G86" s="220">
        <f t="shared" si="56"/>
        <v>1173</v>
      </c>
      <c r="H86" s="220">
        <f t="shared" si="57"/>
        <v>1420</v>
      </c>
      <c r="I86" s="220">
        <f t="shared" si="58"/>
        <v>1214</v>
      </c>
      <c r="J86" s="220">
        <f t="shared" si="59"/>
        <v>1077</v>
      </c>
      <c r="K86" s="220">
        <f t="shared" si="60"/>
        <v>2465</v>
      </c>
      <c r="L86" s="220">
        <f t="shared" si="61"/>
        <v>2294</v>
      </c>
      <c r="M86" s="220">
        <f t="shared" si="62"/>
        <v>2047</v>
      </c>
      <c r="N86" s="220">
        <f t="shared" si="63"/>
        <v>2253</v>
      </c>
      <c r="O86" s="220">
        <f t="shared" si="63"/>
        <v>2390</v>
      </c>
      <c r="P86" s="220">
        <f t="shared" si="68"/>
        <v>2000</v>
      </c>
      <c r="Q86" s="220">
        <f t="shared" si="69"/>
        <v>2000</v>
      </c>
      <c r="R86" s="220">
        <f t="shared" si="70"/>
        <v>2000</v>
      </c>
      <c r="S86" s="220">
        <f t="shared" si="71"/>
        <v>2000</v>
      </c>
      <c r="T86" s="220">
        <f t="shared" si="72"/>
        <v>2000</v>
      </c>
      <c r="U86" s="220">
        <f t="shared" si="73"/>
        <v>465</v>
      </c>
      <c r="V86" s="220">
        <f t="shared" si="74"/>
        <v>294</v>
      </c>
      <c r="W86" s="220">
        <f t="shared" si="75"/>
        <v>47</v>
      </c>
      <c r="X86" s="220">
        <f t="shared" si="76"/>
        <v>253</v>
      </c>
      <c r="Y86" s="220">
        <f t="shared" si="77"/>
        <v>390</v>
      </c>
      <c r="Z86" s="220">
        <v>1</v>
      </c>
      <c r="AA86" s="220">
        <v>1</v>
      </c>
      <c r="AB86" s="220">
        <v>3</v>
      </c>
      <c r="AC86" s="220">
        <v>1</v>
      </c>
      <c r="AD86" s="220">
        <v>0</v>
      </c>
      <c r="AE86" s="220">
        <f t="shared" si="78"/>
        <v>-188</v>
      </c>
      <c r="AF86" s="220">
        <f t="shared" si="79"/>
        <v>-289</v>
      </c>
      <c r="AG86" s="220">
        <f t="shared" si="80"/>
        <v>-414</v>
      </c>
      <c r="AH86" s="220">
        <f t="shared" si="81"/>
        <v>-241</v>
      </c>
      <c r="AI86" s="220">
        <f t="shared" si="82"/>
        <v>-173</v>
      </c>
      <c r="AJ86" s="50">
        <f t="shared" si="47"/>
        <v>2.4430000000000023</v>
      </c>
      <c r="AK86" s="257"/>
      <c r="AL86" s="257">
        <f t="shared" si="48"/>
        <v>1.2</v>
      </c>
      <c r="AM86" s="52"/>
      <c r="AN86" s="88"/>
    </row>
    <row r="87" spans="1:40" s="29" customFormat="1" ht="17.25" customHeight="1">
      <c r="A87" s="48">
        <v>116</v>
      </c>
      <c r="B87" s="49">
        <f t="shared" si="64"/>
        <v>45630</v>
      </c>
      <c r="C87" s="220">
        <f t="shared" si="65"/>
        <v>1049</v>
      </c>
      <c r="D87" s="220">
        <f t="shared" ref="D87" si="131">D86-26</f>
        <v>2392</v>
      </c>
      <c r="E87" s="220">
        <f t="shared" si="67"/>
        <v>3441</v>
      </c>
      <c r="F87" s="220">
        <f t="shared" si="55"/>
        <v>976</v>
      </c>
      <c r="G87" s="220">
        <f t="shared" si="56"/>
        <v>1148</v>
      </c>
      <c r="H87" s="220">
        <f t="shared" si="57"/>
        <v>1394</v>
      </c>
      <c r="I87" s="220">
        <f t="shared" si="58"/>
        <v>1189</v>
      </c>
      <c r="J87" s="220">
        <f t="shared" si="59"/>
        <v>1051</v>
      </c>
      <c r="K87" s="220">
        <f t="shared" si="60"/>
        <v>2465</v>
      </c>
      <c r="L87" s="220">
        <f t="shared" si="61"/>
        <v>2293</v>
      </c>
      <c r="M87" s="220">
        <f t="shared" si="62"/>
        <v>2047</v>
      </c>
      <c r="N87" s="220">
        <f t="shared" si="63"/>
        <v>2252</v>
      </c>
      <c r="O87" s="220">
        <f t="shared" si="63"/>
        <v>2390</v>
      </c>
      <c r="P87" s="220">
        <f t="shared" si="68"/>
        <v>2000</v>
      </c>
      <c r="Q87" s="220">
        <f t="shared" si="69"/>
        <v>2000</v>
      </c>
      <c r="R87" s="220">
        <f t="shared" si="70"/>
        <v>2000</v>
      </c>
      <c r="S87" s="220">
        <f t="shared" si="71"/>
        <v>2000</v>
      </c>
      <c r="T87" s="220">
        <f t="shared" si="72"/>
        <v>2000</v>
      </c>
      <c r="U87" s="220">
        <f t="shared" si="73"/>
        <v>465</v>
      </c>
      <c r="V87" s="220">
        <f t="shared" si="74"/>
        <v>293</v>
      </c>
      <c r="W87" s="220">
        <f t="shared" si="75"/>
        <v>47</v>
      </c>
      <c r="X87" s="220">
        <f t="shared" si="76"/>
        <v>252</v>
      </c>
      <c r="Y87" s="220">
        <f t="shared" si="77"/>
        <v>390</v>
      </c>
      <c r="Z87" s="220">
        <v>0</v>
      </c>
      <c r="AA87" s="220">
        <v>1</v>
      </c>
      <c r="AB87" s="220">
        <v>0</v>
      </c>
      <c r="AC87" s="220">
        <v>1</v>
      </c>
      <c r="AD87" s="220">
        <v>0</v>
      </c>
      <c r="AE87" s="220">
        <f t="shared" si="78"/>
        <v>-188</v>
      </c>
      <c r="AF87" s="220">
        <f t="shared" si="79"/>
        <v>-290</v>
      </c>
      <c r="AG87" s="220">
        <f t="shared" si="80"/>
        <v>-414</v>
      </c>
      <c r="AH87" s="220">
        <f t="shared" si="81"/>
        <v>-242</v>
      </c>
      <c r="AI87" s="220">
        <f t="shared" si="82"/>
        <v>-173</v>
      </c>
      <c r="AJ87" s="50">
        <f t="shared" si="47"/>
        <v>2.4430000000000023</v>
      </c>
      <c r="AK87" s="257"/>
      <c r="AL87" s="257">
        <f t="shared" si="48"/>
        <v>1.2</v>
      </c>
      <c r="AM87" s="52"/>
      <c r="AN87" s="88"/>
    </row>
    <row r="88" spans="1:40" s="29" customFormat="1" ht="17.25" customHeight="1">
      <c r="A88" s="48">
        <v>117</v>
      </c>
      <c r="B88" s="49">
        <f t="shared" si="64"/>
        <v>45631</v>
      </c>
      <c r="C88" s="220">
        <f t="shared" si="65"/>
        <v>1049</v>
      </c>
      <c r="D88" s="220">
        <f t="shared" ref="D88" si="132">D87+15</f>
        <v>2407</v>
      </c>
      <c r="E88" s="220">
        <f t="shared" si="67"/>
        <v>3456</v>
      </c>
      <c r="F88" s="220">
        <f t="shared" si="55"/>
        <v>992</v>
      </c>
      <c r="G88" s="220">
        <f t="shared" si="56"/>
        <v>1166</v>
      </c>
      <c r="H88" s="220">
        <f t="shared" si="57"/>
        <v>1410</v>
      </c>
      <c r="I88" s="220">
        <f t="shared" si="58"/>
        <v>1204</v>
      </c>
      <c r="J88" s="220">
        <f t="shared" si="59"/>
        <v>1066</v>
      </c>
      <c r="K88" s="220">
        <f t="shared" si="60"/>
        <v>2464</v>
      </c>
      <c r="L88" s="220">
        <f t="shared" si="61"/>
        <v>2290</v>
      </c>
      <c r="M88" s="220">
        <f t="shared" si="62"/>
        <v>2046</v>
      </c>
      <c r="N88" s="220">
        <f t="shared" si="63"/>
        <v>2252</v>
      </c>
      <c r="O88" s="220">
        <f t="shared" si="63"/>
        <v>2390</v>
      </c>
      <c r="P88" s="220">
        <f t="shared" si="68"/>
        <v>2000</v>
      </c>
      <c r="Q88" s="220">
        <f t="shared" si="69"/>
        <v>2000</v>
      </c>
      <c r="R88" s="220">
        <f t="shared" si="70"/>
        <v>2000</v>
      </c>
      <c r="S88" s="220">
        <f t="shared" si="71"/>
        <v>2000</v>
      </c>
      <c r="T88" s="220">
        <f t="shared" si="72"/>
        <v>2000</v>
      </c>
      <c r="U88" s="220">
        <f t="shared" si="73"/>
        <v>464</v>
      </c>
      <c r="V88" s="220">
        <f t="shared" si="74"/>
        <v>290</v>
      </c>
      <c r="W88" s="220">
        <f t="shared" si="75"/>
        <v>46</v>
      </c>
      <c r="X88" s="220">
        <f t="shared" si="76"/>
        <v>252</v>
      </c>
      <c r="Y88" s="220">
        <f t="shared" si="77"/>
        <v>390</v>
      </c>
      <c r="Z88" s="220">
        <v>1</v>
      </c>
      <c r="AA88" s="220">
        <v>3</v>
      </c>
      <c r="AB88" s="220">
        <v>1</v>
      </c>
      <c r="AC88" s="220">
        <v>0</v>
      </c>
      <c r="AD88" s="220">
        <v>0</v>
      </c>
      <c r="AE88" s="220">
        <f t="shared" si="78"/>
        <v>-189</v>
      </c>
      <c r="AF88" s="220">
        <f t="shared" si="79"/>
        <v>-293</v>
      </c>
      <c r="AG88" s="220">
        <f t="shared" si="80"/>
        <v>-415</v>
      </c>
      <c r="AH88" s="220">
        <f t="shared" si="81"/>
        <v>-242</v>
      </c>
      <c r="AI88" s="220">
        <f t="shared" si="82"/>
        <v>-173</v>
      </c>
      <c r="AJ88" s="50">
        <f t="shared" si="47"/>
        <v>2.4420000000000024</v>
      </c>
      <c r="AK88" s="257"/>
      <c r="AL88" s="257">
        <f t="shared" si="48"/>
        <v>1.2</v>
      </c>
      <c r="AM88" s="52"/>
      <c r="AN88" s="88"/>
    </row>
    <row r="89" spans="1:40" s="29" customFormat="1" ht="17.25" customHeight="1">
      <c r="A89" s="48">
        <v>118</v>
      </c>
      <c r="B89" s="49">
        <f t="shared" si="64"/>
        <v>45632</v>
      </c>
      <c r="C89" s="220">
        <f t="shared" si="65"/>
        <v>1049</v>
      </c>
      <c r="D89" s="220">
        <f t="shared" ref="D89" si="133">D88+26</f>
        <v>2433</v>
      </c>
      <c r="E89" s="220">
        <f t="shared" si="67"/>
        <v>3482</v>
      </c>
      <c r="F89" s="220">
        <f t="shared" si="55"/>
        <v>1019</v>
      </c>
      <c r="G89" s="220">
        <f t="shared" si="56"/>
        <v>1193</v>
      </c>
      <c r="H89" s="220">
        <f t="shared" si="57"/>
        <v>1437</v>
      </c>
      <c r="I89" s="220">
        <f t="shared" si="58"/>
        <v>1231</v>
      </c>
      <c r="J89" s="220">
        <f t="shared" si="59"/>
        <v>1092</v>
      </c>
      <c r="K89" s="220">
        <f t="shared" si="60"/>
        <v>2463</v>
      </c>
      <c r="L89" s="220">
        <f t="shared" si="61"/>
        <v>2289</v>
      </c>
      <c r="M89" s="220">
        <f t="shared" si="62"/>
        <v>2045</v>
      </c>
      <c r="N89" s="220">
        <f t="shared" si="63"/>
        <v>2251</v>
      </c>
      <c r="O89" s="220">
        <f t="shared" si="63"/>
        <v>2390</v>
      </c>
      <c r="P89" s="220">
        <f t="shared" si="68"/>
        <v>2000</v>
      </c>
      <c r="Q89" s="220">
        <f t="shared" si="69"/>
        <v>2000</v>
      </c>
      <c r="R89" s="220">
        <f t="shared" si="70"/>
        <v>2000</v>
      </c>
      <c r="S89" s="220">
        <f t="shared" si="71"/>
        <v>2000</v>
      </c>
      <c r="T89" s="220">
        <f t="shared" si="72"/>
        <v>2000</v>
      </c>
      <c r="U89" s="220">
        <f t="shared" si="73"/>
        <v>463</v>
      </c>
      <c r="V89" s="220">
        <f t="shared" si="74"/>
        <v>289</v>
      </c>
      <c r="W89" s="220">
        <f t="shared" si="75"/>
        <v>45</v>
      </c>
      <c r="X89" s="220">
        <f t="shared" si="76"/>
        <v>251</v>
      </c>
      <c r="Y89" s="220">
        <f t="shared" si="77"/>
        <v>390</v>
      </c>
      <c r="Z89" s="220">
        <v>1</v>
      </c>
      <c r="AA89" s="220">
        <v>1</v>
      </c>
      <c r="AB89" s="220">
        <v>1</v>
      </c>
      <c r="AC89" s="220">
        <v>1</v>
      </c>
      <c r="AD89" s="220">
        <v>0</v>
      </c>
      <c r="AE89" s="220">
        <f t="shared" si="78"/>
        <v>-190</v>
      </c>
      <c r="AF89" s="220">
        <f t="shared" si="79"/>
        <v>-294</v>
      </c>
      <c r="AG89" s="220">
        <f t="shared" si="80"/>
        <v>-416</v>
      </c>
      <c r="AH89" s="220">
        <f t="shared" si="81"/>
        <v>-243</v>
      </c>
      <c r="AI89" s="220">
        <f t="shared" si="82"/>
        <v>-173</v>
      </c>
      <c r="AJ89" s="50">
        <f t="shared" si="47"/>
        <v>2.4410000000000025</v>
      </c>
      <c r="AK89" s="257"/>
      <c r="AL89" s="257">
        <f t="shared" si="48"/>
        <v>1.2</v>
      </c>
      <c r="AM89" s="52"/>
      <c r="AN89" s="88"/>
    </row>
    <row r="90" spans="1:40" s="29" customFormat="1" ht="17.25" customHeight="1">
      <c r="A90" s="48">
        <v>119</v>
      </c>
      <c r="B90" s="49">
        <f t="shared" si="64"/>
        <v>45633</v>
      </c>
      <c r="C90" s="220">
        <f t="shared" si="65"/>
        <v>1049</v>
      </c>
      <c r="D90" s="220">
        <f t="shared" ref="D90" si="134">D89+32</f>
        <v>2465</v>
      </c>
      <c r="E90" s="220">
        <f t="shared" si="67"/>
        <v>3514</v>
      </c>
      <c r="F90" s="220">
        <f t="shared" si="55"/>
        <v>1051</v>
      </c>
      <c r="G90" s="220">
        <f t="shared" si="56"/>
        <v>1225</v>
      </c>
      <c r="H90" s="220">
        <f t="shared" si="57"/>
        <v>1469</v>
      </c>
      <c r="I90" s="220">
        <f t="shared" si="58"/>
        <v>1266</v>
      </c>
      <c r="J90" s="220">
        <f t="shared" si="59"/>
        <v>1125</v>
      </c>
      <c r="K90" s="220">
        <f t="shared" si="60"/>
        <v>2463</v>
      </c>
      <c r="L90" s="220">
        <f t="shared" si="61"/>
        <v>2289</v>
      </c>
      <c r="M90" s="220">
        <f t="shared" si="62"/>
        <v>2045</v>
      </c>
      <c r="N90" s="220">
        <f t="shared" si="63"/>
        <v>2248</v>
      </c>
      <c r="O90" s="220">
        <f t="shared" si="63"/>
        <v>2389</v>
      </c>
      <c r="P90" s="220">
        <f t="shared" si="68"/>
        <v>2000</v>
      </c>
      <c r="Q90" s="220">
        <f t="shared" si="69"/>
        <v>2000</v>
      </c>
      <c r="R90" s="220">
        <f t="shared" si="70"/>
        <v>2000</v>
      </c>
      <c r="S90" s="220">
        <f t="shared" si="71"/>
        <v>2000</v>
      </c>
      <c r="T90" s="220">
        <f t="shared" si="72"/>
        <v>2000</v>
      </c>
      <c r="U90" s="220">
        <f t="shared" si="73"/>
        <v>463</v>
      </c>
      <c r="V90" s="220">
        <f t="shared" si="74"/>
        <v>289</v>
      </c>
      <c r="W90" s="220">
        <f t="shared" si="75"/>
        <v>45</v>
      </c>
      <c r="X90" s="220">
        <f t="shared" si="76"/>
        <v>248</v>
      </c>
      <c r="Y90" s="220">
        <f t="shared" si="77"/>
        <v>389</v>
      </c>
      <c r="Z90" s="220">
        <v>0</v>
      </c>
      <c r="AA90" s="220">
        <v>0</v>
      </c>
      <c r="AB90" s="220">
        <v>0</v>
      </c>
      <c r="AC90" s="220">
        <v>3</v>
      </c>
      <c r="AD90" s="220">
        <v>1</v>
      </c>
      <c r="AE90" s="220">
        <f t="shared" si="78"/>
        <v>-190</v>
      </c>
      <c r="AF90" s="220">
        <f t="shared" si="79"/>
        <v>-294</v>
      </c>
      <c r="AG90" s="220">
        <f t="shared" si="80"/>
        <v>-416</v>
      </c>
      <c r="AH90" s="220">
        <f t="shared" si="81"/>
        <v>-246</v>
      </c>
      <c r="AI90" s="220">
        <f t="shared" si="82"/>
        <v>-174</v>
      </c>
      <c r="AJ90" s="50">
        <f t="shared" si="47"/>
        <v>2.4410000000000025</v>
      </c>
      <c r="AK90" s="257"/>
      <c r="AL90" s="257">
        <f t="shared" si="48"/>
        <v>1.2</v>
      </c>
      <c r="AM90" s="52"/>
      <c r="AN90" s="88"/>
    </row>
    <row r="91" spans="1:40" s="29" customFormat="1" ht="17.25" customHeight="1">
      <c r="A91" s="48">
        <v>120</v>
      </c>
      <c r="B91" s="49">
        <f t="shared" si="64"/>
        <v>45634</v>
      </c>
      <c r="C91" s="220">
        <f t="shared" si="65"/>
        <v>1049</v>
      </c>
      <c r="D91" s="220">
        <f t="shared" ref="D91" si="135">D90-18</f>
        <v>2447</v>
      </c>
      <c r="E91" s="220">
        <f t="shared" si="67"/>
        <v>3496</v>
      </c>
      <c r="F91" s="220">
        <f t="shared" si="55"/>
        <v>1033</v>
      </c>
      <c r="G91" s="220">
        <f t="shared" si="56"/>
        <v>1208</v>
      </c>
      <c r="H91" s="220">
        <f t="shared" si="57"/>
        <v>1451</v>
      </c>
      <c r="I91" s="220">
        <f t="shared" si="58"/>
        <v>1249</v>
      </c>
      <c r="J91" s="220">
        <f t="shared" si="59"/>
        <v>1107</v>
      </c>
      <c r="K91" s="220">
        <f t="shared" si="60"/>
        <v>2463</v>
      </c>
      <c r="L91" s="220">
        <f t="shared" si="61"/>
        <v>2288</v>
      </c>
      <c r="M91" s="220">
        <f t="shared" si="62"/>
        <v>2045</v>
      </c>
      <c r="N91" s="220">
        <f t="shared" si="63"/>
        <v>2247</v>
      </c>
      <c r="O91" s="220">
        <f t="shared" si="63"/>
        <v>2389</v>
      </c>
      <c r="P91" s="220">
        <f t="shared" si="68"/>
        <v>2000</v>
      </c>
      <c r="Q91" s="220">
        <f t="shared" si="69"/>
        <v>2000</v>
      </c>
      <c r="R91" s="220">
        <f t="shared" si="70"/>
        <v>2000</v>
      </c>
      <c r="S91" s="220">
        <f t="shared" si="71"/>
        <v>2000</v>
      </c>
      <c r="T91" s="220">
        <f t="shared" si="72"/>
        <v>2000</v>
      </c>
      <c r="U91" s="220">
        <f t="shared" si="73"/>
        <v>463</v>
      </c>
      <c r="V91" s="220">
        <f t="shared" si="74"/>
        <v>288</v>
      </c>
      <c r="W91" s="220">
        <f t="shared" si="75"/>
        <v>45</v>
      </c>
      <c r="X91" s="220">
        <f t="shared" si="76"/>
        <v>247</v>
      </c>
      <c r="Y91" s="220">
        <f t="shared" si="77"/>
        <v>389</v>
      </c>
      <c r="Z91" s="220">
        <v>0</v>
      </c>
      <c r="AA91" s="220">
        <v>1</v>
      </c>
      <c r="AB91" s="220">
        <v>0</v>
      </c>
      <c r="AC91" s="220">
        <v>1</v>
      </c>
      <c r="AD91" s="220">
        <v>0</v>
      </c>
      <c r="AE91" s="220">
        <f t="shared" si="78"/>
        <v>-190</v>
      </c>
      <c r="AF91" s="220">
        <f t="shared" si="79"/>
        <v>-295</v>
      </c>
      <c r="AG91" s="220">
        <f t="shared" si="80"/>
        <v>-416</v>
      </c>
      <c r="AH91" s="220">
        <f t="shared" si="81"/>
        <v>-247</v>
      </c>
      <c r="AI91" s="220">
        <f t="shared" si="82"/>
        <v>-174</v>
      </c>
      <c r="AJ91" s="50">
        <f t="shared" si="47"/>
        <v>2.4410000000000025</v>
      </c>
      <c r="AK91" s="257"/>
      <c r="AL91" s="257">
        <f t="shared" si="48"/>
        <v>1.2</v>
      </c>
      <c r="AM91" s="52"/>
      <c r="AN91" s="88"/>
    </row>
    <row r="92" spans="1:40" s="29" customFormat="1" ht="17.25" customHeight="1">
      <c r="A92" s="48">
        <v>121</v>
      </c>
      <c r="B92" s="49">
        <f t="shared" si="64"/>
        <v>45635</v>
      </c>
      <c r="C92" s="220">
        <f t="shared" si="65"/>
        <v>1049</v>
      </c>
      <c r="D92" s="220">
        <f t="shared" ref="D92" si="136">D91-26</f>
        <v>2421</v>
      </c>
      <c r="E92" s="220">
        <f t="shared" si="67"/>
        <v>3470</v>
      </c>
      <c r="F92" s="220">
        <f t="shared" si="55"/>
        <v>1008</v>
      </c>
      <c r="G92" s="220">
        <f t="shared" si="56"/>
        <v>1184</v>
      </c>
      <c r="H92" s="220">
        <f t="shared" si="57"/>
        <v>1428</v>
      </c>
      <c r="I92" s="220">
        <f t="shared" si="58"/>
        <v>1225</v>
      </c>
      <c r="J92" s="220">
        <f t="shared" si="59"/>
        <v>1081</v>
      </c>
      <c r="K92" s="220">
        <f t="shared" si="60"/>
        <v>2462</v>
      </c>
      <c r="L92" s="220">
        <f t="shared" si="61"/>
        <v>2286</v>
      </c>
      <c r="M92" s="220">
        <f t="shared" si="62"/>
        <v>2042</v>
      </c>
      <c r="N92" s="220">
        <f t="shared" si="63"/>
        <v>2245</v>
      </c>
      <c r="O92" s="220">
        <f t="shared" si="63"/>
        <v>2389</v>
      </c>
      <c r="P92" s="220">
        <f t="shared" si="68"/>
        <v>2000</v>
      </c>
      <c r="Q92" s="220">
        <f t="shared" si="69"/>
        <v>2000</v>
      </c>
      <c r="R92" s="220">
        <f t="shared" si="70"/>
        <v>2000</v>
      </c>
      <c r="S92" s="220">
        <f t="shared" si="71"/>
        <v>2000</v>
      </c>
      <c r="T92" s="220">
        <f t="shared" si="72"/>
        <v>2000</v>
      </c>
      <c r="U92" s="220">
        <f t="shared" si="73"/>
        <v>462</v>
      </c>
      <c r="V92" s="220">
        <f t="shared" si="74"/>
        <v>286</v>
      </c>
      <c r="W92" s="220">
        <f t="shared" si="75"/>
        <v>42</v>
      </c>
      <c r="X92" s="220">
        <f t="shared" si="76"/>
        <v>245</v>
      </c>
      <c r="Y92" s="220">
        <f t="shared" si="77"/>
        <v>389</v>
      </c>
      <c r="Z92" s="220">
        <v>1</v>
      </c>
      <c r="AA92" s="220">
        <v>2</v>
      </c>
      <c r="AB92" s="220">
        <v>3</v>
      </c>
      <c r="AC92" s="220">
        <v>2</v>
      </c>
      <c r="AD92" s="220">
        <v>0</v>
      </c>
      <c r="AE92" s="220">
        <f t="shared" si="78"/>
        <v>-191</v>
      </c>
      <c r="AF92" s="220">
        <f t="shared" si="79"/>
        <v>-297</v>
      </c>
      <c r="AG92" s="220">
        <f t="shared" si="80"/>
        <v>-419</v>
      </c>
      <c r="AH92" s="220">
        <f t="shared" si="81"/>
        <v>-249</v>
      </c>
      <c r="AI92" s="220">
        <f t="shared" si="82"/>
        <v>-174</v>
      </c>
      <c r="AJ92" s="50">
        <f t="shared" si="47"/>
        <v>2.4380000000000024</v>
      </c>
      <c r="AK92" s="257"/>
      <c r="AL92" s="257">
        <f t="shared" si="48"/>
        <v>1.2</v>
      </c>
      <c r="AM92" s="52"/>
      <c r="AN92" s="88"/>
    </row>
    <row r="93" spans="1:40" s="29" customFormat="1" ht="17.25" customHeight="1">
      <c r="A93" s="48">
        <v>122</v>
      </c>
      <c r="B93" s="49">
        <f t="shared" si="64"/>
        <v>45636</v>
      </c>
      <c r="C93" s="220">
        <f t="shared" si="65"/>
        <v>1049</v>
      </c>
      <c r="D93" s="220">
        <f t="shared" ref="D93" si="137">D92+15</f>
        <v>2436</v>
      </c>
      <c r="E93" s="220">
        <f t="shared" si="67"/>
        <v>3485</v>
      </c>
      <c r="F93" s="220">
        <f t="shared" si="55"/>
        <v>1023</v>
      </c>
      <c r="G93" s="220">
        <f t="shared" si="56"/>
        <v>1199</v>
      </c>
      <c r="H93" s="220">
        <f t="shared" si="57"/>
        <v>1443</v>
      </c>
      <c r="I93" s="220">
        <f t="shared" si="58"/>
        <v>1240</v>
      </c>
      <c r="J93" s="220">
        <f t="shared" si="59"/>
        <v>1096</v>
      </c>
      <c r="K93" s="220">
        <f t="shared" si="60"/>
        <v>2462</v>
      </c>
      <c r="L93" s="220">
        <f t="shared" si="61"/>
        <v>2286</v>
      </c>
      <c r="M93" s="220">
        <f t="shared" si="62"/>
        <v>2042</v>
      </c>
      <c r="N93" s="220">
        <f t="shared" si="63"/>
        <v>2245</v>
      </c>
      <c r="O93" s="220">
        <f t="shared" si="63"/>
        <v>2389</v>
      </c>
      <c r="P93" s="220">
        <f t="shared" si="68"/>
        <v>2000</v>
      </c>
      <c r="Q93" s="220">
        <f t="shared" si="69"/>
        <v>2000</v>
      </c>
      <c r="R93" s="220">
        <f t="shared" si="70"/>
        <v>2000</v>
      </c>
      <c r="S93" s="220">
        <f t="shared" si="71"/>
        <v>2000</v>
      </c>
      <c r="T93" s="220">
        <f t="shared" si="72"/>
        <v>2000</v>
      </c>
      <c r="U93" s="220">
        <f t="shared" si="73"/>
        <v>462</v>
      </c>
      <c r="V93" s="220">
        <f t="shared" si="74"/>
        <v>286</v>
      </c>
      <c r="W93" s="220">
        <f t="shared" si="75"/>
        <v>42</v>
      </c>
      <c r="X93" s="220">
        <f t="shared" si="76"/>
        <v>245</v>
      </c>
      <c r="Y93" s="220">
        <f t="shared" si="77"/>
        <v>389</v>
      </c>
      <c r="Z93" s="220">
        <v>0</v>
      </c>
      <c r="AA93" s="220">
        <v>0</v>
      </c>
      <c r="AB93" s="220">
        <v>0</v>
      </c>
      <c r="AC93" s="220">
        <v>0</v>
      </c>
      <c r="AD93" s="220">
        <v>0</v>
      </c>
      <c r="AE93" s="220">
        <f t="shared" si="78"/>
        <v>-191</v>
      </c>
      <c r="AF93" s="220">
        <f t="shared" si="79"/>
        <v>-297</v>
      </c>
      <c r="AG93" s="220">
        <f t="shared" si="80"/>
        <v>-419</v>
      </c>
      <c r="AH93" s="220">
        <f t="shared" si="81"/>
        <v>-249</v>
      </c>
      <c r="AI93" s="220">
        <f t="shared" si="82"/>
        <v>-174</v>
      </c>
      <c r="AJ93" s="50">
        <f t="shared" si="47"/>
        <v>2.4380000000000024</v>
      </c>
      <c r="AK93" s="257"/>
      <c r="AL93" s="257">
        <f t="shared" si="48"/>
        <v>1.2</v>
      </c>
      <c r="AM93" s="52"/>
      <c r="AN93" s="88"/>
    </row>
    <row r="94" spans="1:40" s="29" customFormat="1" ht="17.25" customHeight="1">
      <c r="A94" s="48">
        <v>123</v>
      </c>
      <c r="B94" s="49">
        <f t="shared" si="64"/>
        <v>45637</v>
      </c>
      <c r="C94" s="220">
        <f t="shared" si="65"/>
        <v>1049</v>
      </c>
      <c r="D94" s="220">
        <f t="shared" ref="D94" si="138">D93+26</f>
        <v>2462</v>
      </c>
      <c r="E94" s="220">
        <f t="shared" si="67"/>
        <v>3511</v>
      </c>
      <c r="F94" s="220">
        <f t="shared" si="55"/>
        <v>1050</v>
      </c>
      <c r="G94" s="220">
        <f t="shared" si="56"/>
        <v>1228</v>
      </c>
      <c r="H94" s="220">
        <f t="shared" si="57"/>
        <v>1470</v>
      </c>
      <c r="I94" s="220">
        <f t="shared" si="58"/>
        <v>1269</v>
      </c>
      <c r="J94" s="220">
        <f t="shared" si="59"/>
        <v>1122</v>
      </c>
      <c r="K94" s="220">
        <f t="shared" si="60"/>
        <v>2461</v>
      </c>
      <c r="L94" s="220">
        <f t="shared" si="61"/>
        <v>2283</v>
      </c>
      <c r="M94" s="220">
        <f t="shared" si="62"/>
        <v>2041</v>
      </c>
      <c r="N94" s="220">
        <f t="shared" si="63"/>
        <v>2242</v>
      </c>
      <c r="O94" s="220">
        <f t="shared" si="63"/>
        <v>2389</v>
      </c>
      <c r="P94" s="220">
        <f t="shared" si="68"/>
        <v>2000</v>
      </c>
      <c r="Q94" s="220">
        <f t="shared" si="69"/>
        <v>2000</v>
      </c>
      <c r="R94" s="220">
        <f t="shared" si="70"/>
        <v>2000</v>
      </c>
      <c r="S94" s="220">
        <f t="shared" si="71"/>
        <v>2000</v>
      </c>
      <c r="T94" s="220">
        <f t="shared" si="72"/>
        <v>2000</v>
      </c>
      <c r="U94" s="220">
        <f t="shared" si="73"/>
        <v>461</v>
      </c>
      <c r="V94" s="220">
        <f t="shared" si="74"/>
        <v>283</v>
      </c>
      <c r="W94" s="220">
        <f t="shared" si="75"/>
        <v>41</v>
      </c>
      <c r="X94" s="220">
        <f t="shared" si="76"/>
        <v>242</v>
      </c>
      <c r="Y94" s="220">
        <f t="shared" si="77"/>
        <v>389</v>
      </c>
      <c r="Z94" s="220">
        <v>1</v>
      </c>
      <c r="AA94" s="220">
        <v>3</v>
      </c>
      <c r="AB94" s="220">
        <v>1</v>
      </c>
      <c r="AC94" s="220">
        <v>3</v>
      </c>
      <c r="AD94" s="220">
        <v>0</v>
      </c>
      <c r="AE94" s="220">
        <f t="shared" si="78"/>
        <v>-192</v>
      </c>
      <c r="AF94" s="220">
        <f t="shared" si="79"/>
        <v>-300</v>
      </c>
      <c r="AG94" s="220">
        <f t="shared" si="80"/>
        <v>-420</v>
      </c>
      <c r="AH94" s="220">
        <f t="shared" si="81"/>
        <v>-252</v>
      </c>
      <c r="AI94" s="220">
        <f t="shared" si="82"/>
        <v>-174</v>
      </c>
      <c r="AJ94" s="50">
        <f t="shared" si="47"/>
        <v>2.4370000000000025</v>
      </c>
      <c r="AK94" s="257"/>
      <c r="AL94" s="257">
        <f t="shared" si="48"/>
        <v>1.2</v>
      </c>
      <c r="AM94" s="52"/>
      <c r="AN94" s="88"/>
    </row>
    <row r="95" spans="1:40" s="29" customFormat="1" ht="17.25" customHeight="1">
      <c r="A95" s="48">
        <v>124</v>
      </c>
      <c r="B95" s="49">
        <f t="shared" si="64"/>
        <v>45638</v>
      </c>
      <c r="C95" s="220">
        <f t="shared" si="65"/>
        <v>1049</v>
      </c>
      <c r="D95" s="220">
        <f t="shared" ref="D95" si="139">D94+32</f>
        <v>2494</v>
      </c>
      <c r="E95" s="220">
        <f t="shared" si="67"/>
        <v>3543</v>
      </c>
      <c r="F95" s="220">
        <f t="shared" si="55"/>
        <v>1082</v>
      </c>
      <c r="G95" s="220">
        <f t="shared" si="56"/>
        <v>1260</v>
      </c>
      <c r="H95" s="220">
        <f t="shared" si="57"/>
        <v>1502</v>
      </c>
      <c r="I95" s="220">
        <f t="shared" si="58"/>
        <v>1301</v>
      </c>
      <c r="J95" s="220">
        <f t="shared" si="59"/>
        <v>1155</v>
      </c>
      <c r="K95" s="220">
        <f t="shared" si="60"/>
        <v>2461</v>
      </c>
      <c r="L95" s="220">
        <f t="shared" si="61"/>
        <v>2283</v>
      </c>
      <c r="M95" s="220">
        <f t="shared" si="62"/>
        <v>2041</v>
      </c>
      <c r="N95" s="220">
        <f t="shared" si="63"/>
        <v>2242</v>
      </c>
      <c r="O95" s="220">
        <f t="shared" si="63"/>
        <v>2388</v>
      </c>
      <c r="P95" s="220">
        <f t="shared" si="68"/>
        <v>2000</v>
      </c>
      <c r="Q95" s="220">
        <f t="shared" si="69"/>
        <v>2000</v>
      </c>
      <c r="R95" s="220">
        <f t="shared" si="70"/>
        <v>2000</v>
      </c>
      <c r="S95" s="220">
        <f t="shared" si="71"/>
        <v>2000</v>
      </c>
      <c r="T95" s="220">
        <f t="shared" si="72"/>
        <v>2000</v>
      </c>
      <c r="U95" s="220">
        <f t="shared" si="73"/>
        <v>461</v>
      </c>
      <c r="V95" s="220">
        <f t="shared" si="74"/>
        <v>283</v>
      </c>
      <c r="W95" s="220">
        <f t="shared" si="75"/>
        <v>41</v>
      </c>
      <c r="X95" s="220">
        <f t="shared" si="76"/>
        <v>242</v>
      </c>
      <c r="Y95" s="220">
        <f t="shared" si="77"/>
        <v>388</v>
      </c>
      <c r="Z95" s="220">
        <v>0</v>
      </c>
      <c r="AA95" s="220">
        <v>0</v>
      </c>
      <c r="AB95" s="220">
        <v>0</v>
      </c>
      <c r="AC95" s="220">
        <v>0</v>
      </c>
      <c r="AD95" s="220">
        <v>1</v>
      </c>
      <c r="AE95" s="220">
        <f t="shared" si="78"/>
        <v>-192</v>
      </c>
      <c r="AF95" s="220">
        <f t="shared" si="79"/>
        <v>-300</v>
      </c>
      <c r="AG95" s="220">
        <f t="shared" si="80"/>
        <v>-420</v>
      </c>
      <c r="AH95" s="220">
        <f t="shared" si="81"/>
        <v>-252</v>
      </c>
      <c r="AI95" s="220">
        <f t="shared" si="82"/>
        <v>-175</v>
      </c>
      <c r="AJ95" s="50">
        <f t="shared" ref="AJ95:AJ158" si="140">AJ94-AB95/1000+AK96</f>
        <v>2.4370000000000025</v>
      </c>
      <c r="AK95" s="257"/>
      <c r="AL95" s="257">
        <f t="shared" ref="AL95:AL158" si="141">AL94+AK96</f>
        <v>1.2</v>
      </c>
      <c r="AM95" s="52"/>
      <c r="AN95" s="88"/>
    </row>
    <row r="96" spans="1:40" s="29" customFormat="1" ht="17.25" customHeight="1">
      <c r="A96" s="48">
        <v>125</v>
      </c>
      <c r="B96" s="49">
        <f t="shared" si="64"/>
        <v>45639</v>
      </c>
      <c r="C96" s="220">
        <f t="shared" si="65"/>
        <v>1049</v>
      </c>
      <c r="D96" s="220">
        <f t="shared" ref="D96" si="142">D95-18</f>
        <v>2476</v>
      </c>
      <c r="E96" s="220">
        <f t="shared" si="67"/>
        <v>3525</v>
      </c>
      <c r="F96" s="220">
        <f t="shared" si="55"/>
        <v>1064</v>
      </c>
      <c r="G96" s="220">
        <f t="shared" si="56"/>
        <v>1242</v>
      </c>
      <c r="H96" s="220">
        <f t="shared" si="57"/>
        <v>1487</v>
      </c>
      <c r="I96" s="220">
        <f t="shared" si="58"/>
        <v>1283</v>
      </c>
      <c r="J96" s="220">
        <f t="shared" si="59"/>
        <v>1137</v>
      </c>
      <c r="K96" s="220">
        <f t="shared" si="60"/>
        <v>2461</v>
      </c>
      <c r="L96" s="220">
        <f t="shared" si="61"/>
        <v>2283</v>
      </c>
      <c r="M96" s="220">
        <f t="shared" si="62"/>
        <v>2038</v>
      </c>
      <c r="N96" s="220">
        <f t="shared" si="63"/>
        <v>2242</v>
      </c>
      <c r="O96" s="220">
        <f t="shared" si="63"/>
        <v>2388</v>
      </c>
      <c r="P96" s="220">
        <f t="shared" si="68"/>
        <v>2000</v>
      </c>
      <c r="Q96" s="220">
        <f t="shared" si="69"/>
        <v>2000</v>
      </c>
      <c r="R96" s="220">
        <f t="shared" si="70"/>
        <v>2000</v>
      </c>
      <c r="S96" s="220">
        <f t="shared" si="71"/>
        <v>2000</v>
      </c>
      <c r="T96" s="220">
        <f t="shared" si="72"/>
        <v>2000</v>
      </c>
      <c r="U96" s="220">
        <f t="shared" si="73"/>
        <v>461</v>
      </c>
      <c r="V96" s="220">
        <f t="shared" si="74"/>
        <v>283</v>
      </c>
      <c r="W96" s="220">
        <f t="shared" si="75"/>
        <v>38</v>
      </c>
      <c r="X96" s="220">
        <f t="shared" si="76"/>
        <v>242</v>
      </c>
      <c r="Y96" s="220">
        <f t="shared" si="77"/>
        <v>388</v>
      </c>
      <c r="Z96" s="220">
        <v>0</v>
      </c>
      <c r="AA96" s="220">
        <v>0</v>
      </c>
      <c r="AB96" s="220">
        <v>3</v>
      </c>
      <c r="AC96" s="220">
        <v>0</v>
      </c>
      <c r="AD96" s="220">
        <v>0</v>
      </c>
      <c r="AE96" s="220">
        <f t="shared" si="78"/>
        <v>-192</v>
      </c>
      <c r="AF96" s="220">
        <f t="shared" si="79"/>
        <v>-300</v>
      </c>
      <c r="AG96" s="220">
        <f t="shared" si="80"/>
        <v>-423</v>
      </c>
      <c r="AH96" s="220">
        <f t="shared" si="81"/>
        <v>-252</v>
      </c>
      <c r="AI96" s="220">
        <f t="shared" si="82"/>
        <v>-175</v>
      </c>
      <c r="AJ96" s="50">
        <f t="shared" si="140"/>
        <v>2.4340000000000024</v>
      </c>
      <c r="AK96" s="257"/>
      <c r="AL96" s="257">
        <f t="shared" si="141"/>
        <v>1.2</v>
      </c>
      <c r="AM96" s="52"/>
      <c r="AN96" s="88"/>
    </row>
    <row r="97" spans="1:40" s="29" customFormat="1" ht="17.25" customHeight="1">
      <c r="A97" s="48">
        <v>126</v>
      </c>
      <c r="B97" s="49">
        <f t="shared" si="64"/>
        <v>45640</v>
      </c>
      <c r="C97" s="220">
        <f t="shared" si="65"/>
        <v>1049</v>
      </c>
      <c r="D97" s="220">
        <f t="shared" ref="D97" si="143">D96-26</f>
        <v>2450</v>
      </c>
      <c r="E97" s="220">
        <f t="shared" si="67"/>
        <v>3499</v>
      </c>
      <c r="F97" s="220">
        <f t="shared" si="55"/>
        <v>1039</v>
      </c>
      <c r="G97" s="220">
        <f t="shared" si="56"/>
        <v>1217</v>
      </c>
      <c r="H97" s="220">
        <f t="shared" si="57"/>
        <v>1462</v>
      </c>
      <c r="I97" s="220">
        <f t="shared" si="58"/>
        <v>1258</v>
      </c>
      <c r="J97" s="220">
        <f t="shared" si="59"/>
        <v>1111</v>
      </c>
      <c r="K97" s="220">
        <f t="shared" si="60"/>
        <v>2460</v>
      </c>
      <c r="L97" s="220">
        <f t="shared" si="61"/>
        <v>2282</v>
      </c>
      <c r="M97" s="220">
        <f t="shared" si="62"/>
        <v>2037</v>
      </c>
      <c r="N97" s="220">
        <f t="shared" si="63"/>
        <v>2241</v>
      </c>
      <c r="O97" s="220">
        <f t="shared" si="63"/>
        <v>2388</v>
      </c>
      <c r="P97" s="220">
        <f t="shared" si="68"/>
        <v>2000</v>
      </c>
      <c r="Q97" s="220">
        <f t="shared" si="69"/>
        <v>2000</v>
      </c>
      <c r="R97" s="220">
        <f t="shared" si="70"/>
        <v>2000</v>
      </c>
      <c r="S97" s="220">
        <f t="shared" si="71"/>
        <v>2000</v>
      </c>
      <c r="T97" s="220">
        <f t="shared" si="72"/>
        <v>2000</v>
      </c>
      <c r="U97" s="220">
        <f t="shared" si="73"/>
        <v>460</v>
      </c>
      <c r="V97" s="220">
        <f t="shared" si="74"/>
        <v>282</v>
      </c>
      <c r="W97" s="220">
        <f t="shared" si="75"/>
        <v>37</v>
      </c>
      <c r="X97" s="220">
        <f t="shared" si="76"/>
        <v>241</v>
      </c>
      <c r="Y97" s="220">
        <f t="shared" si="77"/>
        <v>388</v>
      </c>
      <c r="Z97" s="220">
        <v>1</v>
      </c>
      <c r="AA97" s="220">
        <v>1</v>
      </c>
      <c r="AB97" s="220">
        <v>1</v>
      </c>
      <c r="AC97" s="220">
        <v>1</v>
      </c>
      <c r="AD97" s="220">
        <v>0</v>
      </c>
      <c r="AE97" s="220">
        <f t="shared" si="78"/>
        <v>-193</v>
      </c>
      <c r="AF97" s="220">
        <f t="shared" si="79"/>
        <v>-301</v>
      </c>
      <c r="AG97" s="220">
        <f t="shared" si="80"/>
        <v>-424</v>
      </c>
      <c r="AH97" s="220">
        <f t="shared" si="81"/>
        <v>-253</v>
      </c>
      <c r="AI97" s="220">
        <f t="shared" si="82"/>
        <v>-175</v>
      </c>
      <c r="AJ97" s="50">
        <f t="shared" si="140"/>
        <v>2.4330000000000025</v>
      </c>
      <c r="AK97" s="257"/>
      <c r="AL97" s="257">
        <f t="shared" si="141"/>
        <v>1.2</v>
      </c>
      <c r="AM97" s="52"/>
      <c r="AN97" s="88"/>
    </row>
    <row r="98" spans="1:40" s="29" customFormat="1" ht="17.25" customHeight="1">
      <c r="A98" s="48">
        <v>127</v>
      </c>
      <c r="B98" s="49">
        <f t="shared" si="64"/>
        <v>45641</v>
      </c>
      <c r="C98" s="220">
        <f t="shared" si="65"/>
        <v>1049</v>
      </c>
      <c r="D98" s="220">
        <f t="shared" ref="D98" si="144">D97+15</f>
        <v>2465</v>
      </c>
      <c r="E98" s="220">
        <f t="shared" ref="E98:E138" si="145">+C98+D98</f>
        <v>3514</v>
      </c>
      <c r="F98" s="220">
        <f t="shared" si="55"/>
        <v>1054</v>
      </c>
      <c r="G98" s="220">
        <f t="shared" si="56"/>
        <v>1233</v>
      </c>
      <c r="H98" s="220">
        <f t="shared" si="57"/>
        <v>1477</v>
      </c>
      <c r="I98" s="220">
        <f t="shared" si="58"/>
        <v>1274</v>
      </c>
      <c r="J98" s="220">
        <f t="shared" si="59"/>
        <v>1126</v>
      </c>
      <c r="K98" s="220">
        <f t="shared" si="60"/>
        <v>2460</v>
      </c>
      <c r="L98" s="220">
        <f t="shared" si="61"/>
        <v>2281</v>
      </c>
      <c r="M98" s="220">
        <f t="shared" si="62"/>
        <v>2037</v>
      </c>
      <c r="N98" s="220">
        <f t="shared" si="63"/>
        <v>2240</v>
      </c>
      <c r="O98" s="220">
        <f t="shared" si="63"/>
        <v>2388</v>
      </c>
      <c r="P98" s="220">
        <f t="shared" si="68"/>
        <v>2000</v>
      </c>
      <c r="Q98" s="220">
        <f t="shared" si="69"/>
        <v>2000</v>
      </c>
      <c r="R98" s="220">
        <f t="shared" si="70"/>
        <v>2000</v>
      </c>
      <c r="S98" s="220">
        <f t="shared" si="71"/>
        <v>2000</v>
      </c>
      <c r="T98" s="220">
        <f t="shared" si="72"/>
        <v>2000</v>
      </c>
      <c r="U98" s="220">
        <f t="shared" si="73"/>
        <v>460</v>
      </c>
      <c r="V98" s="220">
        <f t="shared" si="74"/>
        <v>281</v>
      </c>
      <c r="W98" s="220">
        <f t="shared" si="75"/>
        <v>37</v>
      </c>
      <c r="X98" s="220">
        <f t="shared" si="76"/>
        <v>240</v>
      </c>
      <c r="Y98" s="220">
        <f t="shared" si="77"/>
        <v>388</v>
      </c>
      <c r="Z98" s="220">
        <v>0</v>
      </c>
      <c r="AA98" s="220">
        <v>1</v>
      </c>
      <c r="AB98" s="220">
        <v>0</v>
      </c>
      <c r="AC98" s="220">
        <v>1</v>
      </c>
      <c r="AD98" s="220">
        <v>0</v>
      </c>
      <c r="AE98" s="220">
        <f t="shared" si="78"/>
        <v>-193</v>
      </c>
      <c r="AF98" s="220">
        <f t="shared" si="79"/>
        <v>-302</v>
      </c>
      <c r="AG98" s="220">
        <f t="shared" si="80"/>
        <v>-424</v>
      </c>
      <c r="AH98" s="220">
        <f t="shared" si="81"/>
        <v>-254</v>
      </c>
      <c r="AI98" s="220">
        <f t="shared" si="82"/>
        <v>-175</v>
      </c>
      <c r="AJ98" s="50">
        <f t="shared" si="140"/>
        <v>2.4330000000000025</v>
      </c>
      <c r="AK98" s="257"/>
      <c r="AL98" s="257">
        <f t="shared" si="141"/>
        <v>1.2</v>
      </c>
      <c r="AM98" s="52"/>
      <c r="AN98" s="88"/>
    </row>
    <row r="99" spans="1:40" s="29" customFormat="1" ht="17.25" customHeight="1">
      <c r="A99" s="48">
        <v>128</v>
      </c>
      <c r="B99" s="49">
        <f t="shared" si="64"/>
        <v>45642</v>
      </c>
      <c r="C99" s="220">
        <f t="shared" si="65"/>
        <v>1049</v>
      </c>
      <c r="D99" s="220">
        <f t="shared" ref="D99" si="146">D98+26</f>
        <v>2491</v>
      </c>
      <c r="E99" s="220">
        <f t="shared" si="145"/>
        <v>3540</v>
      </c>
      <c r="F99" s="220">
        <f t="shared" si="55"/>
        <v>1081</v>
      </c>
      <c r="G99" s="220">
        <f t="shared" si="56"/>
        <v>1259</v>
      </c>
      <c r="H99" s="220">
        <f t="shared" si="57"/>
        <v>1506</v>
      </c>
      <c r="I99" s="220">
        <f t="shared" si="58"/>
        <v>1300</v>
      </c>
      <c r="J99" s="220">
        <f t="shared" si="59"/>
        <v>1153</v>
      </c>
      <c r="K99" s="220">
        <f t="shared" si="60"/>
        <v>2459</v>
      </c>
      <c r="L99" s="220">
        <f t="shared" si="61"/>
        <v>2281</v>
      </c>
      <c r="M99" s="220">
        <f t="shared" si="62"/>
        <v>2034</v>
      </c>
      <c r="N99" s="220">
        <f t="shared" si="63"/>
        <v>2240</v>
      </c>
      <c r="O99" s="220">
        <f t="shared" si="63"/>
        <v>2387</v>
      </c>
      <c r="P99" s="220">
        <f t="shared" si="68"/>
        <v>2000</v>
      </c>
      <c r="Q99" s="220">
        <f t="shared" si="69"/>
        <v>2000</v>
      </c>
      <c r="R99" s="220">
        <f t="shared" si="70"/>
        <v>2000</v>
      </c>
      <c r="S99" s="220">
        <f t="shared" si="71"/>
        <v>2000</v>
      </c>
      <c r="T99" s="220">
        <f t="shared" si="72"/>
        <v>2000</v>
      </c>
      <c r="U99" s="220">
        <f t="shared" si="73"/>
        <v>459</v>
      </c>
      <c r="V99" s="220">
        <f t="shared" si="74"/>
        <v>281</v>
      </c>
      <c r="W99" s="220">
        <f t="shared" si="75"/>
        <v>34</v>
      </c>
      <c r="X99" s="220">
        <f t="shared" si="76"/>
        <v>240</v>
      </c>
      <c r="Y99" s="220">
        <f t="shared" si="77"/>
        <v>387</v>
      </c>
      <c r="Z99" s="220">
        <v>1</v>
      </c>
      <c r="AA99" s="220">
        <v>0</v>
      </c>
      <c r="AB99" s="220">
        <v>3</v>
      </c>
      <c r="AC99" s="220">
        <v>0</v>
      </c>
      <c r="AD99" s="220">
        <v>1</v>
      </c>
      <c r="AE99" s="220">
        <f t="shared" si="78"/>
        <v>-194</v>
      </c>
      <c r="AF99" s="220">
        <f t="shared" si="79"/>
        <v>-302</v>
      </c>
      <c r="AG99" s="220">
        <f t="shared" si="80"/>
        <v>-427</v>
      </c>
      <c r="AH99" s="220">
        <f t="shared" si="81"/>
        <v>-254</v>
      </c>
      <c r="AI99" s="220">
        <f t="shared" si="82"/>
        <v>-176</v>
      </c>
      <c r="AJ99" s="50">
        <f t="shared" si="140"/>
        <v>2.4300000000000024</v>
      </c>
      <c r="AK99" s="257"/>
      <c r="AL99" s="257">
        <f t="shared" si="141"/>
        <v>1.2</v>
      </c>
      <c r="AM99" s="52"/>
      <c r="AN99" s="88"/>
    </row>
    <row r="100" spans="1:40" s="29" customFormat="1" ht="17.25" customHeight="1">
      <c r="A100" s="48">
        <v>129</v>
      </c>
      <c r="B100" s="49">
        <f t="shared" si="64"/>
        <v>45643</v>
      </c>
      <c r="C100" s="220">
        <f t="shared" si="65"/>
        <v>1049</v>
      </c>
      <c r="D100" s="220">
        <f t="shared" ref="D100" si="147">D99+32</f>
        <v>2523</v>
      </c>
      <c r="E100" s="220">
        <f t="shared" si="145"/>
        <v>3572</v>
      </c>
      <c r="F100" s="220">
        <f t="shared" si="55"/>
        <v>1113</v>
      </c>
      <c r="G100" s="220">
        <f t="shared" si="56"/>
        <v>1291</v>
      </c>
      <c r="H100" s="220">
        <f t="shared" si="57"/>
        <v>1538</v>
      </c>
      <c r="I100" s="220">
        <f t="shared" si="58"/>
        <v>1332</v>
      </c>
      <c r="J100" s="220">
        <f t="shared" si="59"/>
        <v>1185</v>
      </c>
      <c r="K100" s="220">
        <f t="shared" si="60"/>
        <v>2459</v>
      </c>
      <c r="L100" s="220">
        <f t="shared" si="61"/>
        <v>2281</v>
      </c>
      <c r="M100" s="220">
        <f t="shared" si="62"/>
        <v>2034</v>
      </c>
      <c r="N100" s="220">
        <f t="shared" si="63"/>
        <v>2240</v>
      </c>
      <c r="O100" s="220">
        <f t="shared" si="63"/>
        <v>2387</v>
      </c>
      <c r="P100" s="220">
        <f t="shared" si="68"/>
        <v>2000</v>
      </c>
      <c r="Q100" s="220">
        <f t="shared" si="69"/>
        <v>2000</v>
      </c>
      <c r="R100" s="220">
        <f t="shared" si="70"/>
        <v>2000</v>
      </c>
      <c r="S100" s="220">
        <f t="shared" si="71"/>
        <v>2000</v>
      </c>
      <c r="T100" s="220">
        <f t="shared" si="72"/>
        <v>2000</v>
      </c>
      <c r="U100" s="220">
        <f t="shared" si="73"/>
        <v>459</v>
      </c>
      <c r="V100" s="220">
        <f t="shared" si="74"/>
        <v>281</v>
      </c>
      <c r="W100" s="220">
        <f t="shared" si="75"/>
        <v>34</v>
      </c>
      <c r="X100" s="220">
        <f t="shared" si="76"/>
        <v>240</v>
      </c>
      <c r="Y100" s="220">
        <f t="shared" si="77"/>
        <v>387</v>
      </c>
      <c r="Z100" s="220">
        <v>0</v>
      </c>
      <c r="AA100" s="220">
        <v>0</v>
      </c>
      <c r="AB100" s="220">
        <v>0</v>
      </c>
      <c r="AC100" s="220">
        <v>0</v>
      </c>
      <c r="AD100" s="220">
        <v>0</v>
      </c>
      <c r="AE100" s="220">
        <f t="shared" si="78"/>
        <v>-194</v>
      </c>
      <c r="AF100" s="220">
        <f t="shared" si="79"/>
        <v>-302</v>
      </c>
      <c r="AG100" s="220">
        <f t="shared" si="80"/>
        <v>-427</v>
      </c>
      <c r="AH100" s="220">
        <f t="shared" si="81"/>
        <v>-254</v>
      </c>
      <c r="AI100" s="220">
        <f t="shared" si="82"/>
        <v>-176</v>
      </c>
      <c r="AJ100" s="50">
        <f t="shared" si="140"/>
        <v>2.4300000000000024</v>
      </c>
      <c r="AK100" s="257"/>
      <c r="AL100" s="257">
        <f t="shared" si="141"/>
        <v>1.2</v>
      </c>
      <c r="AM100" s="52"/>
      <c r="AN100" s="88"/>
    </row>
    <row r="101" spans="1:40" s="29" customFormat="1" ht="17.25" customHeight="1">
      <c r="A101" s="48">
        <v>130</v>
      </c>
      <c r="B101" s="49">
        <f t="shared" si="64"/>
        <v>45644</v>
      </c>
      <c r="C101" s="220">
        <f t="shared" si="65"/>
        <v>1049</v>
      </c>
      <c r="D101" s="220">
        <f t="shared" ref="D101" si="148">D100-18</f>
        <v>2505</v>
      </c>
      <c r="E101" s="220">
        <f t="shared" si="145"/>
        <v>3554</v>
      </c>
      <c r="F101" s="220">
        <f t="shared" ref="F101:F164" si="149">E101-K101</f>
        <v>1096</v>
      </c>
      <c r="G101" s="220">
        <f t="shared" ref="G101:G164" si="150">E101-L101</f>
        <v>1273</v>
      </c>
      <c r="H101" s="220">
        <f t="shared" ref="H101:H164" si="151">E101-M101</f>
        <v>1521</v>
      </c>
      <c r="I101" s="220">
        <f t="shared" ref="I101:I164" si="152">E101-N101</f>
        <v>1318</v>
      </c>
      <c r="J101" s="220">
        <f t="shared" ref="J101:J164" si="153">E101-O101</f>
        <v>1168</v>
      </c>
      <c r="K101" s="220">
        <f t="shared" ref="K101:K164" si="154">P101+U101</f>
        <v>2458</v>
      </c>
      <c r="L101" s="220">
        <f t="shared" ref="L101:L164" si="155">Q101+V101</f>
        <v>2281</v>
      </c>
      <c r="M101" s="220">
        <f t="shared" ref="M101:M164" si="156">R101+W101</f>
        <v>2033</v>
      </c>
      <c r="N101" s="220">
        <f t="shared" ref="N101:O164" si="157">S101+X101</f>
        <v>2236</v>
      </c>
      <c r="O101" s="220">
        <f t="shared" si="157"/>
        <v>2386</v>
      </c>
      <c r="P101" s="220">
        <f t="shared" si="68"/>
        <v>2000</v>
      </c>
      <c r="Q101" s="220">
        <f t="shared" si="69"/>
        <v>2000</v>
      </c>
      <c r="R101" s="220">
        <f t="shared" si="70"/>
        <v>2000</v>
      </c>
      <c r="S101" s="220">
        <f t="shared" si="71"/>
        <v>2000</v>
      </c>
      <c r="T101" s="220">
        <f t="shared" si="72"/>
        <v>2000</v>
      </c>
      <c r="U101" s="220">
        <f t="shared" si="73"/>
        <v>458</v>
      </c>
      <c r="V101" s="220">
        <f t="shared" si="74"/>
        <v>281</v>
      </c>
      <c r="W101" s="220">
        <f t="shared" si="75"/>
        <v>33</v>
      </c>
      <c r="X101" s="220">
        <f t="shared" si="76"/>
        <v>236</v>
      </c>
      <c r="Y101" s="220">
        <f t="shared" si="77"/>
        <v>386</v>
      </c>
      <c r="Z101" s="220">
        <v>1</v>
      </c>
      <c r="AA101" s="220">
        <v>0</v>
      </c>
      <c r="AB101" s="220">
        <v>1</v>
      </c>
      <c r="AC101" s="220">
        <v>4</v>
      </c>
      <c r="AD101" s="220">
        <v>1</v>
      </c>
      <c r="AE101" s="220">
        <f t="shared" si="78"/>
        <v>-195</v>
      </c>
      <c r="AF101" s="220">
        <f t="shared" si="79"/>
        <v>-302</v>
      </c>
      <c r="AG101" s="220">
        <f t="shared" si="80"/>
        <v>-428</v>
      </c>
      <c r="AH101" s="220">
        <f t="shared" si="81"/>
        <v>-258</v>
      </c>
      <c r="AI101" s="220">
        <f t="shared" si="82"/>
        <v>-177</v>
      </c>
      <c r="AJ101" s="50">
        <f t="shared" si="140"/>
        <v>2.4290000000000025</v>
      </c>
      <c r="AK101" s="257"/>
      <c r="AL101" s="257">
        <f t="shared" si="141"/>
        <v>1.2</v>
      </c>
      <c r="AM101" s="52"/>
      <c r="AN101" s="88"/>
    </row>
    <row r="102" spans="1:40" s="29" customFormat="1" ht="17.25" customHeight="1">
      <c r="A102" s="48">
        <v>131</v>
      </c>
      <c r="B102" s="49">
        <f t="shared" ref="B102:B165" si="158">B101+1</f>
        <v>45645</v>
      </c>
      <c r="C102" s="220">
        <f t="shared" ref="C102:C165" si="159">+C101</f>
        <v>1049</v>
      </c>
      <c r="D102" s="220">
        <f t="shared" ref="D102" si="160">D101-26</f>
        <v>2479</v>
      </c>
      <c r="E102" s="220">
        <f t="shared" si="145"/>
        <v>3528</v>
      </c>
      <c r="F102" s="220">
        <f t="shared" si="149"/>
        <v>1070</v>
      </c>
      <c r="G102" s="220">
        <f t="shared" si="150"/>
        <v>1249</v>
      </c>
      <c r="H102" s="220">
        <f t="shared" si="151"/>
        <v>1495</v>
      </c>
      <c r="I102" s="220">
        <f t="shared" si="152"/>
        <v>1294</v>
      </c>
      <c r="J102" s="220">
        <f t="shared" si="153"/>
        <v>1143</v>
      </c>
      <c r="K102" s="220">
        <f t="shared" si="154"/>
        <v>2458</v>
      </c>
      <c r="L102" s="220">
        <f t="shared" si="155"/>
        <v>2279</v>
      </c>
      <c r="M102" s="220">
        <f t="shared" si="156"/>
        <v>2033</v>
      </c>
      <c r="N102" s="220">
        <f t="shared" si="157"/>
        <v>2234</v>
      </c>
      <c r="O102" s="220">
        <f t="shared" si="157"/>
        <v>2385</v>
      </c>
      <c r="P102" s="220">
        <f t="shared" ref="P102:P165" si="161">+P101</f>
        <v>2000</v>
      </c>
      <c r="Q102" s="220">
        <f t="shared" ref="Q102:Q165" si="162">+Q101</f>
        <v>2000</v>
      </c>
      <c r="R102" s="220">
        <f t="shared" ref="R102:R165" si="163">+R101</f>
        <v>2000</v>
      </c>
      <c r="S102" s="220">
        <f t="shared" ref="S102:S165" si="164">+S101</f>
        <v>2000</v>
      </c>
      <c r="T102" s="220">
        <f t="shared" ref="T102:T165" si="165">+T101</f>
        <v>2000</v>
      </c>
      <c r="U102" s="220">
        <f t="shared" ref="U102:U165" si="166">U101-Z102</f>
        <v>458</v>
      </c>
      <c r="V102" s="220">
        <f t="shared" ref="V102:V165" si="167">V101-AA102</f>
        <v>279</v>
      </c>
      <c r="W102" s="220">
        <f t="shared" ref="W102:W165" si="168">W101-AB102</f>
        <v>33</v>
      </c>
      <c r="X102" s="220">
        <f t="shared" ref="X102:X165" si="169">X101-AC102</f>
        <v>234</v>
      </c>
      <c r="Y102" s="220">
        <f t="shared" ref="Y102:Y165" si="170">Y101-AD102</f>
        <v>385</v>
      </c>
      <c r="Z102" s="220">
        <v>0</v>
      </c>
      <c r="AA102" s="220">
        <v>2</v>
      </c>
      <c r="AB102" s="220">
        <v>0</v>
      </c>
      <c r="AC102" s="220">
        <v>2</v>
      </c>
      <c r="AD102" s="220">
        <v>1</v>
      </c>
      <c r="AE102" s="220">
        <f t="shared" ref="AE102:AE165" si="171">AE101-Z102</f>
        <v>-195</v>
      </c>
      <c r="AF102" s="220">
        <f t="shared" ref="AF102:AF165" si="172">AF101-AA102</f>
        <v>-304</v>
      </c>
      <c r="AG102" s="220">
        <f t="shared" ref="AG102:AG165" si="173">AG101-AB102</f>
        <v>-428</v>
      </c>
      <c r="AH102" s="220">
        <f t="shared" ref="AH102:AH165" si="174">AH101-AC102</f>
        <v>-260</v>
      </c>
      <c r="AI102" s="220">
        <f t="shared" ref="AI102:AI165" si="175">AI101-AD102</f>
        <v>-178</v>
      </c>
      <c r="AJ102" s="50">
        <f t="shared" si="140"/>
        <v>2.4290000000000025</v>
      </c>
      <c r="AK102" s="257"/>
      <c r="AL102" s="257">
        <f t="shared" si="141"/>
        <v>1.2</v>
      </c>
      <c r="AM102" s="52"/>
      <c r="AN102" s="88"/>
    </row>
    <row r="103" spans="1:40" s="29" customFormat="1" ht="17.25" customHeight="1">
      <c r="A103" s="48">
        <v>132</v>
      </c>
      <c r="B103" s="49">
        <f t="shared" si="158"/>
        <v>45646</v>
      </c>
      <c r="C103" s="220">
        <f t="shared" si="159"/>
        <v>1049</v>
      </c>
      <c r="D103" s="220">
        <f t="shared" ref="D103" si="176">D102+15</f>
        <v>2494</v>
      </c>
      <c r="E103" s="220">
        <f t="shared" si="145"/>
        <v>3543</v>
      </c>
      <c r="F103" s="220">
        <f t="shared" si="149"/>
        <v>1086</v>
      </c>
      <c r="G103" s="220">
        <f t="shared" si="150"/>
        <v>1264</v>
      </c>
      <c r="H103" s="220">
        <f t="shared" si="151"/>
        <v>1511</v>
      </c>
      <c r="I103" s="220">
        <f t="shared" si="152"/>
        <v>1309</v>
      </c>
      <c r="J103" s="220">
        <f t="shared" si="153"/>
        <v>1158</v>
      </c>
      <c r="K103" s="220">
        <f t="shared" si="154"/>
        <v>2457</v>
      </c>
      <c r="L103" s="220">
        <f t="shared" si="155"/>
        <v>2279</v>
      </c>
      <c r="M103" s="220">
        <f t="shared" si="156"/>
        <v>2032</v>
      </c>
      <c r="N103" s="220">
        <f t="shared" si="157"/>
        <v>2234</v>
      </c>
      <c r="O103" s="220">
        <f t="shared" si="157"/>
        <v>2385</v>
      </c>
      <c r="P103" s="220">
        <f t="shared" si="161"/>
        <v>2000</v>
      </c>
      <c r="Q103" s="220">
        <f t="shared" si="162"/>
        <v>2000</v>
      </c>
      <c r="R103" s="220">
        <f t="shared" si="163"/>
        <v>2000</v>
      </c>
      <c r="S103" s="220">
        <f t="shared" si="164"/>
        <v>2000</v>
      </c>
      <c r="T103" s="220">
        <f t="shared" si="165"/>
        <v>2000</v>
      </c>
      <c r="U103" s="220">
        <f t="shared" si="166"/>
        <v>457</v>
      </c>
      <c r="V103" s="220">
        <f t="shared" si="167"/>
        <v>279</v>
      </c>
      <c r="W103" s="220">
        <f t="shared" si="168"/>
        <v>32</v>
      </c>
      <c r="X103" s="220">
        <f t="shared" si="169"/>
        <v>234</v>
      </c>
      <c r="Y103" s="220">
        <f t="shared" si="170"/>
        <v>385</v>
      </c>
      <c r="Z103" s="220">
        <v>1</v>
      </c>
      <c r="AA103" s="220">
        <v>0</v>
      </c>
      <c r="AB103" s="220">
        <v>1</v>
      </c>
      <c r="AC103" s="220">
        <v>0</v>
      </c>
      <c r="AD103" s="220">
        <v>0</v>
      </c>
      <c r="AE103" s="220">
        <f t="shared" si="171"/>
        <v>-196</v>
      </c>
      <c r="AF103" s="220">
        <f t="shared" si="172"/>
        <v>-304</v>
      </c>
      <c r="AG103" s="220">
        <f t="shared" si="173"/>
        <v>-429</v>
      </c>
      <c r="AH103" s="220">
        <f t="shared" si="174"/>
        <v>-260</v>
      </c>
      <c r="AI103" s="220">
        <f t="shared" si="175"/>
        <v>-178</v>
      </c>
      <c r="AJ103" s="50">
        <f t="shared" si="140"/>
        <v>2.4280000000000026</v>
      </c>
      <c r="AK103" s="257"/>
      <c r="AL103" s="257">
        <f t="shared" si="141"/>
        <v>1.2</v>
      </c>
      <c r="AM103" s="52"/>
      <c r="AN103" s="88"/>
    </row>
    <row r="104" spans="1:40" s="29" customFormat="1" ht="17.25" customHeight="1">
      <c r="A104" s="48">
        <v>133</v>
      </c>
      <c r="B104" s="49">
        <f t="shared" si="158"/>
        <v>45647</v>
      </c>
      <c r="C104" s="220">
        <f t="shared" si="159"/>
        <v>1049</v>
      </c>
      <c r="D104" s="220">
        <f t="shared" ref="D104" si="177">D103+26</f>
        <v>2520</v>
      </c>
      <c r="E104" s="220">
        <f t="shared" si="145"/>
        <v>3569</v>
      </c>
      <c r="F104" s="220">
        <f t="shared" si="149"/>
        <v>1112</v>
      </c>
      <c r="G104" s="220">
        <f t="shared" si="150"/>
        <v>1290</v>
      </c>
      <c r="H104" s="220">
        <f t="shared" si="151"/>
        <v>1537</v>
      </c>
      <c r="I104" s="220">
        <f t="shared" si="152"/>
        <v>1335</v>
      </c>
      <c r="J104" s="220">
        <f t="shared" si="153"/>
        <v>1184</v>
      </c>
      <c r="K104" s="220">
        <f t="shared" si="154"/>
        <v>2457</v>
      </c>
      <c r="L104" s="220">
        <f t="shared" si="155"/>
        <v>2279</v>
      </c>
      <c r="M104" s="220">
        <f t="shared" si="156"/>
        <v>2032</v>
      </c>
      <c r="N104" s="220">
        <f t="shared" si="157"/>
        <v>2234</v>
      </c>
      <c r="O104" s="220">
        <f t="shared" si="157"/>
        <v>2385</v>
      </c>
      <c r="P104" s="220">
        <f t="shared" si="161"/>
        <v>2000</v>
      </c>
      <c r="Q104" s="220">
        <f t="shared" si="162"/>
        <v>2000</v>
      </c>
      <c r="R104" s="220">
        <f t="shared" si="163"/>
        <v>2000</v>
      </c>
      <c r="S104" s="220">
        <f t="shared" si="164"/>
        <v>2000</v>
      </c>
      <c r="T104" s="220">
        <f t="shared" si="165"/>
        <v>2000</v>
      </c>
      <c r="U104" s="220">
        <f t="shared" si="166"/>
        <v>457</v>
      </c>
      <c r="V104" s="220">
        <f t="shared" si="167"/>
        <v>279</v>
      </c>
      <c r="W104" s="220">
        <f t="shared" si="168"/>
        <v>32</v>
      </c>
      <c r="X104" s="220">
        <f t="shared" si="169"/>
        <v>234</v>
      </c>
      <c r="Y104" s="220">
        <f t="shared" si="170"/>
        <v>385</v>
      </c>
      <c r="Z104" s="220">
        <v>0</v>
      </c>
      <c r="AA104" s="220">
        <v>0</v>
      </c>
      <c r="AB104" s="220">
        <v>0</v>
      </c>
      <c r="AC104" s="220">
        <v>0</v>
      </c>
      <c r="AD104" s="220">
        <v>0</v>
      </c>
      <c r="AE104" s="220">
        <f t="shared" si="171"/>
        <v>-196</v>
      </c>
      <c r="AF104" s="220">
        <f t="shared" si="172"/>
        <v>-304</v>
      </c>
      <c r="AG104" s="220">
        <f t="shared" si="173"/>
        <v>-429</v>
      </c>
      <c r="AH104" s="220">
        <f t="shared" si="174"/>
        <v>-260</v>
      </c>
      <c r="AI104" s="220">
        <f t="shared" si="175"/>
        <v>-178</v>
      </c>
      <c r="AJ104" s="50">
        <f t="shared" si="140"/>
        <v>2.4280000000000026</v>
      </c>
      <c r="AK104" s="257"/>
      <c r="AL104" s="257">
        <f t="shared" si="141"/>
        <v>1.2</v>
      </c>
      <c r="AM104" s="52"/>
      <c r="AN104" s="88"/>
    </row>
    <row r="105" spans="1:40" s="29" customFormat="1" ht="17.25" customHeight="1">
      <c r="A105" s="48">
        <v>134</v>
      </c>
      <c r="B105" s="49">
        <f t="shared" si="158"/>
        <v>45648</v>
      </c>
      <c r="C105" s="220">
        <f t="shared" si="159"/>
        <v>1049</v>
      </c>
      <c r="D105" s="220">
        <f t="shared" ref="D105" si="178">D104+32</f>
        <v>2552</v>
      </c>
      <c r="E105" s="220">
        <f t="shared" si="145"/>
        <v>3601</v>
      </c>
      <c r="F105" s="220">
        <f t="shared" si="149"/>
        <v>1145</v>
      </c>
      <c r="G105" s="220">
        <f t="shared" si="150"/>
        <v>1322</v>
      </c>
      <c r="H105" s="220">
        <f t="shared" si="151"/>
        <v>1570</v>
      </c>
      <c r="I105" s="220">
        <f t="shared" si="152"/>
        <v>1367</v>
      </c>
      <c r="J105" s="220">
        <f t="shared" si="153"/>
        <v>1218</v>
      </c>
      <c r="K105" s="220">
        <f t="shared" si="154"/>
        <v>2456</v>
      </c>
      <c r="L105" s="220">
        <f t="shared" si="155"/>
        <v>2279</v>
      </c>
      <c r="M105" s="220">
        <f t="shared" si="156"/>
        <v>2031</v>
      </c>
      <c r="N105" s="220">
        <f t="shared" si="157"/>
        <v>2234</v>
      </c>
      <c r="O105" s="220">
        <f t="shared" si="157"/>
        <v>2383</v>
      </c>
      <c r="P105" s="220">
        <f t="shared" si="161"/>
        <v>2000</v>
      </c>
      <c r="Q105" s="220">
        <f t="shared" si="162"/>
        <v>2000</v>
      </c>
      <c r="R105" s="220">
        <f t="shared" si="163"/>
        <v>2000</v>
      </c>
      <c r="S105" s="220">
        <f t="shared" si="164"/>
        <v>2000</v>
      </c>
      <c r="T105" s="220">
        <f t="shared" si="165"/>
        <v>2000</v>
      </c>
      <c r="U105" s="220">
        <f t="shared" si="166"/>
        <v>456</v>
      </c>
      <c r="V105" s="220">
        <f t="shared" si="167"/>
        <v>279</v>
      </c>
      <c r="W105" s="220">
        <f t="shared" si="168"/>
        <v>31</v>
      </c>
      <c r="X105" s="220">
        <f t="shared" si="169"/>
        <v>234</v>
      </c>
      <c r="Y105" s="220">
        <f t="shared" si="170"/>
        <v>383</v>
      </c>
      <c r="Z105" s="220">
        <v>1</v>
      </c>
      <c r="AA105" s="220">
        <v>0</v>
      </c>
      <c r="AB105" s="220">
        <v>1</v>
      </c>
      <c r="AC105" s="220">
        <v>0</v>
      </c>
      <c r="AD105" s="220">
        <v>2</v>
      </c>
      <c r="AE105" s="220">
        <f t="shared" si="171"/>
        <v>-197</v>
      </c>
      <c r="AF105" s="220">
        <f t="shared" si="172"/>
        <v>-304</v>
      </c>
      <c r="AG105" s="220">
        <f t="shared" si="173"/>
        <v>-430</v>
      </c>
      <c r="AH105" s="220">
        <f t="shared" si="174"/>
        <v>-260</v>
      </c>
      <c r="AI105" s="220">
        <f t="shared" si="175"/>
        <v>-180</v>
      </c>
      <c r="AJ105" s="50">
        <f t="shared" si="140"/>
        <v>2.4270000000000027</v>
      </c>
      <c r="AK105" s="257"/>
      <c r="AL105" s="257">
        <f t="shared" si="141"/>
        <v>1.2</v>
      </c>
      <c r="AM105" s="52"/>
      <c r="AN105" s="88"/>
    </row>
    <row r="106" spans="1:40" s="29" customFormat="1" ht="17.25" customHeight="1">
      <c r="A106" s="48">
        <v>135</v>
      </c>
      <c r="B106" s="49">
        <f t="shared" si="158"/>
        <v>45649</v>
      </c>
      <c r="C106" s="220">
        <f t="shared" si="159"/>
        <v>1049</v>
      </c>
      <c r="D106" s="220">
        <f t="shared" ref="D106" si="179">D105-18</f>
        <v>2534</v>
      </c>
      <c r="E106" s="220">
        <f t="shared" si="145"/>
        <v>3583</v>
      </c>
      <c r="F106" s="220">
        <f t="shared" si="149"/>
        <v>1127</v>
      </c>
      <c r="G106" s="220">
        <f t="shared" si="150"/>
        <v>1306</v>
      </c>
      <c r="H106" s="220">
        <f t="shared" si="151"/>
        <v>1552</v>
      </c>
      <c r="I106" s="220">
        <f t="shared" si="152"/>
        <v>1351</v>
      </c>
      <c r="J106" s="220">
        <f t="shared" si="153"/>
        <v>1200</v>
      </c>
      <c r="K106" s="220">
        <f t="shared" si="154"/>
        <v>2456</v>
      </c>
      <c r="L106" s="220">
        <f t="shared" si="155"/>
        <v>2277</v>
      </c>
      <c r="M106" s="220">
        <f t="shared" si="156"/>
        <v>2031</v>
      </c>
      <c r="N106" s="220">
        <f t="shared" si="157"/>
        <v>2232</v>
      </c>
      <c r="O106" s="220">
        <f t="shared" si="157"/>
        <v>2383</v>
      </c>
      <c r="P106" s="220">
        <f t="shared" si="161"/>
        <v>2000</v>
      </c>
      <c r="Q106" s="220">
        <f t="shared" si="162"/>
        <v>2000</v>
      </c>
      <c r="R106" s="220">
        <f t="shared" si="163"/>
        <v>2000</v>
      </c>
      <c r="S106" s="220">
        <f t="shared" si="164"/>
        <v>2000</v>
      </c>
      <c r="T106" s="220">
        <f t="shared" si="165"/>
        <v>2000</v>
      </c>
      <c r="U106" s="220">
        <f t="shared" si="166"/>
        <v>456</v>
      </c>
      <c r="V106" s="220">
        <f t="shared" si="167"/>
        <v>277</v>
      </c>
      <c r="W106" s="220">
        <f t="shared" si="168"/>
        <v>31</v>
      </c>
      <c r="X106" s="220">
        <f t="shared" si="169"/>
        <v>232</v>
      </c>
      <c r="Y106" s="220">
        <f t="shared" si="170"/>
        <v>383</v>
      </c>
      <c r="Z106" s="220">
        <v>0</v>
      </c>
      <c r="AA106" s="220">
        <v>2</v>
      </c>
      <c r="AB106" s="220">
        <v>0</v>
      </c>
      <c r="AC106" s="220">
        <v>2</v>
      </c>
      <c r="AD106" s="220">
        <v>0</v>
      </c>
      <c r="AE106" s="220">
        <f t="shared" si="171"/>
        <v>-197</v>
      </c>
      <c r="AF106" s="220">
        <f t="shared" si="172"/>
        <v>-306</v>
      </c>
      <c r="AG106" s="220">
        <f t="shared" si="173"/>
        <v>-430</v>
      </c>
      <c r="AH106" s="220">
        <f t="shared" si="174"/>
        <v>-262</v>
      </c>
      <c r="AI106" s="220">
        <f t="shared" si="175"/>
        <v>-180</v>
      </c>
      <c r="AJ106" s="50">
        <f t="shared" si="140"/>
        <v>2.4270000000000027</v>
      </c>
      <c r="AK106" s="257"/>
      <c r="AL106" s="257">
        <f t="shared" si="141"/>
        <v>1.2</v>
      </c>
      <c r="AM106" s="52"/>
      <c r="AN106" s="88"/>
    </row>
    <row r="107" spans="1:40" s="29" customFormat="1" ht="17.25" customHeight="1">
      <c r="A107" s="48">
        <v>136</v>
      </c>
      <c r="B107" s="49">
        <f t="shared" si="158"/>
        <v>45650</v>
      </c>
      <c r="C107" s="220">
        <f t="shared" si="159"/>
        <v>1049</v>
      </c>
      <c r="D107" s="220">
        <f t="shared" ref="D107" si="180">D106-26</f>
        <v>2508</v>
      </c>
      <c r="E107" s="220">
        <f t="shared" si="145"/>
        <v>3557</v>
      </c>
      <c r="F107" s="220">
        <f t="shared" si="149"/>
        <v>1101</v>
      </c>
      <c r="G107" s="220">
        <f t="shared" si="150"/>
        <v>1280</v>
      </c>
      <c r="H107" s="220">
        <f t="shared" si="151"/>
        <v>1526</v>
      </c>
      <c r="I107" s="220">
        <f t="shared" si="152"/>
        <v>1325</v>
      </c>
      <c r="J107" s="220">
        <f t="shared" si="153"/>
        <v>1174</v>
      </c>
      <c r="K107" s="220">
        <f t="shared" si="154"/>
        <v>2456</v>
      </c>
      <c r="L107" s="220">
        <f t="shared" si="155"/>
        <v>2277</v>
      </c>
      <c r="M107" s="220">
        <f t="shared" si="156"/>
        <v>2031</v>
      </c>
      <c r="N107" s="220">
        <f t="shared" si="157"/>
        <v>2232</v>
      </c>
      <c r="O107" s="220">
        <f t="shared" si="157"/>
        <v>2383</v>
      </c>
      <c r="P107" s="220">
        <f t="shared" si="161"/>
        <v>2000</v>
      </c>
      <c r="Q107" s="220">
        <f t="shared" si="162"/>
        <v>2000</v>
      </c>
      <c r="R107" s="220">
        <f t="shared" si="163"/>
        <v>2000</v>
      </c>
      <c r="S107" s="220">
        <f t="shared" si="164"/>
        <v>2000</v>
      </c>
      <c r="T107" s="220">
        <f t="shared" si="165"/>
        <v>2000</v>
      </c>
      <c r="U107" s="220">
        <f t="shared" si="166"/>
        <v>456</v>
      </c>
      <c r="V107" s="220">
        <f t="shared" si="167"/>
        <v>277</v>
      </c>
      <c r="W107" s="220">
        <f t="shared" si="168"/>
        <v>31</v>
      </c>
      <c r="X107" s="220">
        <f t="shared" si="169"/>
        <v>232</v>
      </c>
      <c r="Y107" s="220">
        <f t="shared" si="170"/>
        <v>383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f t="shared" si="171"/>
        <v>-197</v>
      </c>
      <c r="AF107" s="220">
        <f t="shared" si="172"/>
        <v>-306</v>
      </c>
      <c r="AG107" s="220">
        <f t="shared" si="173"/>
        <v>-430</v>
      </c>
      <c r="AH107" s="220">
        <f t="shared" si="174"/>
        <v>-262</v>
      </c>
      <c r="AI107" s="220">
        <f t="shared" si="175"/>
        <v>-180</v>
      </c>
      <c r="AJ107" s="50">
        <f t="shared" si="140"/>
        <v>2.4270000000000027</v>
      </c>
      <c r="AK107" s="257"/>
      <c r="AL107" s="257">
        <f t="shared" si="141"/>
        <v>1.2</v>
      </c>
      <c r="AM107" s="52"/>
      <c r="AN107" s="88"/>
    </row>
    <row r="108" spans="1:40" s="29" customFormat="1" ht="17.25" customHeight="1">
      <c r="A108" s="48">
        <v>137</v>
      </c>
      <c r="B108" s="49">
        <f t="shared" si="158"/>
        <v>45651</v>
      </c>
      <c r="C108" s="220">
        <f t="shared" si="159"/>
        <v>1049</v>
      </c>
      <c r="D108" s="220">
        <f t="shared" ref="D108" si="181">D107+15</f>
        <v>2523</v>
      </c>
      <c r="E108" s="220">
        <f t="shared" si="145"/>
        <v>3572</v>
      </c>
      <c r="F108" s="220">
        <f t="shared" si="149"/>
        <v>1116</v>
      </c>
      <c r="G108" s="220">
        <f t="shared" si="150"/>
        <v>1295</v>
      </c>
      <c r="H108" s="220">
        <f t="shared" si="151"/>
        <v>1541</v>
      </c>
      <c r="I108" s="220">
        <f t="shared" si="152"/>
        <v>1340</v>
      </c>
      <c r="J108" s="220">
        <f t="shared" si="153"/>
        <v>1189</v>
      </c>
      <c r="K108" s="220">
        <f t="shared" si="154"/>
        <v>2456</v>
      </c>
      <c r="L108" s="220">
        <f t="shared" si="155"/>
        <v>2277</v>
      </c>
      <c r="M108" s="220">
        <f t="shared" si="156"/>
        <v>2031</v>
      </c>
      <c r="N108" s="220">
        <f t="shared" si="157"/>
        <v>2232</v>
      </c>
      <c r="O108" s="220">
        <f t="shared" si="157"/>
        <v>2383</v>
      </c>
      <c r="P108" s="220">
        <f t="shared" si="161"/>
        <v>2000</v>
      </c>
      <c r="Q108" s="220">
        <f t="shared" si="162"/>
        <v>2000</v>
      </c>
      <c r="R108" s="220">
        <f t="shared" si="163"/>
        <v>2000</v>
      </c>
      <c r="S108" s="220">
        <f t="shared" si="164"/>
        <v>2000</v>
      </c>
      <c r="T108" s="220">
        <f t="shared" si="165"/>
        <v>2000</v>
      </c>
      <c r="U108" s="220">
        <f t="shared" si="166"/>
        <v>456</v>
      </c>
      <c r="V108" s="220">
        <f t="shared" si="167"/>
        <v>277</v>
      </c>
      <c r="W108" s="220">
        <f t="shared" si="168"/>
        <v>31</v>
      </c>
      <c r="X108" s="220">
        <f t="shared" si="169"/>
        <v>232</v>
      </c>
      <c r="Y108" s="220">
        <f t="shared" si="170"/>
        <v>383</v>
      </c>
      <c r="Z108" s="220">
        <v>0</v>
      </c>
      <c r="AA108" s="220">
        <v>0</v>
      </c>
      <c r="AB108" s="220">
        <v>0</v>
      </c>
      <c r="AC108" s="220">
        <v>0</v>
      </c>
      <c r="AD108" s="220">
        <v>0</v>
      </c>
      <c r="AE108" s="220">
        <f t="shared" si="171"/>
        <v>-197</v>
      </c>
      <c r="AF108" s="220">
        <f t="shared" si="172"/>
        <v>-306</v>
      </c>
      <c r="AG108" s="220">
        <f t="shared" si="173"/>
        <v>-430</v>
      </c>
      <c r="AH108" s="220">
        <f t="shared" si="174"/>
        <v>-262</v>
      </c>
      <c r="AI108" s="220">
        <f t="shared" si="175"/>
        <v>-180</v>
      </c>
      <c r="AJ108" s="50">
        <f t="shared" si="140"/>
        <v>2.4270000000000027</v>
      </c>
      <c r="AK108" s="257"/>
      <c r="AL108" s="257">
        <f t="shared" si="141"/>
        <v>1.2</v>
      </c>
      <c r="AM108" s="52"/>
      <c r="AN108" s="88"/>
    </row>
    <row r="109" spans="1:40" s="29" customFormat="1" ht="17.25" customHeight="1">
      <c r="A109" s="48">
        <v>138</v>
      </c>
      <c r="B109" s="49">
        <f t="shared" si="158"/>
        <v>45652</v>
      </c>
      <c r="C109" s="220">
        <f t="shared" si="159"/>
        <v>1049</v>
      </c>
      <c r="D109" s="220">
        <f t="shared" ref="D109" si="182">D108+26</f>
        <v>2549</v>
      </c>
      <c r="E109" s="220">
        <f t="shared" si="145"/>
        <v>3598</v>
      </c>
      <c r="F109" s="220">
        <f t="shared" si="149"/>
        <v>1142</v>
      </c>
      <c r="G109" s="220">
        <f t="shared" si="150"/>
        <v>1324</v>
      </c>
      <c r="H109" s="220">
        <f t="shared" si="151"/>
        <v>1570</v>
      </c>
      <c r="I109" s="220">
        <f t="shared" si="152"/>
        <v>1369</v>
      </c>
      <c r="J109" s="220">
        <f t="shared" si="153"/>
        <v>1216</v>
      </c>
      <c r="K109" s="220">
        <f t="shared" si="154"/>
        <v>2456</v>
      </c>
      <c r="L109" s="220">
        <f t="shared" si="155"/>
        <v>2274</v>
      </c>
      <c r="M109" s="220">
        <f t="shared" si="156"/>
        <v>2028</v>
      </c>
      <c r="N109" s="220">
        <f t="shared" si="157"/>
        <v>2229</v>
      </c>
      <c r="O109" s="220">
        <f t="shared" si="157"/>
        <v>2382</v>
      </c>
      <c r="P109" s="220">
        <f t="shared" si="161"/>
        <v>2000</v>
      </c>
      <c r="Q109" s="220">
        <f t="shared" si="162"/>
        <v>2000</v>
      </c>
      <c r="R109" s="220">
        <f t="shared" si="163"/>
        <v>2000</v>
      </c>
      <c r="S109" s="220">
        <f t="shared" si="164"/>
        <v>2000</v>
      </c>
      <c r="T109" s="220">
        <f t="shared" si="165"/>
        <v>2000</v>
      </c>
      <c r="U109" s="220">
        <f t="shared" si="166"/>
        <v>456</v>
      </c>
      <c r="V109" s="220">
        <f t="shared" si="167"/>
        <v>274</v>
      </c>
      <c r="W109" s="220">
        <f t="shared" si="168"/>
        <v>28</v>
      </c>
      <c r="X109" s="220">
        <f t="shared" si="169"/>
        <v>229</v>
      </c>
      <c r="Y109" s="220">
        <f t="shared" si="170"/>
        <v>382</v>
      </c>
      <c r="Z109" s="220">
        <v>0</v>
      </c>
      <c r="AA109" s="220">
        <v>3</v>
      </c>
      <c r="AB109" s="220">
        <v>3</v>
      </c>
      <c r="AC109" s="220">
        <v>3</v>
      </c>
      <c r="AD109" s="220">
        <v>1</v>
      </c>
      <c r="AE109" s="220">
        <f t="shared" si="171"/>
        <v>-197</v>
      </c>
      <c r="AF109" s="220">
        <f t="shared" si="172"/>
        <v>-309</v>
      </c>
      <c r="AG109" s="220">
        <f t="shared" si="173"/>
        <v>-433</v>
      </c>
      <c r="AH109" s="220">
        <f t="shared" si="174"/>
        <v>-265</v>
      </c>
      <c r="AI109" s="220">
        <f t="shared" si="175"/>
        <v>-181</v>
      </c>
      <c r="AJ109" s="50">
        <f t="shared" si="140"/>
        <v>2.4240000000000026</v>
      </c>
      <c r="AK109" s="257"/>
      <c r="AL109" s="257">
        <f t="shared" si="141"/>
        <v>1.2</v>
      </c>
      <c r="AM109" s="52"/>
      <c r="AN109" s="88"/>
    </row>
    <row r="110" spans="1:40" s="29" customFormat="1" ht="17.25" customHeight="1">
      <c r="A110" s="48">
        <v>139</v>
      </c>
      <c r="B110" s="49">
        <f t="shared" si="158"/>
        <v>45653</v>
      </c>
      <c r="C110" s="220">
        <f t="shared" si="159"/>
        <v>1049</v>
      </c>
      <c r="D110" s="220">
        <f t="shared" ref="D110" si="183">D109+32</f>
        <v>2581</v>
      </c>
      <c r="E110" s="220">
        <f t="shared" si="145"/>
        <v>3630</v>
      </c>
      <c r="F110" s="220">
        <f t="shared" si="149"/>
        <v>1175</v>
      </c>
      <c r="G110" s="220">
        <f t="shared" si="150"/>
        <v>1356</v>
      </c>
      <c r="H110" s="220">
        <f t="shared" si="151"/>
        <v>1603</v>
      </c>
      <c r="I110" s="220">
        <f t="shared" si="152"/>
        <v>1405</v>
      </c>
      <c r="J110" s="220">
        <f t="shared" si="153"/>
        <v>1248</v>
      </c>
      <c r="K110" s="220">
        <f t="shared" si="154"/>
        <v>2455</v>
      </c>
      <c r="L110" s="220">
        <f t="shared" si="155"/>
        <v>2274</v>
      </c>
      <c r="M110" s="220">
        <f t="shared" si="156"/>
        <v>2027</v>
      </c>
      <c r="N110" s="220">
        <f t="shared" si="157"/>
        <v>2225</v>
      </c>
      <c r="O110" s="220">
        <f t="shared" si="157"/>
        <v>2382</v>
      </c>
      <c r="P110" s="220">
        <f t="shared" si="161"/>
        <v>2000</v>
      </c>
      <c r="Q110" s="220">
        <f t="shared" si="162"/>
        <v>2000</v>
      </c>
      <c r="R110" s="220">
        <f t="shared" si="163"/>
        <v>2000</v>
      </c>
      <c r="S110" s="220">
        <f t="shared" si="164"/>
        <v>2000</v>
      </c>
      <c r="T110" s="220">
        <f t="shared" si="165"/>
        <v>2000</v>
      </c>
      <c r="U110" s="220">
        <f t="shared" si="166"/>
        <v>455</v>
      </c>
      <c r="V110" s="220">
        <f t="shared" si="167"/>
        <v>274</v>
      </c>
      <c r="W110" s="220">
        <f t="shared" si="168"/>
        <v>27</v>
      </c>
      <c r="X110" s="220">
        <f t="shared" si="169"/>
        <v>225</v>
      </c>
      <c r="Y110" s="220">
        <f t="shared" si="170"/>
        <v>382</v>
      </c>
      <c r="Z110" s="220">
        <v>1</v>
      </c>
      <c r="AA110" s="220">
        <v>0</v>
      </c>
      <c r="AB110" s="220">
        <v>1</v>
      </c>
      <c r="AC110" s="220">
        <v>4</v>
      </c>
      <c r="AD110" s="220">
        <v>0</v>
      </c>
      <c r="AE110" s="220">
        <f t="shared" si="171"/>
        <v>-198</v>
      </c>
      <c r="AF110" s="220">
        <f t="shared" si="172"/>
        <v>-309</v>
      </c>
      <c r="AG110" s="220">
        <f t="shared" si="173"/>
        <v>-434</v>
      </c>
      <c r="AH110" s="220">
        <f t="shared" si="174"/>
        <v>-269</v>
      </c>
      <c r="AI110" s="220">
        <f t="shared" si="175"/>
        <v>-181</v>
      </c>
      <c r="AJ110" s="50">
        <f t="shared" si="140"/>
        <v>2.4230000000000027</v>
      </c>
      <c r="AK110" s="257"/>
      <c r="AL110" s="257">
        <f t="shared" si="141"/>
        <v>1.2</v>
      </c>
      <c r="AM110" s="52"/>
      <c r="AN110" s="88"/>
    </row>
    <row r="111" spans="1:40" s="29" customFormat="1" ht="17.25" customHeight="1">
      <c r="A111" s="48">
        <v>140</v>
      </c>
      <c r="B111" s="49">
        <f t="shared" si="158"/>
        <v>45654</v>
      </c>
      <c r="C111" s="220">
        <f t="shared" si="159"/>
        <v>1049</v>
      </c>
      <c r="D111" s="220">
        <f t="shared" ref="D111" si="184">D110-18</f>
        <v>2563</v>
      </c>
      <c r="E111" s="220">
        <f t="shared" si="145"/>
        <v>3612</v>
      </c>
      <c r="F111" s="220">
        <f t="shared" si="149"/>
        <v>1157</v>
      </c>
      <c r="G111" s="220">
        <f t="shared" si="150"/>
        <v>1342</v>
      </c>
      <c r="H111" s="220">
        <f t="shared" si="151"/>
        <v>1585</v>
      </c>
      <c r="I111" s="220">
        <f t="shared" si="152"/>
        <v>1389</v>
      </c>
      <c r="J111" s="220">
        <f t="shared" si="153"/>
        <v>1230</v>
      </c>
      <c r="K111" s="220">
        <f t="shared" si="154"/>
        <v>2455</v>
      </c>
      <c r="L111" s="220">
        <f t="shared" si="155"/>
        <v>2270</v>
      </c>
      <c r="M111" s="220">
        <f t="shared" si="156"/>
        <v>2027</v>
      </c>
      <c r="N111" s="220">
        <f t="shared" si="157"/>
        <v>2223</v>
      </c>
      <c r="O111" s="220">
        <f t="shared" si="157"/>
        <v>2382</v>
      </c>
      <c r="P111" s="220">
        <f t="shared" si="161"/>
        <v>2000</v>
      </c>
      <c r="Q111" s="220">
        <f t="shared" si="162"/>
        <v>2000</v>
      </c>
      <c r="R111" s="220">
        <f t="shared" si="163"/>
        <v>2000</v>
      </c>
      <c r="S111" s="220">
        <f t="shared" si="164"/>
        <v>2000</v>
      </c>
      <c r="T111" s="220">
        <f t="shared" si="165"/>
        <v>2000</v>
      </c>
      <c r="U111" s="220">
        <f t="shared" si="166"/>
        <v>455</v>
      </c>
      <c r="V111" s="220">
        <f t="shared" si="167"/>
        <v>270</v>
      </c>
      <c r="W111" s="220">
        <f t="shared" si="168"/>
        <v>27</v>
      </c>
      <c r="X111" s="220">
        <f t="shared" si="169"/>
        <v>223</v>
      </c>
      <c r="Y111" s="220">
        <f t="shared" si="170"/>
        <v>382</v>
      </c>
      <c r="Z111" s="220">
        <v>0</v>
      </c>
      <c r="AA111" s="220">
        <v>4</v>
      </c>
      <c r="AB111" s="220">
        <v>0</v>
      </c>
      <c r="AC111" s="220">
        <v>2</v>
      </c>
      <c r="AD111" s="220">
        <v>0</v>
      </c>
      <c r="AE111" s="220">
        <f t="shared" si="171"/>
        <v>-198</v>
      </c>
      <c r="AF111" s="220">
        <f t="shared" si="172"/>
        <v>-313</v>
      </c>
      <c r="AG111" s="220">
        <f t="shared" si="173"/>
        <v>-434</v>
      </c>
      <c r="AH111" s="220">
        <f t="shared" si="174"/>
        <v>-271</v>
      </c>
      <c r="AI111" s="220">
        <f t="shared" si="175"/>
        <v>-181</v>
      </c>
      <c r="AJ111" s="50">
        <f t="shared" si="140"/>
        <v>2.4230000000000027</v>
      </c>
      <c r="AK111" s="257"/>
      <c r="AL111" s="257">
        <f t="shared" si="141"/>
        <v>1.2</v>
      </c>
      <c r="AM111" s="52"/>
      <c r="AN111" s="88"/>
    </row>
    <row r="112" spans="1:40" s="29" customFormat="1" ht="17.25" customHeight="1">
      <c r="A112" s="48">
        <v>141</v>
      </c>
      <c r="B112" s="49">
        <f t="shared" si="158"/>
        <v>45655</v>
      </c>
      <c r="C112" s="220">
        <f t="shared" si="159"/>
        <v>1049</v>
      </c>
      <c r="D112" s="220">
        <f t="shared" ref="D112" si="185">D111-26</f>
        <v>2537</v>
      </c>
      <c r="E112" s="220">
        <f t="shared" si="145"/>
        <v>3586</v>
      </c>
      <c r="F112" s="220">
        <f t="shared" si="149"/>
        <v>1131</v>
      </c>
      <c r="G112" s="220">
        <f t="shared" si="150"/>
        <v>1316</v>
      </c>
      <c r="H112" s="220">
        <f t="shared" si="151"/>
        <v>1559</v>
      </c>
      <c r="I112" s="220">
        <f t="shared" si="152"/>
        <v>1363</v>
      </c>
      <c r="J112" s="220">
        <f t="shared" si="153"/>
        <v>1204</v>
      </c>
      <c r="K112" s="220">
        <f t="shared" si="154"/>
        <v>2455</v>
      </c>
      <c r="L112" s="220">
        <f t="shared" si="155"/>
        <v>2270</v>
      </c>
      <c r="M112" s="220">
        <f t="shared" si="156"/>
        <v>2027</v>
      </c>
      <c r="N112" s="220">
        <f t="shared" si="157"/>
        <v>2223</v>
      </c>
      <c r="O112" s="220">
        <f t="shared" si="157"/>
        <v>2382</v>
      </c>
      <c r="P112" s="220">
        <f t="shared" si="161"/>
        <v>2000</v>
      </c>
      <c r="Q112" s="220">
        <f t="shared" si="162"/>
        <v>2000</v>
      </c>
      <c r="R112" s="220">
        <f t="shared" si="163"/>
        <v>2000</v>
      </c>
      <c r="S112" s="220">
        <f t="shared" si="164"/>
        <v>2000</v>
      </c>
      <c r="T112" s="220">
        <f t="shared" si="165"/>
        <v>2000</v>
      </c>
      <c r="U112" s="220">
        <f t="shared" si="166"/>
        <v>455</v>
      </c>
      <c r="V112" s="220">
        <f t="shared" si="167"/>
        <v>270</v>
      </c>
      <c r="W112" s="220">
        <f t="shared" si="168"/>
        <v>27</v>
      </c>
      <c r="X112" s="220">
        <f t="shared" si="169"/>
        <v>223</v>
      </c>
      <c r="Y112" s="220">
        <f t="shared" si="170"/>
        <v>382</v>
      </c>
      <c r="Z112" s="220">
        <v>0</v>
      </c>
      <c r="AA112" s="220">
        <v>0</v>
      </c>
      <c r="AB112" s="220">
        <v>0</v>
      </c>
      <c r="AC112" s="220">
        <v>0</v>
      </c>
      <c r="AD112" s="220">
        <v>0</v>
      </c>
      <c r="AE112" s="220">
        <f t="shared" si="171"/>
        <v>-198</v>
      </c>
      <c r="AF112" s="220">
        <f t="shared" si="172"/>
        <v>-313</v>
      </c>
      <c r="AG112" s="220">
        <f t="shared" si="173"/>
        <v>-434</v>
      </c>
      <c r="AH112" s="220">
        <f t="shared" si="174"/>
        <v>-271</v>
      </c>
      <c r="AI112" s="220">
        <f t="shared" si="175"/>
        <v>-181</v>
      </c>
      <c r="AJ112" s="50">
        <f t="shared" si="140"/>
        <v>2.4230000000000027</v>
      </c>
      <c r="AK112" s="257"/>
      <c r="AL112" s="257">
        <f t="shared" si="141"/>
        <v>1.2</v>
      </c>
      <c r="AM112" s="52"/>
      <c r="AN112" s="88"/>
    </row>
    <row r="113" spans="1:40" s="29" customFormat="1" ht="17.25" customHeight="1">
      <c r="A113" s="48">
        <v>142</v>
      </c>
      <c r="B113" s="49">
        <f t="shared" si="158"/>
        <v>45656</v>
      </c>
      <c r="C113" s="220">
        <f t="shared" si="159"/>
        <v>1049</v>
      </c>
      <c r="D113" s="220">
        <f t="shared" ref="D113" si="186">D112+15</f>
        <v>2552</v>
      </c>
      <c r="E113" s="220">
        <f t="shared" si="145"/>
        <v>3601</v>
      </c>
      <c r="F113" s="220">
        <f t="shared" si="149"/>
        <v>1146</v>
      </c>
      <c r="G113" s="220">
        <f t="shared" si="150"/>
        <v>1331</v>
      </c>
      <c r="H113" s="220">
        <f t="shared" si="151"/>
        <v>1574</v>
      </c>
      <c r="I113" s="220">
        <f t="shared" si="152"/>
        <v>1378</v>
      </c>
      <c r="J113" s="220">
        <f t="shared" si="153"/>
        <v>1219</v>
      </c>
      <c r="K113" s="220">
        <f t="shared" si="154"/>
        <v>2455</v>
      </c>
      <c r="L113" s="220">
        <f t="shared" si="155"/>
        <v>2270</v>
      </c>
      <c r="M113" s="220">
        <f t="shared" si="156"/>
        <v>2027</v>
      </c>
      <c r="N113" s="220">
        <f t="shared" si="157"/>
        <v>2223</v>
      </c>
      <c r="O113" s="220">
        <f t="shared" si="157"/>
        <v>2382</v>
      </c>
      <c r="P113" s="220">
        <f t="shared" si="161"/>
        <v>2000</v>
      </c>
      <c r="Q113" s="220">
        <f t="shared" si="162"/>
        <v>2000</v>
      </c>
      <c r="R113" s="220">
        <f t="shared" si="163"/>
        <v>2000</v>
      </c>
      <c r="S113" s="220">
        <f t="shared" si="164"/>
        <v>2000</v>
      </c>
      <c r="T113" s="220">
        <f t="shared" si="165"/>
        <v>2000</v>
      </c>
      <c r="U113" s="220">
        <f t="shared" si="166"/>
        <v>455</v>
      </c>
      <c r="V113" s="220">
        <f t="shared" si="167"/>
        <v>270</v>
      </c>
      <c r="W113" s="220">
        <f t="shared" si="168"/>
        <v>27</v>
      </c>
      <c r="X113" s="220">
        <f t="shared" si="169"/>
        <v>223</v>
      </c>
      <c r="Y113" s="220">
        <f t="shared" si="170"/>
        <v>382</v>
      </c>
      <c r="Z113" s="220">
        <v>0</v>
      </c>
      <c r="AA113" s="220">
        <v>0</v>
      </c>
      <c r="AB113" s="220">
        <v>0</v>
      </c>
      <c r="AC113" s="220">
        <v>0</v>
      </c>
      <c r="AD113" s="220">
        <v>0</v>
      </c>
      <c r="AE113" s="220">
        <f t="shared" si="171"/>
        <v>-198</v>
      </c>
      <c r="AF113" s="220">
        <f t="shared" si="172"/>
        <v>-313</v>
      </c>
      <c r="AG113" s="220">
        <f t="shared" si="173"/>
        <v>-434</v>
      </c>
      <c r="AH113" s="220">
        <f t="shared" si="174"/>
        <v>-271</v>
      </c>
      <c r="AI113" s="220">
        <f t="shared" si="175"/>
        <v>-181</v>
      </c>
      <c r="AJ113" s="50">
        <f t="shared" si="140"/>
        <v>2.4230000000000027</v>
      </c>
      <c r="AK113" s="257"/>
      <c r="AL113" s="257">
        <f t="shared" si="141"/>
        <v>1.2</v>
      </c>
      <c r="AM113" s="52"/>
      <c r="AN113" s="88"/>
    </row>
    <row r="114" spans="1:40" s="29" customFormat="1" ht="17.25" customHeight="1">
      <c r="A114" s="48">
        <v>143</v>
      </c>
      <c r="B114" s="49">
        <f t="shared" si="158"/>
        <v>45657</v>
      </c>
      <c r="C114" s="220">
        <f t="shared" si="159"/>
        <v>1049</v>
      </c>
      <c r="D114" s="220">
        <f t="shared" ref="D114" si="187">D113+26</f>
        <v>2578</v>
      </c>
      <c r="E114" s="220">
        <f t="shared" si="145"/>
        <v>3627</v>
      </c>
      <c r="F114" s="220">
        <f t="shared" si="149"/>
        <v>1173</v>
      </c>
      <c r="G114" s="220">
        <f t="shared" si="150"/>
        <v>1357</v>
      </c>
      <c r="H114" s="220">
        <f t="shared" si="151"/>
        <v>1600</v>
      </c>
      <c r="I114" s="220">
        <f t="shared" si="152"/>
        <v>1404</v>
      </c>
      <c r="J114" s="220">
        <f t="shared" si="153"/>
        <v>1245</v>
      </c>
      <c r="K114" s="220">
        <f t="shared" si="154"/>
        <v>2454</v>
      </c>
      <c r="L114" s="220">
        <f t="shared" si="155"/>
        <v>2270</v>
      </c>
      <c r="M114" s="220">
        <f t="shared" si="156"/>
        <v>2027</v>
      </c>
      <c r="N114" s="220">
        <f t="shared" si="157"/>
        <v>2223</v>
      </c>
      <c r="O114" s="220">
        <f t="shared" si="157"/>
        <v>2382</v>
      </c>
      <c r="P114" s="220">
        <f t="shared" si="161"/>
        <v>2000</v>
      </c>
      <c r="Q114" s="220">
        <f t="shared" si="162"/>
        <v>2000</v>
      </c>
      <c r="R114" s="220">
        <f t="shared" si="163"/>
        <v>2000</v>
      </c>
      <c r="S114" s="220">
        <f t="shared" si="164"/>
        <v>2000</v>
      </c>
      <c r="T114" s="220">
        <f t="shared" si="165"/>
        <v>2000</v>
      </c>
      <c r="U114" s="220">
        <f t="shared" si="166"/>
        <v>454</v>
      </c>
      <c r="V114" s="220">
        <f t="shared" si="167"/>
        <v>270</v>
      </c>
      <c r="W114" s="220">
        <f t="shared" si="168"/>
        <v>27</v>
      </c>
      <c r="X114" s="220">
        <f t="shared" si="169"/>
        <v>223</v>
      </c>
      <c r="Y114" s="220">
        <f t="shared" si="170"/>
        <v>382</v>
      </c>
      <c r="Z114" s="220">
        <v>1</v>
      </c>
      <c r="AA114" s="220">
        <v>0</v>
      </c>
      <c r="AB114" s="220">
        <v>0</v>
      </c>
      <c r="AC114" s="220">
        <v>0</v>
      </c>
      <c r="AD114" s="220">
        <v>0</v>
      </c>
      <c r="AE114" s="220">
        <f t="shared" si="171"/>
        <v>-199</v>
      </c>
      <c r="AF114" s="220">
        <f t="shared" si="172"/>
        <v>-313</v>
      </c>
      <c r="AG114" s="220">
        <f t="shared" si="173"/>
        <v>-434</v>
      </c>
      <c r="AH114" s="220">
        <f t="shared" si="174"/>
        <v>-271</v>
      </c>
      <c r="AI114" s="220">
        <f t="shared" si="175"/>
        <v>-181</v>
      </c>
      <c r="AJ114" s="50">
        <f t="shared" si="140"/>
        <v>2.4230000000000027</v>
      </c>
      <c r="AK114" s="257"/>
      <c r="AL114" s="257">
        <f t="shared" si="141"/>
        <v>1.2</v>
      </c>
      <c r="AM114" s="52"/>
      <c r="AN114" s="88"/>
    </row>
    <row r="115" spans="1:40" s="29" customFormat="1" ht="17.25" customHeight="1">
      <c r="A115" s="48">
        <v>144</v>
      </c>
      <c r="B115" s="49">
        <f t="shared" si="158"/>
        <v>45658</v>
      </c>
      <c r="C115" s="220">
        <f t="shared" si="159"/>
        <v>1049</v>
      </c>
      <c r="D115" s="220">
        <f t="shared" ref="D115" si="188">D114+32</f>
        <v>2610</v>
      </c>
      <c r="E115" s="220">
        <f t="shared" si="145"/>
        <v>3659</v>
      </c>
      <c r="F115" s="220">
        <f t="shared" si="149"/>
        <v>1205</v>
      </c>
      <c r="G115" s="220">
        <f t="shared" si="150"/>
        <v>1389</v>
      </c>
      <c r="H115" s="220">
        <f t="shared" si="151"/>
        <v>1634</v>
      </c>
      <c r="I115" s="220">
        <f t="shared" si="152"/>
        <v>1436</v>
      </c>
      <c r="J115" s="220">
        <f t="shared" si="153"/>
        <v>1277</v>
      </c>
      <c r="K115" s="220">
        <f t="shared" si="154"/>
        <v>2454</v>
      </c>
      <c r="L115" s="220">
        <f t="shared" si="155"/>
        <v>2270</v>
      </c>
      <c r="M115" s="220">
        <f t="shared" si="156"/>
        <v>2025</v>
      </c>
      <c r="N115" s="220">
        <f t="shared" si="157"/>
        <v>2223</v>
      </c>
      <c r="O115" s="220">
        <f t="shared" si="157"/>
        <v>2382</v>
      </c>
      <c r="P115" s="220">
        <f t="shared" si="161"/>
        <v>2000</v>
      </c>
      <c r="Q115" s="220">
        <f t="shared" si="162"/>
        <v>2000</v>
      </c>
      <c r="R115" s="220">
        <f t="shared" si="163"/>
        <v>2000</v>
      </c>
      <c r="S115" s="220">
        <f t="shared" si="164"/>
        <v>2000</v>
      </c>
      <c r="T115" s="220">
        <f t="shared" si="165"/>
        <v>2000</v>
      </c>
      <c r="U115" s="220">
        <f t="shared" si="166"/>
        <v>454</v>
      </c>
      <c r="V115" s="220">
        <f t="shared" si="167"/>
        <v>270</v>
      </c>
      <c r="W115" s="220">
        <f t="shared" si="168"/>
        <v>25</v>
      </c>
      <c r="X115" s="220">
        <f t="shared" si="169"/>
        <v>223</v>
      </c>
      <c r="Y115" s="220">
        <f t="shared" si="170"/>
        <v>382</v>
      </c>
      <c r="Z115" s="220">
        <v>0</v>
      </c>
      <c r="AA115" s="220">
        <v>0</v>
      </c>
      <c r="AB115" s="220">
        <v>2</v>
      </c>
      <c r="AC115" s="220">
        <v>0</v>
      </c>
      <c r="AD115" s="220">
        <v>0</v>
      </c>
      <c r="AE115" s="220">
        <f t="shared" si="171"/>
        <v>-199</v>
      </c>
      <c r="AF115" s="220">
        <f t="shared" si="172"/>
        <v>-313</v>
      </c>
      <c r="AG115" s="220">
        <f t="shared" si="173"/>
        <v>-436</v>
      </c>
      <c r="AH115" s="220">
        <f t="shared" si="174"/>
        <v>-271</v>
      </c>
      <c r="AI115" s="220">
        <f t="shared" si="175"/>
        <v>-181</v>
      </c>
      <c r="AJ115" s="50">
        <f t="shared" si="140"/>
        <v>2.4210000000000029</v>
      </c>
      <c r="AK115" s="257"/>
      <c r="AL115" s="257">
        <f t="shared" si="141"/>
        <v>1.2</v>
      </c>
      <c r="AM115" s="52"/>
      <c r="AN115" s="88"/>
    </row>
    <row r="116" spans="1:40" s="29" customFormat="1" ht="17.25" customHeight="1">
      <c r="A116" s="48">
        <v>145</v>
      </c>
      <c r="B116" s="49">
        <f t="shared" si="158"/>
        <v>45659</v>
      </c>
      <c r="C116" s="220">
        <f t="shared" si="159"/>
        <v>1049</v>
      </c>
      <c r="D116" s="220">
        <f t="shared" ref="D116" si="189">D115-18</f>
        <v>2592</v>
      </c>
      <c r="E116" s="220">
        <f t="shared" si="145"/>
        <v>3641</v>
      </c>
      <c r="F116" s="220">
        <f t="shared" si="149"/>
        <v>1188</v>
      </c>
      <c r="G116" s="220">
        <f t="shared" si="150"/>
        <v>1375</v>
      </c>
      <c r="H116" s="220">
        <f t="shared" si="151"/>
        <v>1616</v>
      </c>
      <c r="I116" s="220">
        <f t="shared" si="152"/>
        <v>1421</v>
      </c>
      <c r="J116" s="220">
        <f t="shared" si="153"/>
        <v>1259</v>
      </c>
      <c r="K116" s="220">
        <f t="shared" si="154"/>
        <v>2453</v>
      </c>
      <c r="L116" s="220">
        <f t="shared" si="155"/>
        <v>2266</v>
      </c>
      <c r="M116" s="220">
        <f t="shared" si="156"/>
        <v>2025</v>
      </c>
      <c r="N116" s="220">
        <f t="shared" si="157"/>
        <v>2220</v>
      </c>
      <c r="O116" s="220">
        <f t="shared" si="157"/>
        <v>2382</v>
      </c>
      <c r="P116" s="220">
        <f t="shared" si="161"/>
        <v>2000</v>
      </c>
      <c r="Q116" s="220">
        <f t="shared" si="162"/>
        <v>2000</v>
      </c>
      <c r="R116" s="220">
        <f t="shared" si="163"/>
        <v>2000</v>
      </c>
      <c r="S116" s="220">
        <f t="shared" si="164"/>
        <v>2000</v>
      </c>
      <c r="T116" s="220">
        <f t="shared" si="165"/>
        <v>2000</v>
      </c>
      <c r="U116" s="220">
        <f t="shared" si="166"/>
        <v>453</v>
      </c>
      <c r="V116" s="220">
        <f t="shared" si="167"/>
        <v>266</v>
      </c>
      <c r="W116" s="220">
        <f t="shared" si="168"/>
        <v>25</v>
      </c>
      <c r="X116" s="220">
        <f t="shared" si="169"/>
        <v>220</v>
      </c>
      <c r="Y116" s="220">
        <f t="shared" si="170"/>
        <v>382</v>
      </c>
      <c r="Z116" s="220">
        <v>1</v>
      </c>
      <c r="AA116" s="220">
        <v>4</v>
      </c>
      <c r="AB116" s="220">
        <v>0</v>
      </c>
      <c r="AC116" s="220">
        <v>3</v>
      </c>
      <c r="AD116" s="220">
        <v>0</v>
      </c>
      <c r="AE116" s="220">
        <f t="shared" si="171"/>
        <v>-200</v>
      </c>
      <c r="AF116" s="220">
        <f t="shared" si="172"/>
        <v>-317</v>
      </c>
      <c r="AG116" s="220">
        <f t="shared" si="173"/>
        <v>-436</v>
      </c>
      <c r="AH116" s="220">
        <f t="shared" si="174"/>
        <v>-274</v>
      </c>
      <c r="AI116" s="220">
        <f t="shared" si="175"/>
        <v>-181</v>
      </c>
      <c r="AJ116" s="50">
        <f t="shared" si="140"/>
        <v>2.4210000000000029</v>
      </c>
      <c r="AK116" s="257"/>
      <c r="AL116" s="257">
        <f t="shared" si="141"/>
        <v>1.2</v>
      </c>
      <c r="AM116" s="52"/>
      <c r="AN116" s="88"/>
    </row>
    <row r="117" spans="1:40" s="29" customFormat="1" ht="17.25" customHeight="1">
      <c r="A117" s="48">
        <v>146</v>
      </c>
      <c r="B117" s="49">
        <f t="shared" si="158"/>
        <v>45660</v>
      </c>
      <c r="C117" s="220">
        <f t="shared" si="159"/>
        <v>1049</v>
      </c>
      <c r="D117" s="220">
        <f t="shared" ref="D117" si="190">D116-26</f>
        <v>2566</v>
      </c>
      <c r="E117" s="220">
        <f t="shared" si="145"/>
        <v>3615</v>
      </c>
      <c r="F117" s="220">
        <f t="shared" si="149"/>
        <v>1163</v>
      </c>
      <c r="G117" s="220">
        <f t="shared" si="150"/>
        <v>1349</v>
      </c>
      <c r="H117" s="220">
        <f t="shared" si="151"/>
        <v>1593</v>
      </c>
      <c r="I117" s="220">
        <f t="shared" si="152"/>
        <v>1395</v>
      </c>
      <c r="J117" s="220">
        <f t="shared" si="153"/>
        <v>1233</v>
      </c>
      <c r="K117" s="220">
        <f t="shared" si="154"/>
        <v>2452</v>
      </c>
      <c r="L117" s="220">
        <f t="shared" si="155"/>
        <v>2266</v>
      </c>
      <c r="M117" s="220">
        <f t="shared" si="156"/>
        <v>2022</v>
      </c>
      <c r="N117" s="220">
        <f t="shared" si="157"/>
        <v>2220</v>
      </c>
      <c r="O117" s="220">
        <f t="shared" si="157"/>
        <v>2382</v>
      </c>
      <c r="P117" s="220">
        <f t="shared" si="161"/>
        <v>2000</v>
      </c>
      <c r="Q117" s="220">
        <f t="shared" si="162"/>
        <v>2000</v>
      </c>
      <c r="R117" s="220">
        <f t="shared" si="163"/>
        <v>2000</v>
      </c>
      <c r="S117" s="220">
        <f t="shared" si="164"/>
        <v>2000</v>
      </c>
      <c r="T117" s="220">
        <f t="shared" si="165"/>
        <v>2000</v>
      </c>
      <c r="U117" s="220">
        <f t="shared" si="166"/>
        <v>452</v>
      </c>
      <c r="V117" s="220">
        <f t="shared" si="167"/>
        <v>266</v>
      </c>
      <c r="W117" s="220">
        <f t="shared" si="168"/>
        <v>22</v>
      </c>
      <c r="X117" s="220">
        <f t="shared" si="169"/>
        <v>220</v>
      </c>
      <c r="Y117" s="220">
        <f t="shared" si="170"/>
        <v>382</v>
      </c>
      <c r="Z117" s="220">
        <v>1</v>
      </c>
      <c r="AA117" s="220">
        <v>0</v>
      </c>
      <c r="AB117" s="220">
        <v>3</v>
      </c>
      <c r="AC117" s="220">
        <v>0</v>
      </c>
      <c r="AD117" s="220">
        <v>0</v>
      </c>
      <c r="AE117" s="220">
        <f t="shared" si="171"/>
        <v>-201</v>
      </c>
      <c r="AF117" s="220">
        <f t="shared" si="172"/>
        <v>-317</v>
      </c>
      <c r="AG117" s="220">
        <f t="shared" si="173"/>
        <v>-439</v>
      </c>
      <c r="AH117" s="220">
        <f t="shared" si="174"/>
        <v>-274</v>
      </c>
      <c r="AI117" s="220">
        <f t="shared" si="175"/>
        <v>-181</v>
      </c>
      <c r="AJ117" s="50">
        <f t="shared" si="140"/>
        <v>2.4180000000000028</v>
      </c>
      <c r="AK117" s="257"/>
      <c r="AL117" s="257">
        <f t="shared" si="141"/>
        <v>1.2</v>
      </c>
      <c r="AM117" s="52"/>
      <c r="AN117" s="88"/>
    </row>
    <row r="118" spans="1:40" s="29" customFormat="1" ht="17.25" customHeight="1">
      <c r="A118" s="48">
        <v>147</v>
      </c>
      <c r="B118" s="49">
        <f t="shared" si="158"/>
        <v>45661</v>
      </c>
      <c r="C118" s="220">
        <f t="shared" si="159"/>
        <v>1049</v>
      </c>
      <c r="D118" s="220">
        <f t="shared" ref="D118" si="191">D117+15</f>
        <v>2581</v>
      </c>
      <c r="E118" s="220">
        <f t="shared" si="145"/>
        <v>3630</v>
      </c>
      <c r="F118" s="220">
        <f t="shared" si="149"/>
        <v>1178</v>
      </c>
      <c r="G118" s="220">
        <f t="shared" si="150"/>
        <v>1365</v>
      </c>
      <c r="H118" s="220">
        <f t="shared" si="151"/>
        <v>1608</v>
      </c>
      <c r="I118" s="220">
        <f t="shared" si="152"/>
        <v>1414</v>
      </c>
      <c r="J118" s="220">
        <f t="shared" si="153"/>
        <v>1248</v>
      </c>
      <c r="K118" s="220">
        <f t="shared" si="154"/>
        <v>2452</v>
      </c>
      <c r="L118" s="220">
        <f t="shared" si="155"/>
        <v>2265</v>
      </c>
      <c r="M118" s="220">
        <f t="shared" si="156"/>
        <v>2022</v>
      </c>
      <c r="N118" s="220">
        <f t="shared" si="157"/>
        <v>2216</v>
      </c>
      <c r="O118" s="220">
        <f t="shared" si="157"/>
        <v>2382</v>
      </c>
      <c r="P118" s="220">
        <f t="shared" si="161"/>
        <v>2000</v>
      </c>
      <c r="Q118" s="220">
        <f t="shared" si="162"/>
        <v>2000</v>
      </c>
      <c r="R118" s="220">
        <f t="shared" si="163"/>
        <v>2000</v>
      </c>
      <c r="S118" s="220">
        <f t="shared" si="164"/>
        <v>2000</v>
      </c>
      <c r="T118" s="220">
        <f t="shared" si="165"/>
        <v>2000</v>
      </c>
      <c r="U118" s="220">
        <f t="shared" si="166"/>
        <v>452</v>
      </c>
      <c r="V118" s="220">
        <f t="shared" si="167"/>
        <v>265</v>
      </c>
      <c r="W118" s="220">
        <f t="shared" si="168"/>
        <v>22</v>
      </c>
      <c r="X118" s="220">
        <f t="shared" si="169"/>
        <v>216</v>
      </c>
      <c r="Y118" s="220">
        <f t="shared" si="170"/>
        <v>382</v>
      </c>
      <c r="Z118" s="220">
        <v>0</v>
      </c>
      <c r="AA118" s="220">
        <v>1</v>
      </c>
      <c r="AB118" s="220">
        <v>0</v>
      </c>
      <c r="AC118" s="220">
        <v>4</v>
      </c>
      <c r="AD118" s="220">
        <v>0</v>
      </c>
      <c r="AE118" s="220">
        <f t="shared" si="171"/>
        <v>-201</v>
      </c>
      <c r="AF118" s="220">
        <f t="shared" si="172"/>
        <v>-318</v>
      </c>
      <c r="AG118" s="220">
        <f t="shared" si="173"/>
        <v>-439</v>
      </c>
      <c r="AH118" s="220">
        <f t="shared" si="174"/>
        <v>-278</v>
      </c>
      <c r="AI118" s="220">
        <f t="shared" si="175"/>
        <v>-181</v>
      </c>
      <c r="AJ118" s="50">
        <f t="shared" si="140"/>
        <v>2.4180000000000028</v>
      </c>
      <c r="AK118" s="257"/>
      <c r="AL118" s="257">
        <f t="shared" si="141"/>
        <v>1.2</v>
      </c>
      <c r="AM118" s="52"/>
      <c r="AN118" s="88"/>
    </row>
    <row r="119" spans="1:40" s="29" customFormat="1" ht="17.25" customHeight="1">
      <c r="A119" s="48">
        <v>148</v>
      </c>
      <c r="B119" s="49">
        <f t="shared" si="158"/>
        <v>45662</v>
      </c>
      <c r="C119" s="220">
        <f t="shared" si="159"/>
        <v>1049</v>
      </c>
      <c r="D119" s="220">
        <f t="shared" ref="D119" si="192">D118+26</f>
        <v>2607</v>
      </c>
      <c r="E119" s="220">
        <f t="shared" si="145"/>
        <v>3656</v>
      </c>
      <c r="F119" s="220">
        <f t="shared" si="149"/>
        <v>1205</v>
      </c>
      <c r="G119" s="220">
        <f t="shared" si="150"/>
        <v>1395</v>
      </c>
      <c r="H119" s="220">
        <f t="shared" si="151"/>
        <v>1635</v>
      </c>
      <c r="I119" s="220">
        <f t="shared" si="152"/>
        <v>1440</v>
      </c>
      <c r="J119" s="220">
        <f t="shared" si="153"/>
        <v>1274</v>
      </c>
      <c r="K119" s="220">
        <f t="shared" si="154"/>
        <v>2451</v>
      </c>
      <c r="L119" s="220">
        <f t="shared" si="155"/>
        <v>2261</v>
      </c>
      <c r="M119" s="220">
        <f t="shared" si="156"/>
        <v>2021</v>
      </c>
      <c r="N119" s="220">
        <f t="shared" si="157"/>
        <v>2216</v>
      </c>
      <c r="O119" s="220">
        <f t="shared" si="157"/>
        <v>2382</v>
      </c>
      <c r="P119" s="220">
        <f t="shared" si="161"/>
        <v>2000</v>
      </c>
      <c r="Q119" s="220">
        <f t="shared" si="162"/>
        <v>2000</v>
      </c>
      <c r="R119" s="220">
        <f t="shared" si="163"/>
        <v>2000</v>
      </c>
      <c r="S119" s="220">
        <f t="shared" si="164"/>
        <v>2000</v>
      </c>
      <c r="T119" s="220">
        <f t="shared" si="165"/>
        <v>2000</v>
      </c>
      <c r="U119" s="220">
        <f t="shared" si="166"/>
        <v>451</v>
      </c>
      <c r="V119" s="220">
        <f t="shared" si="167"/>
        <v>261</v>
      </c>
      <c r="W119" s="220">
        <f t="shared" si="168"/>
        <v>21</v>
      </c>
      <c r="X119" s="220">
        <f t="shared" si="169"/>
        <v>216</v>
      </c>
      <c r="Y119" s="220">
        <f t="shared" si="170"/>
        <v>382</v>
      </c>
      <c r="Z119" s="220">
        <v>1</v>
      </c>
      <c r="AA119" s="220">
        <v>4</v>
      </c>
      <c r="AB119" s="220">
        <v>1</v>
      </c>
      <c r="AC119" s="220">
        <v>0</v>
      </c>
      <c r="AD119" s="220">
        <v>0</v>
      </c>
      <c r="AE119" s="220">
        <f t="shared" si="171"/>
        <v>-202</v>
      </c>
      <c r="AF119" s="220">
        <f t="shared" si="172"/>
        <v>-322</v>
      </c>
      <c r="AG119" s="220">
        <f t="shared" si="173"/>
        <v>-440</v>
      </c>
      <c r="AH119" s="220">
        <f t="shared" si="174"/>
        <v>-278</v>
      </c>
      <c r="AI119" s="220">
        <f t="shared" si="175"/>
        <v>-181</v>
      </c>
      <c r="AJ119" s="50">
        <f t="shared" si="140"/>
        <v>2.4170000000000029</v>
      </c>
      <c r="AK119" s="257"/>
      <c r="AL119" s="257">
        <f t="shared" si="141"/>
        <v>1.2</v>
      </c>
      <c r="AM119" s="52"/>
      <c r="AN119" s="88"/>
    </row>
    <row r="120" spans="1:40" s="29" customFormat="1" ht="17.25" customHeight="1">
      <c r="A120" s="48">
        <v>149</v>
      </c>
      <c r="B120" s="49">
        <f t="shared" si="158"/>
        <v>45663</v>
      </c>
      <c r="C120" s="220">
        <f t="shared" si="159"/>
        <v>1049</v>
      </c>
      <c r="D120" s="220">
        <f t="shared" ref="D120" si="193">D119+32</f>
        <v>2639</v>
      </c>
      <c r="E120" s="220">
        <f t="shared" si="145"/>
        <v>3688</v>
      </c>
      <c r="F120" s="220">
        <f t="shared" si="149"/>
        <v>1237</v>
      </c>
      <c r="G120" s="220">
        <f t="shared" si="150"/>
        <v>1427</v>
      </c>
      <c r="H120" s="220">
        <f t="shared" si="151"/>
        <v>1670</v>
      </c>
      <c r="I120" s="220">
        <f t="shared" si="152"/>
        <v>1472</v>
      </c>
      <c r="J120" s="220">
        <f t="shared" si="153"/>
        <v>1308</v>
      </c>
      <c r="K120" s="220">
        <f t="shared" si="154"/>
        <v>2451</v>
      </c>
      <c r="L120" s="220">
        <f t="shared" si="155"/>
        <v>2261</v>
      </c>
      <c r="M120" s="220">
        <f t="shared" si="156"/>
        <v>2018</v>
      </c>
      <c r="N120" s="220">
        <f t="shared" si="157"/>
        <v>2216</v>
      </c>
      <c r="O120" s="220">
        <f t="shared" si="157"/>
        <v>2380</v>
      </c>
      <c r="P120" s="220">
        <f t="shared" si="161"/>
        <v>2000</v>
      </c>
      <c r="Q120" s="220">
        <f t="shared" si="162"/>
        <v>2000</v>
      </c>
      <c r="R120" s="220">
        <f t="shared" si="163"/>
        <v>2000</v>
      </c>
      <c r="S120" s="220">
        <f t="shared" si="164"/>
        <v>2000</v>
      </c>
      <c r="T120" s="220">
        <f t="shared" si="165"/>
        <v>2000</v>
      </c>
      <c r="U120" s="220">
        <f t="shared" si="166"/>
        <v>451</v>
      </c>
      <c r="V120" s="220">
        <f t="shared" si="167"/>
        <v>261</v>
      </c>
      <c r="W120" s="220">
        <f t="shared" si="168"/>
        <v>18</v>
      </c>
      <c r="X120" s="220">
        <f t="shared" si="169"/>
        <v>216</v>
      </c>
      <c r="Y120" s="220">
        <f t="shared" si="170"/>
        <v>380</v>
      </c>
      <c r="Z120" s="220">
        <v>0</v>
      </c>
      <c r="AA120" s="220">
        <v>0</v>
      </c>
      <c r="AB120" s="220">
        <v>3</v>
      </c>
      <c r="AC120" s="220">
        <v>0</v>
      </c>
      <c r="AD120" s="220">
        <v>2</v>
      </c>
      <c r="AE120" s="220">
        <f t="shared" si="171"/>
        <v>-202</v>
      </c>
      <c r="AF120" s="220">
        <f t="shared" si="172"/>
        <v>-322</v>
      </c>
      <c r="AG120" s="220">
        <f t="shared" si="173"/>
        <v>-443</v>
      </c>
      <c r="AH120" s="220">
        <f t="shared" si="174"/>
        <v>-278</v>
      </c>
      <c r="AI120" s="220">
        <f t="shared" si="175"/>
        <v>-183</v>
      </c>
      <c r="AJ120" s="50">
        <f t="shared" si="140"/>
        <v>2.4140000000000028</v>
      </c>
      <c r="AK120" s="257"/>
      <c r="AL120" s="257">
        <f t="shared" si="141"/>
        <v>1.2</v>
      </c>
      <c r="AM120" s="52"/>
      <c r="AN120" s="88"/>
    </row>
    <row r="121" spans="1:40" s="29" customFormat="1" ht="17.25" customHeight="1">
      <c r="A121" s="48">
        <v>150</v>
      </c>
      <c r="B121" s="49">
        <f t="shared" si="158"/>
        <v>45664</v>
      </c>
      <c r="C121" s="220">
        <f t="shared" si="159"/>
        <v>1049</v>
      </c>
      <c r="D121" s="220">
        <v>1986</v>
      </c>
      <c r="E121" s="220">
        <f t="shared" si="145"/>
        <v>3035</v>
      </c>
      <c r="F121" s="220">
        <f t="shared" si="149"/>
        <v>584</v>
      </c>
      <c r="G121" s="220">
        <f t="shared" si="150"/>
        <v>776</v>
      </c>
      <c r="H121" s="220">
        <f t="shared" si="151"/>
        <v>1018</v>
      </c>
      <c r="I121" s="220">
        <f t="shared" si="152"/>
        <v>821</v>
      </c>
      <c r="J121" s="220">
        <f t="shared" si="153"/>
        <v>655</v>
      </c>
      <c r="K121" s="220">
        <f t="shared" si="154"/>
        <v>2451</v>
      </c>
      <c r="L121" s="220">
        <f t="shared" si="155"/>
        <v>2259</v>
      </c>
      <c r="M121" s="220">
        <f t="shared" si="156"/>
        <v>2017</v>
      </c>
      <c r="N121" s="220">
        <f t="shared" si="157"/>
        <v>2214</v>
      </c>
      <c r="O121" s="220">
        <f t="shared" si="157"/>
        <v>2380</v>
      </c>
      <c r="P121" s="220">
        <f t="shared" si="161"/>
        <v>2000</v>
      </c>
      <c r="Q121" s="220">
        <f t="shared" si="162"/>
        <v>2000</v>
      </c>
      <c r="R121" s="220">
        <f t="shared" si="163"/>
        <v>2000</v>
      </c>
      <c r="S121" s="220">
        <f t="shared" si="164"/>
        <v>2000</v>
      </c>
      <c r="T121" s="220">
        <f t="shared" si="165"/>
        <v>2000</v>
      </c>
      <c r="U121" s="220">
        <f t="shared" si="166"/>
        <v>451</v>
      </c>
      <c r="V121" s="220">
        <f t="shared" si="167"/>
        <v>259</v>
      </c>
      <c r="W121" s="220">
        <f t="shared" si="168"/>
        <v>17</v>
      </c>
      <c r="X121" s="220">
        <f t="shared" si="169"/>
        <v>214</v>
      </c>
      <c r="Y121" s="220">
        <f t="shared" si="170"/>
        <v>380</v>
      </c>
      <c r="Z121" s="220">
        <v>0</v>
      </c>
      <c r="AA121" s="220">
        <v>2</v>
      </c>
      <c r="AB121" s="220">
        <v>1</v>
      </c>
      <c r="AC121" s="220">
        <v>2</v>
      </c>
      <c r="AD121" s="220">
        <v>0</v>
      </c>
      <c r="AE121" s="220">
        <f t="shared" si="171"/>
        <v>-202</v>
      </c>
      <c r="AF121" s="220">
        <f t="shared" si="172"/>
        <v>-324</v>
      </c>
      <c r="AG121" s="220">
        <f t="shared" si="173"/>
        <v>-444</v>
      </c>
      <c r="AH121" s="220">
        <f t="shared" si="174"/>
        <v>-280</v>
      </c>
      <c r="AI121" s="220">
        <f t="shared" si="175"/>
        <v>-183</v>
      </c>
      <c r="AJ121" s="50">
        <f t="shared" si="140"/>
        <v>2.4130000000000029</v>
      </c>
      <c r="AK121" s="257"/>
      <c r="AL121" s="257">
        <f t="shared" si="141"/>
        <v>1.2</v>
      </c>
      <c r="AM121" s="52"/>
      <c r="AN121" s="88"/>
    </row>
    <row r="122" spans="1:40" s="29" customFormat="1" ht="17.25" customHeight="1">
      <c r="A122" s="48">
        <v>151</v>
      </c>
      <c r="B122" s="49">
        <f t="shared" si="158"/>
        <v>45665</v>
      </c>
      <c r="C122" s="220">
        <f t="shared" si="159"/>
        <v>1049</v>
      </c>
      <c r="D122" s="220">
        <f t="shared" ref="D122" si="194">D121-26</f>
        <v>1960</v>
      </c>
      <c r="E122" s="220">
        <f t="shared" si="145"/>
        <v>3009</v>
      </c>
      <c r="F122" s="220">
        <f t="shared" si="149"/>
        <v>559</v>
      </c>
      <c r="G122" s="220">
        <f t="shared" si="150"/>
        <v>750</v>
      </c>
      <c r="H122" s="220">
        <f t="shared" si="151"/>
        <v>995</v>
      </c>
      <c r="I122" s="220">
        <f t="shared" si="152"/>
        <v>795</v>
      </c>
      <c r="J122" s="220">
        <f t="shared" si="153"/>
        <v>629</v>
      </c>
      <c r="K122" s="220">
        <f t="shared" si="154"/>
        <v>2450</v>
      </c>
      <c r="L122" s="220">
        <f t="shared" si="155"/>
        <v>2259</v>
      </c>
      <c r="M122" s="220">
        <f t="shared" si="156"/>
        <v>2014</v>
      </c>
      <c r="N122" s="220">
        <f t="shared" si="157"/>
        <v>2214</v>
      </c>
      <c r="O122" s="220">
        <f t="shared" si="157"/>
        <v>2380</v>
      </c>
      <c r="P122" s="220">
        <f t="shared" si="161"/>
        <v>2000</v>
      </c>
      <c r="Q122" s="220">
        <f t="shared" si="162"/>
        <v>2000</v>
      </c>
      <c r="R122" s="220">
        <f t="shared" si="163"/>
        <v>2000</v>
      </c>
      <c r="S122" s="220">
        <f t="shared" si="164"/>
        <v>2000</v>
      </c>
      <c r="T122" s="220">
        <f t="shared" si="165"/>
        <v>2000</v>
      </c>
      <c r="U122" s="220">
        <f t="shared" si="166"/>
        <v>450</v>
      </c>
      <c r="V122" s="220">
        <f t="shared" si="167"/>
        <v>259</v>
      </c>
      <c r="W122" s="220">
        <f t="shared" si="168"/>
        <v>14</v>
      </c>
      <c r="X122" s="220">
        <f t="shared" si="169"/>
        <v>214</v>
      </c>
      <c r="Y122" s="220">
        <f t="shared" si="170"/>
        <v>380</v>
      </c>
      <c r="Z122" s="220">
        <v>1</v>
      </c>
      <c r="AA122" s="220">
        <v>0</v>
      </c>
      <c r="AB122" s="220">
        <v>3</v>
      </c>
      <c r="AC122" s="220">
        <v>0</v>
      </c>
      <c r="AD122" s="220">
        <v>0</v>
      </c>
      <c r="AE122" s="220">
        <f t="shared" si="171"/>
        <v>-203</v>
      </c>
      <c r="AF122" s="220">
        <f t="shared" si="172"/>
        <v>-324</v>
      </c>
      <c r="AG122" s="220">
        <f t="shared" si="173"/>
        <v>-447</v>
      </c>
      <c r="AH122" s="220">
        <f t="shared" si="174"/>
        <v>-280</v>
      </c>
      <c r="AI122" s="220">
        <f t="shared" si="175"/>
        <v>-183</v>
      </c>
      <c r="AJ122" s="50">
        <f t="shared" si="140"/>
        <v>2.4100000000000028</v>
      </c>
      <c r="AK122" s="257"/>
      <c r="AL122" s="257">
        <f t="shared" si="141"/>
        <v>1.2</v>
      </c>
      <c r="AM122" s="52"/>
      <c r="AN122" s="88"/>
    </row>
    <row r="123" spans="1:40" s="29" customFormat="1" ht="17.25" customHeight="1">
      <c r="A123" s="48">
        <v>152</v>
      </c>
      <c r="B123" s="49">
        <f t="shared" si="158"/>
        <v>45666</v>
      </c>
      <c r="C123" s="220">
        <f t="shared" si="159"/>
        <v>1049</v>
      </c>
      <c r="D123" s="220">
        <f t="shared" ref="D123" si="195">D122+15</f>
        <v>1975</v>
      </c>
      <c r="E123" s="220">
        <f t="shared" si="145"/>
        <v>3024</v>
      </c>
      <c r="F123" s="220">
        <f t="shared" si="149"/>
        <v>574</v>
      </c>
      <c r="G123" s="220">
        <f t="shared" si="150"/>
        <v>765</v>
      </c>
      <c r="H123" s="220">
        <f t="shared" si="151"/>
        <v>1010</v>
      </c>
      <c r="I123" s="220">
        <f t="shared" si="152"/>
        <v>811</v>
      </c>
      <c r="J123" s="220">
        <f t="shared" si="153"/>
        <v>644</v>
      </c>
      <c r="K123" s="220">
        <f t="shared" si="154"/>
        <v>2450</v>
      </c>
      <c r="L123" s="220">
        <f t="shared" si="155"/>
        <v>2259</v>
      </c>
      <c r="M123" s="220">
        <f t="shared" si="156"/>
        <v>2014</v>
      </c>
      <c r="N123" s="220">
        <f t="shared" si="157"/>
        <v>2213</v>
      </c>
      <c r="O123" s="220">
        <f t="shared" si="157"/>
        <v>2380</v>
      </c>
      <c r="P123" s="220">
        <f t="shared" si="161"/>
        <v>2000</v>
      </c>
      <c r="Q123" s="220">
        <f t="shared" si="162"/>
        <v>2000</v>
      </c>
      <c r="R123" s="220">
        <f t="shared" si="163"/>
        <v>2000</v>
      </c>
      <c r="S123" s="220">
        <f t="shared" si="164"/>
        <v>2000</v>
      </c>
      <c r="T123" s="220">
        <f t="shared" si="165"/>
        <v>2000</v>
      </c>
      <c r="U123" s="220">
        <f t="shared" si="166"/>
        <v>450</v>
      </c>
      <c r="V123" s="220">
        <f t="shared" si="167"/>
        <v>259</v>
      </c>
      <c r="W123" s="220">
        <f t="shared" si="168"/>
        <v>14</v>
      </c>
      <c r="X123" s="220">
        <f t="shared" si="169"/>
        <v>213</v>
      </c>
      <c r="Y123" s="220">
        <f t="shared" si="170"/>
        <v>380</v>
      </c>
      <c r="Z123" s="220">
        <v>0</v>
      </c>
      <c r="AA123" s="220">
        <v>0</v>
      </c>
      <c r="AB123" s="220">
        <v>0</v>
      </c>
      <c r="AC123" s="220">
        <v>1</v>
      </c>
      <c r="AD123" s="220">
        <v>0</v>
      </c>
      <c r="AE123" s="220">
        <f t="shared" si="171"/>
        <v>-203</v>
      </c>
      <c r="AF123" s="220">
        <f t="shared" si="172"/>
        <v>-324</v>
      </c>
      <c r="AG123" s="220">
        <f t="shared" si="173"/>
        <v>-447</v>
      </c>
      <c r="AH123" s="220">
        <f t="shared" si="174"/>
        <v>-281</v>
      </c>
      <c r="AI123" s="220">
        <f t="shared" si="175"/>
        <v>-183</v>
      </c>
      <c r="AJ123" s="50">
        <f t="shared" si="140"/>
        <v>2.4100000000000028</v>
      </c>
      <c r="AK123" s="257"/>
      <c r="AL123" s="257">
        <f t="shared" si="141"/>
        <v>1.2</v>
      </c>
      <c r="AM123" s="52"/>
      <c r="AN123" s="88"/>
    </row>
    <row r="124" spans="1:40" s="29" customFormat="1" ht="17.25" customHeight="1">
      <c r="A124" s="48">
        <v>153</v>
      </c>
      <c r="B124" s="49">
        <f t="shared" si="158"/>
        <v>45667</v>
      </c>
      <c r="C124" s="220">
        <f t="shared" si="159"/>
        <v>1049</v>
      </c>
      <c r="D124" s="220">
        <f t="shared" ref="D124" si="196">D123+26</f>
        <v>2001</v>
      </c>
      <c r="E124" s="220">
        <f t="shared" si="145"/>
        <v>3050</v>
      </c>
      <c r="F124" s="220">
        <f t="shared" si="149"/>
        <v>600</v>
      </c>
      <c r="G124" s="220">
        <f t="shared" si="150"/>
        <v>791</v>
      </c>
      <c r="H124" s="220">
        <f t="shared" si="151"/>
        <v>1037</v>
      </c>
      <c r="I124" s="220">
        <f t="shared" si="152"/>
        <v>838</v>
      </c>
      <c r="J124" s="220">
        <f t="shared" si="153"/>
        <v>670</v>
      </c>
      <c r="K124" s="220">
        <f t="shared" si="154"/>
        <v>2450</v>
      </c>
      <c r="L124" s="220">
        <f t="shared" si="155"/>
        <v>2259</v>
      </c>
      <c r="M124" s="220">
        <f t="shared" si="156"/>
        <v>2013</v>
      </c>
      <c r="N124" s="220">
        <f t="shared" si="157"/>
        <v>2212</v>
      </c>
      <c r="O124" s="220">
        <f t="shared" si="157"/>
        <v>2380</v>
      </c>
      <c r="P124" s="220">
        <f t="shared" si="161"/>
        <v>2000</v>
      </c>
      <c r="Q124" s="220">
        <f t="shared" si="162"/>
        <v>2000</v>
      </c>
      <c r="R124" s="220">
        <f t="shared" si="163"/>
        <v>2000</v>
      </c>
      <c r="S124" s="220">
        <f t="shared" si="164"/>
        <v>2000</v>
      </c>
      <c r="T124" s="220">
        <f t="shared" si="165"/>
        <v>2000</v>
      </c>
      <c r="U124" s="220">
        <f t="shared" si="166"/>
        <v>450</v>
      </c>
      <c r="V124" s="220">
        <f t="shared" si="167"/>
        <v>259</v>
      </c>
      <c r="W124" s="220">
        <f t="shared" si="168"/>
        <v>13</v>
      </c>
      <c r="X124" s="220">
        <f t="shared" si="169"/>
        <v>212</v>
      </c>
      <c r="Y124" s="220">
        <f t="shared" si="170"/>
        <v>380</v>
      </c>
      <c r="Z124" s="220">
        <v>0</v>
      </c>
      <c r="AA124" s="220">
        <v>0</v>
      </c>
      <c r="AB124" s="220">
        <v>1</v>
      </c>
      <c r="AC124" s="220">
        <v>1</v>
      </c>
      <c r="AD124" s="220">
        <v>0</v>
      </c>
      <c r="AE124" s="220">
        <f t="shared" si="171"/>
        <v>-203</v>
      </c>
      <c r="AF124" s="220">
        <f t="shared" si="172"/>
        <v>-324</v>
      </c>
      <c r="AG124" s="220">
        <f t="shared" si="173"/>
        <v>-448</v>
      </c>
      <c r="AH124" s="220">
        <f t="shared" si="174"/>
        <v>-282</v>
      </c>
      <c r="AI124" s="220">
        <f t="shared" si="175"/>
        <v>-183</v>
      </c>
      <c r="AJ124" s="50">
        <f t="shared" si="140"/>
        <v>2.4090000000000029</v>
      </c>
      <c r="AK124" s="257"/>
      <c r="AL124" s="257">
        <f t="shared" si="141"/>
        <v>1.2</v>
      </c>
      <c r="AM124" s="52"/>
      <c r="AN124" s="88"/>
    </row>
    <row r="125" spans="1:40" s="29" customFormat="1" ht="17.25" customHeight="1">
      <c r="A125" s="48">
        <v>154</v>
      </c>
      <c r="B125" s="49">
        <f t="shared" si="158"/>
        <v>45668</v>
      </c>
      <c r="C125" s="220">
        <f t="shared" si="159"/>
        <v>1049</v>
      </c>
      <c r="D125" s="220">
        <f t="shared" ref="D125" si="197">D124+32</f>
        <v>2033</v>
      </c>
      <c r="E125" s="220">
        <f t="shared" si="145"/>
        <v>3082</v>
      </c>
      <c r="F125" s="220">
        <f t="shared" si="149"/>
        <v>633</v>
      </c>
      <c r="G125" s="220">
        <f t="shared" si="150"/>
        <v>827</v>
      </c>
      <c r="H125" s="220">
        <f t="shared" si="151"/>
        <v>1072</v>
      </c>
      <c r="I125" s="220">
        <f t="shared" si="152"/>
        <v>873</v>
      </c>
      <c r="J125" s="220">
        <f t="shared" si="153"/>
        <v>702</v>
      </c>
      <c r="K125" s="220">
        <f t="shared" si="154"/>
        <v>2449</v>
      </c>
      <c r="L125" s="220">
        <f t="shared" si="155"/>
        <v>2255</v>
      </c>
      <c r="M125" s="220">
        <f t="shared" si="156"/>
        <v>2010</v>
      </c>
      <c r="N125" s="220">
        <f t="shared" si="157"/>
        <v>2209</v>
      </c>
      <c r="O125" s="220">
        <f t="shared" si="157"/>
        <v>2380</v>
      </c>
      <c r="P125" s="220">
        <f t="shared" si="161"/>
        <v>2000</v>
      </c>
      <c r="Q125" s="220">
        <f t="shared" si="162"/>
        <v>2000</v>
      </c>
      <c r="R125" s="220">
        <f t="shared" si="163"/>
        <v>2000</v>
      </c>
      <c r="S125" s="220">
        <f t="shared" si="164"/>
        <v>2000</v>
      </c>
      <c r="T125" s="220">
        <f t="shared" si="165"/>
        <v>2000</v>
      </c>
      <c r="U125" s="220">
        <f t="shared" si="166"/>
        <v>449</v>
      </c>
      <c r="V125" s="220">
        <f t="shared" si="167"/>
        <v>255</v>
      </c>
      <c r="W125" s="220">
        <f t="shared" si="168"/>
        <v>10</v>
      </c>
      <c r="X125" s="220">
        <f t="shared" si="169"/>
        <v>209</v>
      </c>
      <c r="Y125" s="220">
        <f t="shared" si="170"/>
        <v>380</v>
      </c>
      <c r="Z125" s="220">
        <v>1</v>
      </c>
      <c r="AA125" s="220">
        <v>4</v>
      </c>
      <c r="AB125" s="220">
        <v>3</v>
      </c>
      <c r="AC125" s="220">
        <v>3</v>
      </c>
      <c r="AD125" s="220">
        <v>0</v>
      </c>
      <c r="AE125" s="220">
        <f t="shared" si="171"/>
        <v>-204</v>
      </c>
      <c r="AF125" s="220">
        <f t="shared" si="172"/>
        <v>-328</v>
      </c>
      <c r="AG125" s="220">
        <f t="shared" si="173"/>
        <v>-451</v>
      </c>
      <c r="AH125" s="220">
        <f t="shared" si="174"/>
        <v>-285</v>
      </c>
      <c r="AI125" s="220">
        <f t="shared" si="175"/>
        <v>-183</v>
      </c>
      <c r="AJ125" s="50">
        <f t="shared" si="140"/>
        <v>2.4060000000000028</v>
      </c>
      <c r="AK125" s="257"/>
      <c r="AL125" s="257">
        <f t="shared" si="141"/>
        <v>1.2</v>
      </c>
      <c r="AM125" s="52"/>
      <c r="AN125" s="88"/>
    </row>
    <row r="126" spans="1:40" s="29" customFormat="1" ht="17.25" customHeight="1">
      <c r="A126" s="48">
        <v>155</v>
      </c>
      <c r="B126" s="49">
        <f t="shared" si="158"/>
        <v>45669</v>
      </c>
      <c r="C126" s="220">
        <f t="shared" si="159"/>
        <v>1049</v>
      </c>
      <c r="D126" s="220">
        <f t="shared" ref="D126" si="198">D125-18</f>
        <v>2015</v>
      </c>
      <c r="E126" s="220">
        <f t="shared" si="145"/>
        <v>3064</v>
      </c>
      <c r="F126" s="220">
        <f t="shared" si="149"/>
        <v>615</v>
      </c>
      <c r="G126" s="220">
        <f t="shared" si="150"/>
        <v>809</v>
      </c>
      <c r="H126" s="220">
        <f t="shared" si="151"/>
        <v>1057</v>
      </c>
      <c r="I126" s="220">
        <f t="shared" si="152"/>
        <v>859</v>
      </c>
      <c r="J126" s="220">
        <f t="shared" si="153"/>
        <v>684</v>
      </c>
      <c r="K126" s="220">
        <f t="shared" si="154"/>
        <v>2449</v>
      </c>
      <c r="L126" s="220">
        <f t="shared" si="155"/>
        <v>2255</v>
      </c>
      <c r="M126" s="220">
        <f t="shared" si="156"/>
        <v>2007</v>
      </c>
      <c r="N126" s="220">
        <f t="shared" si="157"/>
        <v>2205</v>
      </c>
      <c r="O126" s="220">
        <f t="shared" si="157"/>
        <v>2380</v>
      </c>
      <c r="P126" s="220">
        <f t="shared" si="161"/>
        <v>2000</v>
      </c>
      <c r="Q126" s="220">
        <f t="shared" si="162"/>
        <v>2000</v>
      </c>
      <c r="R126" s="220">
        <f t="shared" si="163"/>
        <v>2000</v>
      </c>
      <c r="S126" s="220">
        <f t="shared" si="164"/>
        <v>2000</v>
      </c>
      <c r="T126" s="220">
        <f t="shared" si="165"/>
        <v>2000</v>
      </c>
      <c r="U126" s="220">
        <f t="shared" si="166"/>
        <v>449</v>
      </c>
      <c r="V126" s="220">
        <f t="shared" si="167"/>
        <v>255</v>
      </c>
      <c r="W126" s="220">
        <f t="shared" si="168"/>
        <v>7</v>
      </c>
      <c r="X126" s="220">
        <f t="shared" si="169"/>
        <v>205</v>
      </c>
      <c r="Y126" s="220">
        <f t="shared" si="170"/>
        <v>380</v>
      </c>
      <c r="Z126" s="220">
        <v>0</v>
      </c>
      <c r="AA126" s="220">
        <v>0</v>
      </c>
      <c r="AB126" s="220">
        <v>3</v>
      </c>
      <c r="AC126" s="220">
        <v>4</v>
      </c>
      <c r="AD126" s="220">
        <v>0</v>
      </c>
      <c r="AE126" s="220">
        <f t="shared" si="171"/>
        <v>-204</v>
      </c>
      <c r="AF126" s="220">
        <f t="shared" si="172"/>
        <v>-328</v>
      </c>
      <c r="AG126" s="220">
        <f t="shared" si="173"/>
        <v>-454</v>
      </c>
      <c r="AH126" s="220">
        <f t="shared" si="174"/>
        <v>-289</v>
      </c>
      <c r="AI126" s="220">
        <f t="shared" si="175"/>
        <v>-183</v>
      </c>
      <c r="AJ126" s="50">
        <f t="shared" si="140"/>
        <v>2.4030000000000027</v>
      </c>
      <c r="AK126" s="257"/>
      <c r="AL126" s="257">
        <f t="shared" si="141"/>
        <v>1.2</v>
      </c>
      <c r="AM126" s="52"/>
      <c r="AN126" s="88"/>
    </row>
    <row r="127" spans="1:40" s="29" customFormat="1" ht="17.25" customHeight="1">
      <c r="A127" s="48">
        <v>156</v>
      </c>
      <c r="B127" s="49">
        <f t="shared" si="158"/>
        <v>45670</v>
      </c>
      <c r="C127" s="220">
        <f t="shared" si="159"/>
        <v>1049</v>
      </c>
      <c r="D127" s="220">
        <f t="shared" ref="D127" si="199">D126-26</f>
        <v>1989</v>
      </c>
      <c r="E127" s="220">
        <f t="shared" si="145"/>
        <v>3038</v>
      </c>
      <c r="F127" s="220">
        <f t="shared" si="149"/>
        <v>590</v>
      </c>
      <c r="G127" s="220">
        <f t="shared" si="150"/>
        <v>787</v>
      </c>
      <c r="H127" s="220">
        <f t="shared" si="151"/>
        <v>1032</v>
      </c>
      <c r="I127" s="220">
        <f t="shared" si="152"/>
        <v>833</v>
      </c>
      <c r="J127" s="220">
        <f t="shared" si="153"/>
        <v>658</v>
      </c>
      <c r="K127" s="220">
        <f t="shared" si="154"/>
        <v>2448</v>
      </c>
      <c r="L127" s="220">
        <f t="shared" si="155"/>
        <v>2251</v>
      </c>
      <c r="M127" s="220">
        <f t="shared" si="156"/>
        <v>2006</v>
      </c>
      <c r="N127" s="220">
        <f t="shared" si="157"/>
        <v>2205</v>
      </c>
      <c r="O127" s="220">
        <f t="shared" si="157"/>
        <v>2380</v>
      </c>
      <c r="P127" s="220">
        <f t="shared" si="161"/>
        <v>2000</v>
      </c>
      <c r="Q127" s="220">
        <f t="shared" si="162"/>
        <v>2000</v>
      </c>
      <c r="R127" s="220">
        <f t="shared" si="163"/>
        <v>2000</v>
      </c>
      <c r="S127" s="220">
        <f t="shared" si="164"/>
        <v>2000</v>
      </c>
      <c r="T127" s="220">
        <f t="shared" si="165"/>
        <v>2000</v>
      </c>
      <c r="U127" s="220">
        <f t="shared" si="166"/>
        <v>448</v>
      </c>
      <c r="V127" s="220">
        <f t="shared" si="167"/>
        <v>251</v>
      </c>
      <c r="W127" s="220">
        <f t="shared" si="168"/>
        <v>6</v>
      </c>
      <c r="X127" s="220">
        <f t="shared" si="169"/>
        <v>205</v>
      </c>
      <c r="Y127" s="220">
        <f t="shared" si="170"/>
        <v>380</v>
      </c>
      <c r="Z127" s="220">
        <v>1</v>
      </c>
      <c r="AA127" s="220">
        <v>4</v>
      </c>
      <c r="AB127" s="220">
        <v>1</v>
      </c>
      <c r="AC127" s="220">
        <v>0</v>
      </c>
      <c r="AD127" s="220">
        <v>0</v>
      </c>
      <c r="AE127" s="220">
        <f t="shared" si="171"/>
        <v>-205</v>
      </c>
      <c r="AF127" s="220">
        <f t="shared" si="172"/>
        <v>-332</v>
      </c>
      <c r="AG127" s="220">
        <f t="shared" si="173"/>
        <v>-455</v>
      </c>
      <c r="AH127" s="220">
        <f t="shared" si="174"/>
        <v>-289</v>
      </c>
      <c r="AI127" s="220">
        <f t="shared" si="175"/>
        <v>-183</v>
      </c>
      <c r="AJ127" s="50">
        <f t="shared" si="140"/>
        <v>2.4020000000000028</v>
      </c>
      <c r="AK127" s="257"/>
      <c r="AL127" s="257">
        <f t="shared" si="141"/>
        <v>1.2</v>
      </c>
      <c r="AM127" s="52"/>
      <c r="AN127" s="88"/>
    </row>
    <row r="128" spans="1:40" s="29" customFormat="1" ht="17.25" customHeight="1">
      <c r="A128" s="48">
        <v>157</v>
      </c>
      <c r="B128" s="49">
        <f t="shared" si="158"/>
        <v>45671</v>
      </c>
      <c r="C128" s="220">
        <f t="shared" si="159"/>
        <v>1049</v>
      </c>
      <c r="D128" s="220">
        <f t="shared" ref="D128" si="200">D127+15</f>
        <v>2004</v>
      </c>
      <c r="E128" s="220">
        <f t="shared" si="145"/>
        <v>3053</v>
      </c>
      <c r="F128" s="220">
        <f t="shared" si="149"/>
        <v>605</v>
      </c>
      <c r="G128" s="220">
        <f t="shared" si="150"/>
        <v>804</v>
      </c>
      <c r="H128" s="220">
        <f t="shared" si="151"/>
        <v>1047</v>
      </c>
      <c r="I128" s="220">
        <f t="shared" si="152"/>
        <v>848</v>
      </c>
      <c r="J128" s="220">
        <f t="shared" si="153"/>
        <v>673</v>
      </c>
      <c r="K128" s="220">
        <f t="shared" si="154"/>
        <v>2448</v>
      </c>
      <c r="L128" s="220">
        <f t="shared" si="155"/>
        <v>2249</v>
      </c>
      <c r="M128" s="220">
        <f t="shared" si="156"/>
        <v>2006</v>
      </c>
      <c r="N128" s="220">
        <f t="shared" si="157"/>
        <v>2205</v>
      </c>
      <c r="O128" s="220">
        <f t="shared" si="157"/>
        <v>2380</v>
      </c>
      <c r="P128" s="220">
        <f t="shared" si="161"/>
        <v>2000</v>
      </c>
      <c r="Q128" s="220">
        <f t="shared" si="162"/>
        <v>2000</v>
      </c>
      <c r="R128" s="220">
        <f t="shared" si="163"/>
        <v>2000</v>
      </c>
      <c r="S128" s="220">
        <f t="shared" si="164"/>
        <v>2000</v>
      </c>
      <c r="T128" s="220">
        <f t="shared" si="165"/>
        <v>2000</v>
      </c>
      <c r="U128" s="220">
        <f t="shared" si="166"/>
        <v>448</v>
      </c>
      <c r="V128" s="220">
        <f t="shared" si="167"/>
        <v>249</v>
      </c>
      <c r="W128" s="220">
        <f t="shared" si="168"/>
        <v>6</v>
      </c>
      <c r="X128" s="220">
        <f t="shared" si="169"/>
        <v>205</v>
      </c>
      <c r="Y128" s="220">
        <f t="shared" si="170"/>
        <v>380</v>
      </c>
      <c r="Z128" s="220">
        <v>0</v>
      </c>
      <c r="AA128" s="220">
        <v>2</v>
      </c>
      <c r="AB128" s="220">
        <v>0</v>
      </c>
      <c r="AC128" s="220">
        <v>0</v>
      </c>
      <c r="AD128" s="220">
        <v>0</v>
      </c>
      <c r="AE128" s="220">
        <f t="shared" si="171"/>
        <v>-205</v>
      </c>
      <c r="AF128" s="220">
        <f t="shared" si="172"/>
        <v>-334</v>
      </c>
      <c r="AG128" s="220">
        <f t="shared" si="173"/>
        <v>-455</v>
      </c>
      <c r="AH128" s="220">
        <f t="shared" si="174"/>
        <v>-289</v>
      </c>
      <c r="AI128" s="220">
        <f t="shared" si="175"/>
        <v>-183</v>
      </c>
      <c r="AJ128" s="50">
        <f t="shared" si="140"/>
        <v>2.4020000000000028</v>
      </c>
      <c r="AK128" s="257"/>
      <c r="AL128" s="257">
        <f t="shared" si="141"/>
        <v>1.2</v>
      </c>
      <c r="AM128" s="52"/>
      <c r="AN128" s="88"/>
    </row>
    <row r="129" spans="1:40" s="29" customFormat="1" ht="17.25" customHeight="1">
      <c r="A129" s="48">
        <v>158</v>
      </c>
      <c r="B129" s="49">
        <f t="shared" si="158"/>
        <v>45672</v>
      </c>
      <c r="C129" s="220">
        <f t="shared" si="159"/>
        <v>1049</v>
      </c>
      <c r="D129" s="220">
        <f t="shared" ref="D129" si="201">D128+26</f>
        <v>2030</v>
      </c>
      <c r="E129" s="220">
        <f t="shared" si="145"/>
        <v>3079</v>
      </c>
      <c r="F129" s="220">
        <f t="shared" si="149"/>
        <v>632</v>
      </c>
      <c r="G129" s="220">
        <f t="shared" si="150"/>
        <v>830</v>
      </c>
      <c r="H129" s="220">
        <f t="shared" si="151"/>
        <v>1073</v>
      </c>
      <c r="I129" s="220">
        <f t="shared" si="152"/>
        <v>878</v>
      </c>
      <c r="J129" s="220">
        <f t="shared" si="153"/>
        <v>699</v>
      </c>
      <c r="K129" s="220">
        <f t="shared" si="154"/>
        <v>2447</v>
      </c>
      <c r="L129" s="220">
        <f t="shared" si="155"/>
        <v>2249</v>
      </c>
      <c r="M129" s="220">
        <f t="shared" si="156"/>
        <v>2006</v>
      </c>
      <c r="N129" s="220">
        <f t="shared" si="157"/>
        <v>2201</v>
      </c>
      <c r="O129" s="220">
        <f t="shared" si="157"/>
        <v>2380</v>
      </c>
      <c r="P129" s="220">
        <f t="shared" si="161"/>
        <v>2000</v>
      </c>
      <c r="Q129" s="220">
        <f t="shared" si="162"/>
        <v>2000</v>
      </c>
      <c r="R129" s="220">
        <f t="shared" si="163"/>
        <v>2000</v>
      </c>
      <c r="S129" s="220">
        <f t="shared" si="164"/>
        <v>2000</v>
      </c>
      <c r="T129" s="220">
        <f t="shared" si="165"/>
        <v>2000</v>
      </c>
      <c r="U129" s="220">
        <f t="shared" si="166"/>
        <v>447</v>
      </c>
      <c r="V129" s="220">
        <f t="shared" si="167"/>
        <v>249</v>
      </c>
      <c r="W129" s="220">
        <f t="shared" si="168"/>
        <v>6</v>
      </c>
      <c r="X129" s="220">
        <f t="shared" si="169"/>
        <v>201</v>
      </c>
      <c r="Y129" s="220">
        <f t="shared" si="170"/>
        <v>380</v>
      </c>
      <c r="Z129" s="220">
        <v>1</v>
      </c>
      <c r="AA129" s="220">
        <v>0</v>
      </c>
      <c r="AB129" s="220">
        <v>0</v>
      </c>
      <c r="AC129" s="220">
        <v>4</v>
      </c>
      <c r="AD129" s="220">
        <v>0</v>
      </c>
      <c r="AE129" s="220">
        <f t="shared" si="171"/>
        <v>-206</v>
      </c>
      <c r="AF129" s="220">
        <f t="shared" si="172"/>
        <v>-334</v>
      </c>
      <c r="AG129" s="220">
        <f t="shared" si="173"/>
        <v>-455</v>
      </c>
      <c r="AH129" s="220">
        <f t="shared" si="174"/>
        <v>-293</v>
      </c>
      <c r="AI129" s="220">
        <f t="shared" si="175"/>
        <v>-183</v>
      </c>
      <c r="AJ129" s="50">
        <f t="shared" si="140"/>
        <v>2.4020000000000028</v>
      </c>
      <c r="AK129" s="257"/>
      <c r="AL129" s="257">
        <f t="shared" si="141"/>
        <v>1.2</v>
      </c>
      <c r="AM129" s="52"/>
      <c r="AN129" s="88"/>
    </row>
    <row r="130" spans="1:40" s="29" customFormat="1" ht="17.25" customHeight="1">
      <c r="A130" s="48">
        <v>159</v>
      </c>
      <c r="B130" s="49">
        <f t="shared" si="158"/>
        <v>45673</v>
      </c>
      <c r="C130" s="220">
        <f t="shared" si="159"/>
        <v>1049</v>
      </c>
      <c r="D130" s="220">
        <f t="shared" ref="D130" si="202">D129+32</f>
        <v>2062</v>
      </c>
      <c r="E130" s="220">
        <f t="shared" si="145"/>
        <v>3111</v>
      </c>
      <c r="F130" s="220">
        <f t="shared" si="149"/>
        <v>664</v>
      </c>
      <c r="G130" s="220">
        <f t="shared" si="150"/>
        <v>862</v>
      </c>
      <c r="H130" s="220">
        <f t="shared" si="151"/>
        <v>1106</v>
      </c>
      <c r="I130" s="220">
        <f t="shared" si="152"/>
        <v>910</v>
      </c>
      <c r="J130" s="220">
        <f t="shared" si="153"/>
        <v>733</v>
      </c>
      <c r="K130" s="220">
        <f t="shared" si="154"/>
        <v>2447</v>
      </c>
      <c r="L130" s="220">
        <f t="shared" si="155"/>
        <v>2249</v>
      </c>
      <c r="M130" s="220">
        <f t="shared" si="156"/>
        <v>2005</v>
      </c>
      <c r="N130" s="220">
        <f t="shared" si="157"/>
        <v>2201</v>
      </c>
      <c r="O130" s="220">
        <f t="shared" si="157"/>
        <v>2378</v>
      </c>
      <c r="P130" s="220">
        <f t="shared" si="161"/>
        <v>2000</v>
      </c>
      <c r="Q130" s="220">
        <f t="shared" si="162"/>
        <v>2000</v>
      </c>
      <c r="R130" s="220">
        <f t="shared" si="163"/>
        <v>2000</v>
      </c>
      <c r="S130" s="220">
        <f t="shared" si="164"/>
        <v>2000</v>
      </c>
      <c r="T130" s="220">
        <f t="shared" si="165"/>
        <v>2000</v>
      </c>
      <c r="U130" s="220">
        <f t="shared" si="166"/>
        <v>447</v>
      </c>
      <c r="V130" s="220">
        <f t="shared" si="167"/>
        <v>249</v>
      </c>
      <c r="W130" s="220">
        <f t="shared" si="168"/>
        <v>5</v>
      </c>
      <c r="X130" s="220">
        <f t="shared" si="169"/>
        <v>201</v>
      </c>
      <c r="Y130" s="220">
        <f t="shared" si="170"/>
        <v>378</v>
      </c>
      <c r="Z130" s="220">
        <v>0</v>
      </c>
      <c r="AA130" s="220">
        <v>0</v>
      </c>
      <c r="AB130" s="220">
        <v>1</v>
      </c>
      <c r="AC130" s="220">
        <v>0</v>
      </c>
      <c r="AD130" s="220">
        <v>2</v>
      </c>
      <c r="AE130" s="220">
        <f t="shared" si="171"/>
        <v>-206</v>
      </c>
      <c r="AF130" s="220">
        <f t="shared" si="172"/>
        <v>-334</v>
      </c>
      <c r="AG130" s="220">
        <f t="shared" si="173"/>
        <v>-456</v>
      </c>
      <c r="AH130" s="220">
        <f t="shared" si="174"/>
        <v>-293</v>
      </c>
      <c r="AI130" s="220">
        <f t="shared" si="175"/>
        <v>-185</v>
      </c>
      <c r="AJ130" s="50">
        <f t="shared" si="140"/>
        <v>2.4010000000000029</v>
      </c>
      <c r="AK130" s="257"/>
      <c r="AL130" s="257">
        <f t="shared" si="141"/>
        <v>1.2</v>
      </c>
      <c r="AM130" s="52"/>
      <c r="AN130" s="88"/>
    </row>
    <row r="131" spans="1:40" s="29" customFormat="1" ht="17.25" customHeight="1">
      <c r="A131" s="48">
        <v>160</v>
      </c>
      <c r="B131" s="49">
        <f t="shared" si="158"/>
        <v>45674</v>
      </c>
      <c r="C131" s="220">
        <f t="shared" si="159"/>
        <v>1049</v>
      </c>
      <c r="D131" s="220">
        <f t="shared" ref="D131" si="203">D130-18</f>
        <v>2044</v>
      </c>
      <c r="E131" s="220">
        <f t="shared" si="145"/>
        <v>3093</v>
      </c>
      <c r="F131" s="220">
        <f t="shared" si="149"/>
        <v>647</v>
      </c>
      <c r="G131" s="220">
        <f t="shared" si="150"/>
        <v>845</v>
      </c>
      <c r="H131" s="220">
        <f t="shared" si="151"/>
        <v>1088</v>
      </c>
      <c r="I131" s="220">
        <f t="shared" si="152"/>
        <v>892</v>
      </c>
      <c r="J131" s="220">
        <f t="shared" si="153"/>
        <v>715</v>
      </c>
      <c r="K131" s="220">
        <f t="shared" si="154"/>
        <v>2446</v>
      </c>
      <c r="L131" s="220">
        <f t="shared" si="155"/>
        <v>2248</v>
      </c>
      <c r="M131" s="220">
        <f t="shared" si="156"/>
        <v>2005</v>
      </c>
      <c r="N131" s="220">
        <f t="shared" si="157"/>
        <v>2201</v>
      </c>
      <c r="O131" s="220">
        <f t="shared" si="157"/>
        <v>2378</v>
      </c>
      <c r="P131" s="220">
        <f t="shared" si="161"/>
        <v>2000</v>
      </c>
      <c r="Q131" s="220">
        <f t="shared" si="162"/>
        <v>2000</v>
      </c>
      <c r="R131" s="220">
        <f t="shared" si="163"/>
        <v>2000</v>
      </c>
      <c r="S131" s="220">
        <f t="shared" si="164"/>
        <v>2000</v>
      </c>
      <c r="T131" s="220">
        <f t="shared" si="165"/>
        <v>2000</v>
      </c>
      <c r="U131" s="220">
        <f t="shared" si="166"/>
        <v>446</v>
      </c>
      <c r="V131" s="220">
        <f t="shared" si="167"/>
        <v>248</v>
      </c>
      <c r="W131" s="220">
        <f t="shared" si="168"/>
        <v>5</v>
      </c>
      <c r="X131" s="220">
        <f t="shared" si="169"/>
        <v>201</v>
      </c>
      <c r="Y131" s="220">
        <f t="shared" si="170"/>
        <v>378</v>
      </c>
      <c r="Z131" s="220">
        <v>1</v>
      </c>
      <c r="AA131" s="220">
        <v>1</v>
      </c>
      <c r="AB131" s="220">
        <v>0</v>
      </c>
      <c r="AC131" s="220">
        <v>0</v>
      </c>
      <c r="AD131" s="220">
        <v>0</v>
      </c>
      <c r="AE131" s="220">
        <f t="shared" si="171"/>
        <v>-207</v>
      </c>
      <c r="AF131" s="220">
        <f t="shared" si="172"/>
        <v>-335</v>
      </c>
      <c r="AG131" s="220">
        <f t="shared" si="173"/>
        <v>-456</v>
      </c>
      <c r="AH131" s="220">
        <f t="shared" si="174"/>
        <v>-293</v>
      </c>
      <c r="AI131" s="220">
        <f t="shared" si="175"/>
        <v>-185</v>
      </c>
      <c r="AJ131" s="50">
        <f t="shared" si="140"/>
        <v>2.4010000000000029</v>
      </c>
      <c r="AK131" s="257"/>
      <c r="AL131" s="257">
        <f t="shared" si="141"/>
        <v>1.2</v>
      </c>
      <c r="AM131" s="52"/>
      <c r="AN131" s="88"/>
    </row>
    <row r="132" spans="1:40" s="29" customFormat="1" ht="17.25" customHeight="1">
      <c r="A132" s="48">
        <v>161</v>
      </c>
      <c r="B132" s="49">
        <f t="shared" si="158"/>
        <v>45675</v>
      </c>
      <c r="C132" s="220">
        <f t="shared" si="159"/>
        <v>1049</v>
      </c>
      <c r="D132" s="220">
        <f t="shared" ref="D132" si="204">D131-26</f>
        <v>2018</v>
      </c>
      <c r="E132" s="220">
        <f t="shared" si="145"/>
        <v>3067</v>
      </c>
      <c r="F132" s="220">
        <f t="shared" si="149"/>
        <v>621</v>
      </c>
      <c r="G132" s="220">
        <f t="shared" si="150"/>
        <v>820</v>
      </c>
      <c r="H132" s="220">
        <f t="shared" si="151"/>
        <v>1063</v>
      </c>
      <c r="I132" s="220">
        <f t="shared" si="152"/>
        <v>866</v>
      </c>
      <c r="J132" s="220">
        <f t="shared" si="153"/>
        <v>689</v>
      </c>
      <c r="K132" s="220">
        <f t="shared" si="154"/>
        <v>2446</v>
      </c>
      <c r="L132" s="220">
        <f t="shared" si="155"/>
        <v>2247</v>
      </c>
      <c r="M132" s="220">
        <f t="shared" si="156"/>
        <v>2004</v>
      </c>
      <c r="N132" s="220">
        <f t="shared" si="157"/>
        <v>2201</v>
      </c>
      <c r="O132" s="220">
        <f t="shared" si="157"/>
        <v>2378</v>
      </c>
      <c r="P132" s="220">
        <f t="shared" si="161"/>
        <v>2000</v>
      </c>
      <c r="Q132" s="220">
        <f t="shared" si="162"/>
        <v>2000</v>
      </c>
      <c r="R132" s="220">
        <f t="shared" si="163"/>
        <v>2000</v>
      </c>
      <c r="S132" s="220">
        <f t="shared" si="164"/>
        <v>2000</v>
      </c>
      <c r="T132" s="220">
        <f t="shared" si="165"/>
        <v>2000</v>
      </c>
      <c r="U132" s="220">
        <f t="shared" si="166"/>
        <v>446</v>
      </c>
      <c r="V132" s="220">
        <f t="shared" si="167"/>
        <v>247</v>
      </c>
      <c r="W132" s="220">
        <f t="shared" si="168"/>
        <v>4</v>
      </c>
      <c r="X132" s="220">
        <f t="shared" si="169"/>
        <v>201</v>
      </c>
      <c r="Y132" s="220">
        <f t="shared" si="170"/>
        <v>378</v>
      </c>
      <c r="Z132" s="220">
        <v>0</v>
      </c>
      <c r="AA132" s="220">
        <v>1</v>
      </c>
      <c r="AB132" s="220">
        <v>1</v>
      </c>
      <c r="AC132" s="220">
        <v>0</v>
      </c>
      <c r="AD132" s="220">
        <v>0</v>
      </c>
      <c r="AE132" s="220">
        <f t="shared" si="171"/>
        <v>-207</v>
      </c>
      <c r="AF132" s="220">
        <f t="shared" si="172"/>
        <v>-336</v>
      </c>
      <c r="AG132" s="220">
        <f t="shared" si="173"/>
        <v>-457</v>
      </c>
      <c r="AH132" s="220">
        <f t="shared" si="174"/>
        <v>-293</v>
      </c>
      <c r="AI132" s="220">
        <f t="shared" si="175"/>
        <v>-185</v>
      </c>
      <c r="AJ132" s="50">
        <f t="shared" si="140"/>
        <v>2.400000000000003</v>
      </c>
      <c r="AK132" s="257"/>
      <c r="AL132" s="257">
        <f t="shared" si="141"/>
        <v>1.2</v>
      </c>
      <c r="AM132" s="52"/>
      <c r="AN132" s="88"/>
    </row>
    <row r="133" spans="1:40" s="29" customFormat="1" ht="17.25" customHeight="1">
      <c r="A133" s="48">
        <v>162</v>
      </c>
      <c r="B133" s="49">
        <f t="shared" si="158"/>
        <v>45676</v>
      </c>
      <c r="C133" s="220">
        <f t="shared" si="159"/>
        <v>1049</v>
      </c>
      <c r="D133" s="220">
        <f t="shared" ref="D133" si="205">D132+15</f>
        <v>2033</v>
      </c>
      <c r="E133" s="220">
        <f t="shared" si="145"/>
        <v>3082</v>
      </c>
      <c r="F133" s="220">
        <f t="shared" si="149"/>
        <v>637</v>
      </c>
      <c r="G133" s="220">
        <f t="shared" si="150"/>
        <v>835</v>
      </c>
      <c r="H133" s="220">
        <f t="shared" si="151"/>
        <v>1082</v>
      </c>
      <c r="I133" s="220">
        <f t="shared" si="152"/>
        <v>883</v>
      </c>
      <c r="J133" s="220">
        <f t="shared" si="153"/>
        <v>704</v>
      </c>
      <c r="K133" s="220">
        <f t="shared" si="154"/>
        <v>2445</v>
      </c>
      <c r="L133" s="220">
        <f t="shared" si="155"/>
        <v>2247</v>
      </c>
      <c r="M133" s="220">
        <f t="shared" si="156"/>
        <v>2000</v>
      </c>
      <c r="N133" s="220">
        <f t="shared" si="157"/>
        <v>2199</v>
      </c>
      <c r="O133" s="220">
        <f t="shared" si="157"/>
        <v>2378</v>
      </c>
      <c r="P133" s="220">
        <f t="shared" si="161"/>
        <v>2000</v>
      </c>
      <c r="Q133" s="220">
        <f t="shared" si="162"/>
        <v>2000</v>
      </c>
      <c r="R133" s="220">
        <f t="shared" si="163"/>
        <v>2000</v>
      </c>
      <c r="S133" s="220">
        <f t="shared" si="164"/>
        <v>2000</v>
      </c>
      <c r="T133" s="220">
        <f t="shared" si="165"/>
        <v>2000</v>
      </c>
      <c r="U133" s="220">
        <f t="shared" si="166"/>
        <v>445</v>
      </c>
      <c r="V133" s="220">
        <f t="shared" si="167"/>
        <v>247</v>
      </c>
      <c r="W133" s="220">
        <f t="shared" si="168"/>
        <v>0</v>
      </c>
      <c r="X133" s="220">
        <f t="shared" si="169"/>
        <v>199</v>
      </c>
      <c r="Y133" s="220">
        <f t="shared" si="170"/>
        <v>378</v>
      </c>
      <c r="Z133" s="220">
        <v>1</v>
      </c>
      <c r="AA133" s="220">
        <v>0</v>
      </c>
      <c r="AB133" s="220">
        <v>4</v>
      </c>
      <c r="AC133" s="220">
        <v>2</v>
      </c>
      <c r="AD133" s="220">
        <v>0</v>
      </c>
      <c r="AE133" s="220">
        <f t="shared" si="171"/>
        <v>-208</v>
      </c>
      <c r="AF133" s="220">
        <f t="shared" si="172"/>
        <v>-336</v>
      </c>
      <c r="AG133" s="220">
        <f t="shared" si="173"/>
        <v>-461</v>
      </c>
      <c r="AH133" s="220">
        <f t="shared" si="174"/>
        <v>-295</v>
      </c>
      <c r="AI133" s="220">
        <f t="shared" si="175"/>
        <v>-185</v>
      </c>
      <c r="AJ133" s="50">
        <f t="shared" si="140"/>
        <v>2.396000000000003</v>
      </c>
      <c r="AK133" s="257"/>
      <c r="AL133" s="257">
        <f t="shared" si="141"/>
        <v>1.2</v>
      </c>
      <c r="AM133" s="52"/>
      <c r="AN133" s="88"/>
    </row>
    <row r="134" spans="1:40" s="29" customFormat="1" ht="17.25" customHeight="1">
      <c r="A134" s="48">
        <v>163</v>
      </c>
      <c r="B134" s="49">
        <f t="shared" si="158"/>
        <v>45677</v>
      </c>
      <c r="C134" s="220">
        <f t="shared" si="159"/>
        <v>1049</v>
      </c>
      <c r="D134" s="220">
        <f t="shared" ref="D134" si="206">D133+26</f>
        <v>2059</v>
      </c>
      <c r="E134" s="220">
        <f t="shared" si="145"/>
        <v>3108</v>
      </c>
      <c r="F134" s="220">
        <f t="shared" si="149"/>
        <v>664</v>
      </c>
      <c r="G134" s="220">
        <f t="shared" si="150"/>
        <v>865</v>
      </c>
      <c r="H134" s="220">
        <f t="shared" si="151"/>
        <v>1109</v>
      </c>
      <c r="I134" s="220">
        <f t="shared" si="152"/>
        <v>909</v>
      </c>
      <c r="J134" s="220">
        <f t="shared" si="153"/>
        <v>730</v>
      </c>
      <c r="K134" s="220">
        <f t="shared" si="154"/>
        <v>2444</v>
      </c>
      <c r="L134" s="220">
        <f t="shared" si="155"/>
        <v>2243</v>
      </c>
      <c r="M134" s="220">
        <f t="shared" si="156"/>
        <v>1999</v>
      </c>
      <c r="N134" s="220">
        <f t="shared" si="157"/>
        <v>2199</v>
      </c>
      <c r="O134" s="220">
        <f t="shared" si="157"/>
        <v>2378</v>
      </c>
      <c r="P134" s="220">
        <f t="shared" si="161"/>
        <v>2000</v>
      </c>
      <c r="Q134" s="220">
        <f t="shared" si="162"/>
        <v>2000</v>
      </c>
      <c r="R134" s="220">
        <f t="shared" si="163"/>
        <v>2000</v>
      </c>
      <c r="S134" s="220">
        <f t="shared" si="164"/>
        <v>2000</v>
      </c>
      <c r="T134" s="220">
        <f t="shared" si="165"/>
        <v>2000</v>
      </c>
      <c r="U134" s="220">
        <f t="shared" si="166"/>
        <v>444</v>
      </c>
      <c r="V134" s="220">
        <f t="shared" si="167"/>
        <v>243</v>
      </c>
      <c r="W134" s="220">
        <f t="shared" si="168"/>
        <v>-1</v>
      </c>
      <c r="X134" s="220">
        <f t="shared" si="169"/>
        <v>199</v>
      </c>
      <c r="Y134" s="220">
        <f t="shared" si="170"/>
        <v>378</v>
      </c>
      <c r="Z134" s="220">
        <v>1</v>
      </c>
      <c r="AA134" s="220">
        <v>4</v>
      </c>
      <c r="AB134" s="220">
        <v>1</v>
      </c>
      <c r="AC134" s="220">
        <v>0</v>
      </c>
      <c r="AD134" s="220">
        <v>0</v>
      </c>
      <c r="AE134" s="220">
        <f t="shared" si="171"/>
        <v>-209</v>
      </c>
      <c r="AF134" s="220">
        <f t="shared" si="172"/>
        <v>-340</v>
      </c>
      <c r="AG134" s="220">
        <f t="shared" si="173"/>
        <v>-462</v>
      </c>
      <c r="AH134" s="220">
        <f t="shared" si="174"/>
        <v>-295</v>
      </c>
      <c r="AI134" s="220">
        <f t="shared" si="175"/>
        <v>-185</v>
      </c>
      <c r="AJ134" s="50">
        <f t="shared" si="140"/>
        <v>2.3950000000000031</v>
      </c>
      <c r="AK134" s="257"/>
      <c r="AL134" s="257">
        <f t="shared" si="141"/>
        <v>1.2</v>
      </c>
      <c r="AM134" s="52"/>
      <c r="AN134" s="88"/>
    </row>
    <row r="135" spans="1:40" s="29" customFormat="1" ht="17.25" customHeight="1">
      <c r="A135" s="48">
        <v>164</v>
      </c>
      <c r="B135" s="49">
        <f t="shared" si="158"/>
        <v>45678</v>
      </c>
      <c r="C135" s="220">
        <f t="shared" si="159"/>
        <v>1049</v>
      </c>
      <c r="D135" s="220">
        <f t="shared" ref="D135" si="207">D134+32</f>
        <v>2091</v>
      </c>
      <c r="E135" s="220">
        <f t="shared" si="145"/>
        <v>3140</v>
      </c>
      <c r="F135" s="220">
        <f t="shared" si="149"/>
        <v>696</v>
      </c>
      <c r="G135" s="220">
        <f t="shared" si="150"/>
        <v>897</v>
      </c>
      <c r="H135" s="220">
        <f t="shared" si="151"/>
        <v>1145</v>
      </c>
      <c r="I135" s="220">
        <f t="shared" si="152"/>
        <v>941</v>
      </c>
      <c r="J135" s="220">
        <f t="shared" si="153"/>
        <v>762</v>
      </c>
      <c r="K135" s="220">
        <f t="shared" si="154"/>
        <v>2444</v>
      </c>
      <c r="L135" s="220">
        <f t="shared" si="155"/>
        <v>2243</v>
      </c>
      <c r="M135" s="220">
        <f t="shared" si="156"/>
        <v>1995</v>
      </c>
      <c r="N135" s="220">
        <f t="shared" si="157"/>
        <v>2199</v>
      </c>
      <c r="O135" s="220">
        <f t="shared" si="157"/>
        <v>2378</v>
      </c>
      <c r="P135" s="220">
        <f t="shared" si="161"/>
        <v>2000</v>
      </c>
      <c r="Q135" s="220">
        <f t="shared" si="162"/>
        <v>2000</v>
      </c>
      <c r="R135" s="220">
        <f t="shared" si="163"/>
        <v>2000</v>
      </c>
      <c r="S135" s="220">
        <f t="shared" si="164"/>
        <v>2000</v>
      </c>
      <c r="T135" s="220">
        <f t="shared" si="165"/>
        <v>2000</v>
      </c>
      <c r="U135" s="220">
        <f t="shared" si="166"/>
        <v>444</v>
      </c>
      <c r="V135" s="220">
        <f t="shared" si="167"/>
        <v>243</v>
      </c>
      <c r="W135" s="220">
        <f t="shared" si="168"/>
        <v>-5</v>
      </c>
      <c r="X135" s="220">
        <f t="shared" si="169"/>
        <v>199</v>
      </c>
      <c r="Y135" s="220">
        <f t="shared" si="170"/>
        <v>378</v>
      </c>
      <c r="Z135" s="220">
        <v>0</v>
      </c>
      <c r="AA135" s="220">
        <v>0</v>
      </c>
      <c r="AB135" s="220">
        <v>4</v>
      </c>
      <c r="AC135" s="220">
        <v>0</v>
      </c>
      <c r="AD135" s="220">
        <v>0</v>
      </c>
      <c r="AE135" s="220">
        <f t="shared" si="171"/>
        <v>-209</v>
      </c>
      <c r="AF135" s="220">
        <f t="shared" si="172"/>
        <v>-340</v>
      </c>
      <c r="AG135" s="220">
        <f t="shared" si="173"/>
        <v>-466</v>
      </c>
      <c r="AH135" s="220">
        <f t="shared" si="174"/>
        <v>-295</v>
      </c>
      <c r="AI135" s="220">
        <f t="shared" si="175"/>
        <v>-185</v>
      </c>
      <c r="AJ135" s="50">
        <f t="shared" si="140"/>
        <v>2.3910000000000031</v>
      </c>
      <c r="AK135" s="257"/>
      <c r="AL135" s="257">
        <f t="shared" si="141"/>
        <v>1.2</v>
      </c>
      <c r="AM135" s="52"/>
      <c r="AN135" s="88"/>
    </row>
    <row r="136" spans="1:40" s="29" customFormat="1" ht="17.25" customHeight="1">
      <c r="A136" s="48">
        <v>165</v>
      </c>
      <c r="B136" s="49">
        <f t="shared" si="158"/>
        <v>45679</v>
      </c>
      <c r="C136" s="220">
        <f t="shared" si="159"/>
        <v>1049</v>
      </c>
      <c r="D136" s="220">
        <f t="shared" ref="D136" si="208">D135-18</f>
        <v>2073</v>
      </c>
      <c r="E136" s="220">
        <f t="shared" si="145"/>
        <v>3122</v>
      </c>
      <c r="F136" s="220">
        <f t="shared" si="149"/>
        <v>678</v>
      </c>
      <c r="G136" s="220">
        <f t="shared" si="150"/>
        <v>880</v>
      </c>
      <c r="H136" s="220">
        <f t="shared" si="151"/>
        <v>1128</v>
      </c>
      <c r="I136" s="220">
        <f t="shared" si="152"/>
        <v>924</v>
      </c>
      <c r="J136" s="220">
        <f t="shared" si="153"/>
        <v>744</v>
      </c>
      <c r="K136" s="220">
        <f t="shared" si="154"/>
        <v>2444</v>
      </c>
      <c r="L136" s="220">
        <f t="shared" si="155"/>
        <v>2242</v>
      </c>
      <c r="M136" s="220">
        <f t="shared" si="156"/>
        <v>1994</v>
      </c>
      <c r="N136" s="220">
        <f t="shared" si="157"/>
        <v>2198</v>
      </c>
      <c r="O136" s="220">
        <f t="shared" si="157"/>
        <v>2378</v>
      </c>
      <c r="P136" s="220">
        <f t="shared" si="161"/>
        <v>2000</v>
      </c>
      <c r="Q136" s="220">
        <f t="shared" si="162"/>
        <v>2000</v>
      </c>
      <c r="R136" s="220">
        <f t="shared" si="163"/>
        <v>2000</v>
      </c>
      <c r="S136" s="220">
        <f t="shared" si="164"/>
        <v>2000</v>
      </c>
      <c r="T136" s="220">
        <f t="shared" si="165"/>
        <v>2000</v>
      </c>
      <c r="U136" s="220">
        <f t="shared" si="166"/>
        <v>444</v>
      </c>
      <c r="V136" s="220">
        <f t="shared" si="167"/>
        <v>242</v>
      </c>
      <c r="W136" s="220">
        <f t="shared" si="168"/>
        <v>-6</v>
      </c>
      <c r="X136" s="220">
        <f t="shared" si="169"/>
        <v>198</v>
      </c>
      <c r="Y136" s="220">
        <f t="shared" si="170"/>
        <v>378</v>
      </c>
      <c r="Z136" s="220">
        <v>0</v>
      </c>
      <c r="AA136" s="220">
        <v>1</v>
      </c>
      <c r="AB136" s="220">
        <v>1</v>
      </c>
      <c r="AC136" s="220">
        <v>1</v>
      </c>
      <c r="AD136" s="220">
        <v>0</v>
      </c>
      <c r="AE136" s="220">
        <f t="shared" si="171"/>
        <v>-209</v>
      </c>
      <c r="AF136" s="220">
        <f t="shared" si="172"/>
        <v>-341</v>
      </c>
      <c r="AG136" s="220">
        <f t="shared" si="173"/>
        <v>-467</v>
      </c>
      <c r="AH136" s="220">
        <f t="shared" si="174"/>
        <v>-296</v>
      </c>
      <c r="AI136" s="220">
        <f t="shared" si="175"/>
        <v>-185</v>
      </c>
      <c r="AJ136" s="50">
        <f t="shared" si="140"/>
        <v>2.3900000000000032</v>
      </c>
      <c r="AK136" s="257"/>
      <c r="AL136" s="257">
        <f t="shared" si="141"/>
        <v>1.2</v>
      </c>
      <c r="AM136" s="52"/>
      <c r="AN136" s="88"/>
    </row>
    <row r="137" spans="1:40" s="29" customFormat="1" ht="17.25" customHeight="1">
      <c r="A137" s="48">
        <v>166</v>
      </c>
      <c r="B137" s="49">
        <f t="shared" si="158"/>
        <v>45680</v>
      </c>
      <c r="C137" s="220">
        <f t="shared" si="159"/>
        <v>1049</v>
      </c>
      <c r="D137" s="220">
        <f t="shared" ref="D137:D193" si="209">D136-26</f>
        <v>2047</v>
      </c>
      <c r="E137" s="220">
        <f t="shared" si="145"/>
        <v>3096</v>
      </c>
      <c r="F137" s="220">
        <f t="shared" si="149"/>
        <v>653</v>
      </c>
      <c r="G137" s="220">
        <f t="shared" si="150"/>
        <v>856</v>
      </c>
      <c r="H137" s="220">
        <f t="shared" si="151"/>
        <v>1102</v>
      </c>
      <c r="I137" s="220">
        <f t="shared" si="152"/>
        <v>899</v>
      </c>
      <c r="J137" s="220">
        <f t="shared" si="153"/>
        <v>718</v>
      </c>
      <c r="K137" s="220">
        <f t="shared" si="154"/>
        <v>2443</v>
      </c>
      <c r="L137" s="220">
        <f t="shared" si="155"/>
        <v>2240</v>
      </c>
      <c r="M137" s="220">
        <f t="shared" si="156"/>
        <v>1994</v>
      </c>
      <c r="N137" s="220">
        <f t="shared" si="157"/>
        <v>2197</v>
      </c>
      <c r="O137" s="220">
        <f t="shared" si="157"/>
        <v>2378</v>
      </c>
      <c r="P137" s="220">
        <f t="shared" si="161"/>
        <v>2000</v>
      </c>
      <c r="Q137" s="220">
        <f t="shared" si="162"/>
        <v>2000</v>
      </c>
      <c r="R137" s="220">
        <f t="shared" si="163"/>
        <v>2000</v>
      </c>
      <c r="S137" s="220">
        <f t="shared" si="164"/>
        <v>2000</v>
      </c>
      <c r="T137" s="220">
        <f t="shared" si="165"/>
        <v>2000</v>
      </c>
      <c r="U137" s="220">
        <f t="shared" si="166"/>
        <v>443</v>
      </c>
      <c r="V137" s="220">
        <f t="shared" si="167"/>
        <v>240</v>
      </c>
      <c r="W137" s="220">
        <f t="shared" si="168"/>
        <v>-6</v>
      </c>
      <c r="X137" s="220">
        <f t="shared" si="169"/>
        <v>197</v>
      </c>
      <c r="Y137" s="220">
        <f t="shared" si="170"/>
        <v>378</v>
      </c>
      <c r="Z137" s="220">
        <v>1</v>
      </c>
      <c r="AA137" s="220">
        <v>2</v>
      </c>
      <c r="AB137" s="220">
        <v>0</v>
      </c>
      <c r="AC137" s="220">
        <v>1</v>
      </c>
      <c r="AD137" s="220">
        <v>0</v>
      </c>
      <c r="AE137" s="220">
        <f t="shared" si="171"/>
        <v>-210</v>
      </c>
      <c r="AF137" s="220">
        <f t="shared" si="172"/>
        <v>-343</v>
      </c>
      <c r="AG137" s="220">
        <f t="shared" si="173"/>
        <v>-467</v>
      </c>
      <c r="AH137" s="220">
        <f t="shared" si="174"/>
        <v>-297</v>
      </c>
      <c r="AI137" s="220">
        <f t="shared" si="175"/>
        <v>-185</v>
      </c>
      <c r="AJ137" s="50">
        <f t="shared" si="140"/>
        <v>2.3900000000000032</v>
      </c>
      <c r="AK137" s="257"/>
      <c r="AL137" s="257">
        <f t="shared" si="141"/>
        <v>1.2</v>
      </c>
      <c r="AM137" s="52"/>
      <c r="AN137" s="88"/>
    </row>
    <row r="138" spans="1:40" s="29" customFormat="1" ht="17.25" customHeight="1">
      <c r="A138" s="48">
        <v>167</v>
      </c>
      <c r="B138" s="49">
        <f t="shared" si="158"/>
        <v>45681</v>
      </c>
      <c r="C138" s="220">
        <f t="shared" si="159"/>
        <v>1049</v>
      </c>
      <c r="D138" s="220">
        <f t="shared" ref="D138:D194" si="210">D137+15</f>
        <v>2062</v>
      </c>
      <c r="E138" s="220">
        <f t="shared" si="145"/>
        <v>3111</v>
      </c>
      <c r="F138" s="220">
        <f t="shared" si="149"/>
        <v>669</v>
      </c>
      <c r="G138" s="220">
        <f t="shared" si="150"/>
        <v>875</v>
      </c>
      <c r="H138" s="220">
        <f t="shared" si="151"/>
        <v>1118</v>
      </c>
      <c r="I138" s="220">
        <f t="shared" si="152"/>
        <v>918</v>
      </c>
      <c r="J138" s="220">
        <f t="shared" si="153"/>
        <v>733</v>
      </c>
      <c r="K138" s="220">
        <f t="shared" si="154"/>
        <v>2442</v>
      </c>
      <c r="L138" s="220">
        <f t="shared" si="155"/>
        <v>2236</v>
      </c>
      <c r="M138" s="220">
        <f t="shared" si="156"/>
        <v>1993</v>
      </c>
      <c r="N138" s="220">
        <f t="shared" si="157"/>
        <v>2193</v>
      </c>
      <c r="O138" s="220">
        <f t="shared" si="157"/>
        <v>2378</v>
      </c>
      <c r="P138" s="220">
        <f t="shared" si="161"/>
        <v>2000</v>
      </c>
      <c r="Q138" s="220">
        <f t="shared" si="162"/>
        <v>2000</v>
      </c>
      <c r="R138" s="220">
        <f t="shared" si="163"/>
        <v>2000</v>
      </c>
      <c r="S138" s="220">
        <f t="shared" si="164"/>
        <v>2000</v>
      </c>
      <c r="T138" s="220">
        <f t="shared" si="165"/>
        <v>2000</v>
      </c>
      <c r="U138" s="220">
        <f t="shared" si="166"/>
        <v>442</v>
      </c>
      <c r="V138" s="220">
        <f t="shared" si="167"/>
        <v>236</v>
      </c>
      <c r="W138" s="220">
        <f t="shared" si="168"/>
        <v>-7</v>
      </c>
      <c r="X138" s="220">
        <f t="shared" si="169"/>
        <v>193</v>
      </c>
      <c r="Y138" s="220">
        <f t="shared" si="170"/>
        <v>378</v>
      </c>
      <c r="Z138" s="220">
        <v>1</v>
      </c>
      <c r="AA138" s="220">
        <v>4</v>
      </c>
      <c r="AB138" s="220">
        <v>1</v>
      </c>
      <c r="AC138" s="220">
        <v>4</v>
      </c>
      <c r="AD138" s="220">
        <v>0</v>
      </c>
      <c r="AE138" s="220">
        <f t="shared" si="171"/>
        <v>-211</v>
      </c>
      <c r="AF138" s="220">
        <f t="shared" si="172"/>
        <v>-347</v>
      </c>
      <c r="AG138" s="220">
        <f t="shared" si="173"/>
        <v>-468</v>
      </c>
      <c r="AH138" s="220">
        <f t="shared" si="174"/>
        <v>-301</v>
      </c>
      <c r="AI138" s="220">
        <f t="shared" si="175"/>
        <v>-185</v>
      </c>
      <c r="AJ138" s="50">
        <f t="shared" si="140"/>
        <v>2.3890000000000033</v>
      </c>
      <c r="AK138" s="257"/>
      <c r="AL138" s="257">
        <f t="shared" si="141"/>
        <v>1.2</v>
      </c>
      <c r="AM138" s="52"/>
      <c r="AN138" s="88"/>
    </row>
    <row r="139" spans="1:40" s="29" customFormat="1" ht="17.25" customHeight="1">
      <c r="A139" s="48">
        <v>168</v>
      </c>
      <c r="B139" s="49">
        <f t="shared" si="158"/>
        <v>45682</v>
      </c>
      <c r="C139" s="220">
        <f t="shared" si="159"/>
        <v>1049</v>
      </c>
      <c r="D139" s="220">
        <f t="shared" ref="D139" si="211">D138+26</f>
        <v>2088</v>
      </c>
      <c r="E139" s="220">
        <f t="shared" ref="E139:E140" si="212">+C139+D139</f>
        <v>3137</v>
      </c>
      <c r="F139" s="220">
        <f t="shared" si="149"/>
        <v>695</v>
      </c>
      <c r="G139" s="220">
        <f t="shared" si="150"/>
        <v>902</v>
      </c>
      <c r="H139" s="220">
        <f t="shared" si="151"/>
        <v>1145</v>
      </c>
      <c r="I139" s="220">
        <f t="shared" si="152"/>
        <v>945</v>
      </c>
      <c r="J139" s="220">
        <f t="shared" si="153"/>
        <v>759</v>
      </c>
      <c r="K139" s="220">
        <f t="shared" si="154"/>
        <v>2442</v>
      </c>
      <c r="L139" s="220">
        <f t="shared" si="155"/>
        <v>2235</v>
      </c>
      <c r="M139" s="220">
        <f t="shared" si="156"/>
        <v>1992</v>
      </c>
      <c r="N139" s="220">
        <f t="shared" si="157"/>
        <v>2192</v>
      </c>
      <c r="O139" s="220">
        <f t="shared" si="157"/>
        <v>2378</v>
      </c>
      <c r="P139" s="220">
        <f t="shared" si="161"/>
        <v>2000</v>
      </c>
      <c r="Q139" s="220">
        <f t="shared" si="162"/>
        <v>2000</v>
      </c>
      <c r="R139" s="220">
        <f t="shared" si="163"/>
        <v>2000</v>
      </c>
      <c r="S139" s="220">
        <f t="shared" si="164"/>
        <v>2000</v>
      </c>
      <c r="T139" s="220">
        <f t="shared" si="165"/>
        <v>2000</v>
      </c>
      <c r="U139" s="220">
        <f t="shared" si="166"/>
        <v>442</v>
      </c>
      <c r="V139" s="220">
        <f t="shared" si="167"/>
        <v>235</v>
      </c>
      <c r="W139" s="220">
        <f t="shared" si="168"/>
        <v>-8</v>
      </c>
      <c r="X139" s="220">
        <f t="shared" si="169"/>
        <v>192</v>
      </c>
      <c r="Y139" s="220">
        <f t="shared" si="170"/>
        <v>378</v>
      </c>
      <c r="Z139" s="220">
        <v>0</v>
      </c>
      <c r="AA139" s="220">
        <v>1</v>
      </c>
      <c r="AB139" s="220">
        <v>1</v>
      </c>
      <c r="AC139" s="220">
        <v>1</v>
      </c>
      <c r="AD139" s="220">
        <v>0</v>
      </c>
      <c r="AE139" s="220">
        <f t="shared" si="171"/>
        <v>-211</v>
      </c>
      <c r="AF139" s="220">
        <f t="shared" si="172"/>
        <v>-348</v>
      </c>
      <c r="AG139" s="220">
        <f t="shared" si="173"/>
        <v>-469</v>
      </c>
      <c r="AH139" s="220">
        <f t="shared" si="174"/>
        <v>-302</v>
      </c>
      <c r="AI139" s="220">
        <f t="shared" si="175"/>
        <v>-185</v>
      </c>
      <c r="AJ139" s="50">
        <f t="shared" si="140"/>
        <v>2.3880000000000035</v>
      </c>
      <c r="AK139" s="257"/>
      <c r="AL139" s="257">
        <f t="shared" si="141"/>
        <v>1.2</v>
      </c>
      <c r="AM139" s="52"/>
      <c r="AN139" s="88"/>
    </row>
    <row r="140" spans="1:40" s="29" customFormat="1" ht="17.25" customHeight="1">
      <c r="A140" s="48">
        <v>169</v>
      </c>
      <c r="B140" s="49">
        <f t="shared" si="158"/>
        <v>45683</v>
      </c>
      <c r="C140" s="220">
        <f t="shared" si="159"/>
        <v>1049</v>
      </c>
      <c r="D140" s="220">
        <f t="shared" ref="D140" si="213">D139+32</f>
        <v>2120</v>
      </c>
      <c r="E140" s="220">
        <f t="shared" si="212"/>
        <v>3169</v>
      </c>
      <c r="F140" s="220">
        <f t="shared" si="149"/>
        <v>728</v>
      </c>
      <c r="G140" s="220">
        <f t="shared" si="150"/>
        <v>934</v>
      </c>
      <c r="H140" s="220">
        <f t="shared" si="151"/>
        <v>1177</v>
      </c>
      <c r="I140" s="220">
        <f t="shared" si="152"/>
        <v>977</v>
      </c>
      <c r="J140" s="220">
        <f t="shared" si="153"/>
        <v>792</v>
      </c>
      <c r="K140" s="220">
        <f t="shared" si="154"/>
        <v>2441</v>
      </c>
      <c r="L140" s="220">
        <f t="shared" si="155"/>
        <v>2235</v>
      </c>
      <c r="M140" s="220">
        <f t="shared" si="156"/>
        <v>1992</v>
      </c>
      <c r="N140" s="220">
        <f t="shared" si="157"/>
        <v>2192</v>
      </c>
      <c r="O140" s="220">
        <f t="shared" si="157"/>
        <v>2377</v>
      </c>
      <c r="P140" s="220">
        <f t="shared" si="161"/>
        <v>2000</v>
      </c>
      <c r="Q140" s="220">
        <f t="shared" si="162"/>
        <v>2000</v>
      </c>
      <c r="R140" s="220">
        <f t="shared" si="163"/>
        <v>2000</v>
      </c>
      <c r="S140" s="220">
        <f t="shared" si="164"/>
        <v>2000</v>
      </c>
      <c r="T140" s="220">
        <f t="shared" si="165"/>
        <v>2000</v>
      </c>
      <c r="U140" s="220">
        <f t="shared" si="166"/>
        <v>441</v>
      </c>
      <c r="V140" s="220">
        <f t="shared" si="167"/>
        <v>235</v>
      </c>
      <c r="W140" s="220">
        <f t="shared" si="168"/>
        <v>-8</v>
      </c>
      <c r="X140" s="220">
        <f t="shared" si="169"/>
        <v>192</v>
      </c>
      <c r="Y140" s="220">
        <f t="shared" si="170"/>
        <v>377</v>
      </c>
      <c r="Z140" s="220">
        <v>1</v>
      </c>
      <c r="AA140" s="220">
        <v>0</v>
      </c>
      <c r="AB140" s="220">
        <v>0</v>
      </c>
      <c r="AC140" s="220">
        <v>0</v>
      </c>
      <c r="AD140" s="220">
        <v>1</v>
      </c>
      <c r="AE140" s="220">
        <f t="shared" si="171"/>
        <v>-212</v>
      </c>
      <c r="AF140" s="220">
        <f t="shared" si="172"/>
        <v>-348</v>
      </c>
      <c r="AG140" s="220">
        <f t="shared" si="173"/>
        <v>-469</v>
      </c>
      <c r="AH140" s="220">
        <f t="shared" si="174"/>
        <v>-302</v>
      </c>
      <c r="AI140" s="220">
        <f t="shared" si="175"/>
        <v>-186</v>
      </c>
      <c r="AJ140" s="50">
        <f t="shared" si="140"/>
        <v>2.3880000000000035</v>
      </c>
      <c r="AK140" s="257"/>
      <c r="AL140" s="257">
        <f t="shared" si="141"/>
        <v>1.2</v>
      </c>
      <c r="AM140" s="52"/>
      <c r="AN140" s="88"/>
    </row>
    <row r="141" spans="1:40" s="29" customFormat="1" ht="17.25" customHeight="1">
      <c r="A141" s="48">
        <v>170</v>
      </c>
      <c r="B141" s="49">
        <f t="shared" si="158"/>
        <v>45684</v>
      </c>
      <c r="C141" s="220">
        <f t="shared" si="159"/>
        <v>1049</v>
      </c>
      <c r="D141" s="220">
        <f t="shared" ref="D141" si="214">D140-18</f>
        <v>2102</v>
      </c>
      <c r="E141" s="220">
        <f t="shared" ref="E141:E158" si="215">+C141+D141</f>
        <v>3151</v>
      </c>
      <c r="F141" s="220">
        <f t="shared" si="149"/>
        <v>710</v>
      </c>
      <c r="G141" s="220">
        <f t="shared" si="150"/>
        <v>916</v>
      </c>
      <c r="H141" s="220">
        <f t="shared" si="151"/>
        <v>1159</v>
      </c>
      <c r="I141" s="220">
        <f t="shared" si="152"/>
        <v>960</v>
      </c>
      <c r="J141" s="220">
        <f t="shared" si="153"/>
        <v>774</v>
      </c>
      <c r="K141" s="220">
        <f t="shared" si="154"/>
        <v>2441</v>
      </c>
      <c r="L141" s="220">
        <f t="shared" si="155"/>
        <v>2235</v>
      </c>
      <c r="M141" s="220">
        <f t="shared" si="156"/>
        <v>1992</v>
      </c>
      <c r="N141" s="220">
        <f t="shared" si="157"/>
        <v>2191</v>
      </c>
      <c r="O141" s="220">
        <f t="shared" si="157"/>
        <v>2377</v>
      </c>
      <c r="P141" s="220">
        <f t="shared" si="161"/>
        <v>2000</v>
      </c>
      <c r="Q141" s="220">
        <f t="shared" si="162"/>
        <v>2000</v>
      </c>
      <c r="R141" s="220">
        <f t="shared" si="163"/>
        <v>2000</v>
      </c>
      <c r="S141" s="220">
        <f t="shared" si="164"/>
        <v>2000</v>
      </c>
      <c r="T141" s="220">
        <f t="shared" si="165"/>
        <v>2000</v>
      </c>
      <c r="U141" s="220">
        <f t="shared" si="166"/>
        <v>441</v>
      </c>
      <c r="V141" s="220">
        <f t="shared" si="167"/>
        <v>235</v>
      </c>
      <c r="W141" s="220">
        <f t="shared" si="168"/>
        <v>-8</v>
      </c>
      <c r="X141" s="220">
        <f t="shared" si="169"/>
        <v>191</v>
      </c>
      <c r="Y141" s="220">
        <f t="shared" si="170"/>
        <v>377</v>
      </c>
      <c r="Z141" s="220">
        <v>0</v>
      </c>
      <c r="AA141" s="220">
        <v>0</v>
      </c>
      <c r="AB141" s="220">
        <v>0</v>
      </c>
      <c r="AC141" s="220">
        <v>1</v>
      </c>
      <c r="AD141" s="220">
        <v>0</v>
      </c>
      <c r="AE141" s="220">
        <f t="shared" si="171"/>
        <v>-212</v>
      </c>
      <c r="AF141" s="220">
        <f t="shared" si="172"/>
        <v>-348</v>
      </c>
      <c r="AG141" s="220">
        <f t="shared" si="173"/>
        <v>-469</v>
      </c>
      <c r="AH141" s="220">
        <f t="shared" si="174"/>
        <v>-303</v>
      </c>
      <c r="AI141" s="220">
        <f t="shared" si="175"/>
        <v>-186</v>
      </c>
      <c r="AJ141" s="50">
        <f t="shared" si="140"/>
        <v>2.3880000000000035</v>
      </c>
      <c r="AK141" s="257"/>
      <c r="AL141" s="257">
        <f t="shared" si="141"/>
        <v>1.2</v>
      </c>
      <c r="AM141" s="52"/>
      <c r="AN141" s="88"/>
    </row>
    <row r="142" spans="1:40" s="29" customFormat="1" ht="17.25" customHeight="1">
      <c r="A142" s="48">
        <v>171</v>
      </c>
      <c r="B142" s="49">
        <f t="shared" si="158"/>
        <v>45685</v>
      </c>
      <c r="C142" s="220">
        <f t="shared" si="159"/>
        <v>1049</v>
      </c>
      <c r="D142" s="220">
        <f t="shared" ref="D142" si="216">D141-26</f>
        <v>2076</v>
      </c>
      <c r="E142" s="220">
        <f t="shared" si="215"/>
        <v>3125</v>
      </c>
      <c r="F142" s="220">
        <f t="shared" si="149"/>
        <v>685</v>
      </c>
      <c r="G142" s="220">
        <f t="shared" si="150"/>
        <v>893</v>
      </c>
      <c r="H142" s="220">
        <f t="shared" si="151"/>
        <v>1134</v>
      </c>
      <c r="I142" s="220">
        <f t="shared" si="152"/>
        <v>936</v>
      </c>
      <c r="J142" s="220">
        <f t="shared" si="153"/>
        <v>748</v>
      </c>
      <c r="K142" s="220">
        <f t="shared" si="154"/>
        <v>2440</v>
      </c>
      <c r="L142" s="220">
        <f t="shared" si="155"/>
        <v>2232</v>
      </c>
      <c r="M142" s="220">
        <f t="shared" si="156"/>
        <v>1991</v>
      </c>
      <c r="N142" s="220">
        <f t="shared" si="157"/>
        <v>2189</v>
      </c>
      <c r="O142" s="220">
        <f t="shared" si="157"/>
        <v>2377</v>
      </c>
      <c r="P142" s="220">
        <f t="shared" si="161"/>
        <v>2000</v>
      </c>
      <c r="Q142" s="220">
        <f t="shared" si="162"/>
        <v>2000</v>
      </c>
      <c r="R142" s="220">
        <f t="shared" si="163"/>
        <v>2000</v>
      </c>
      <c r="S142" s="220">
        <f t="shared" si="164"/>
        <v>2000</v>
      </c>
      <c r="T142" s="220">
        <f t="shared" si="165"/>
        <v>2000</v>
      </c>
      <c r="U142" s="220">
        <f t="shared" si="166"/>
        <v>440</v>
      </c>
      <c r="V142" s="220">
        <f t="shared" si="167"/>
        <v>232</v>
      </c>
      <c r="W142" s="220">
        <f t="shared" si="168"/>
        <v>-9</v>
      </c>
      <c r="X142" s="220">
        <f t="shared" si="169"/>
        <v>189</v>
      </c>
      <c r="Y142" s="220">
        <f t="shared" si="170"/>
        <v>377</v>
      </c>
      <c r="Z142" s="220">
        <v>1</v>
      </c>
      <c r="AA142" s="220">
        <v>3</v>
      </c>
      <c r="AB142" s="220">
        <v>1</v>
      </c>
      <c r="AC142" s="220">
        <v>2</v>
      </c>
      <c r="AD142" s="220">
        <v>0</v>
      </c>
      <c r="AE142" s="220">
        <f t="shared" si="171"/>
        <v>-213</v>
      </c>
      <c r="AF142" s="220">
        <f t="shared" si="172"/>
        <v>-351</v>
      </c>
      <c r="AG142" s="220">
        <f t="shared" si="173"/>
        <v>-470</v>
      </c>
      <c r="AH142" s="220">
        <f t="shared" si="174"/>
        <v>-305</v>
      </c>
      <c r="AI142" s="220">
        <f t="shared" si="175"/>
        <v>-186</v>
      </c>
      <c r="AJ142" s="50">
        <f t="shared" si="140"/>
        <v>2.3870000000000036</v>
      </c>
      <c r="AK142" s="257"/>
      <c r="AL142" s="257">
        <f t="shared" si="141"/>
        <v>1.2</v>
      </c>
      <c r="AM142" s="52"/>
      <c r="AN142" s="88"/>
    </row>
    <row r="143" spans="1:40" s="29" customFormat="1" ht="17.25" customHeight="1">
      <c r="A143" s="48">
        <v>172</v>
      </c>
      <c r="B143" s="49">
        <f t="shared" si="158"/>
        <v>45686</v>
      </c>
      <c r="C143" s="220">
        <f t="shared" si="159"/>
        <v>1049</v>
      </c>
      <c r="D143" s="220">
        <f t="shared" ref="D143" si="217">D142+15</f>
        <v>2091</v>
      </c>
      <c r="E143" s="220">
        <f t="shared" si="215"/>
        <v>3140</v>
      </c>
      <c r="F143" s="220">
        <f t="shared" si="149"/>
        <v>701</v>
      </c>
      <c r="G143" s="220">
        <f t="shared" si="150"/>
        <v>908</v>
      </c>
      <c r="H143" s="220">
        <f t="shared" si="151"/>
        <v>1150</v>
      </c>
      <c r="I143" s="220">
        <f t="shared" si="152"/>
        <v>953</v>
      </c>
      <c r="J143" s="220">
        <f t="shared" si="153"/>
        <v>764</v>
      </c>
      <c r="K143" s="220">
        <f t="shared" si="154"/>
        <v>2439</v>
      </c>
      <c r="L143" s="220">
        <f t="shared" si="155"/>
        <v>2232</v>
      </c>
      <c r="M143" s="220">
        <f t="shared" si="156"/>
        <v>1990</v>
      </c>
      <c r="N143" s="220">
        <f t="shared" si="157"/>
        <v>2187</v>
      </c>
      <c r="O143" s="220">
        <f t="shared" si="157"/>
        <v>2376</v>
      </c>
      <c r="P143" s="220">
        <f t="shared" si="161"/>
        <v>2000</v>
      </c>
      <c r="Q143" s="220">
        <f t="shared" si="162"/>
        <v>2000</v>
      </c>
      <c r="R143" s="220">
        <f t="shared" si="163"/>
        <v>2000</v>
      </c>
      <c r="S143" s="220">
        <f t="shared" si="164"/>
        <v>2000</v>
      </c>
      <c r="T143" s="220">
        <f t="shared" si="165"/>
        <v>2000</v>
      </c>
      <c r="U143" s="220">
        <f t="shared" si="166"/>
        <v>439</v>
      </c>
      <c r="V143" s="220">
        <f t="shared" si="167"/>
        <v>232</v>
      </c>
      <c r="W143" s="220">
        <f t="shared" si="168"/>
        <v>-10</v>
      </c>
      <c r="X143" s="220">
        <f t="shared" si="169"/>
        <v>187</v>
      </c>
      <c r="Y143" s="220">
        <f t="shared" si="170"/>
        <v>376</v>
      </c>
      <c r="Z143" s="220">
        <v>1</v>
      </c>
      <c r="AA143" s="220">
        <v>0</v>
      </c>
      <c r="AB143" s="220">
        <v>1</v>
      </c>
      <c r="AC143" s="220">
        <v>2</v>
      </c>
      <c r="AD143" s="220">
        <v>1</v>
      </c>
      <c r="AE143" s="220">
        <f t="shared" si="171"/>
        <v>-214</v>
      </c>
      <c r="AF143" s="220">
        <f t="shared" si="172"/>
        <v>-351</v>
      </c>
      <c r="AG143" s="220">
        <f t="shared" si="173"/>
        <v>-471</v>
      </c>
      <c r="AH143" s="220">
        <f t="shared" si="174"/>
        <v>-307</v>
      </c>
      <c r="AI143" s="220">
        <f t="shared" si="175"/>
        <v>-187</v>
      </c>
      <c r="AJ143" s="50">
        <f t="shared" si="140"/>
        <v>2.3860000000000037</v>
      </c>
      <c r="AK143" s="257"/>
      <c r="AL143" s="257">
        <f t="shared" si="141"/>
        <v>1.2</v>
      </c>
      <c r="AM143" s="52"/>
      <c r="AN143" s="88"/>
    </row>
    <row r="144" spans="1:40" s="29" customFormat="1" ht="17.25" customHeight="1">
      <c r="A144" s="48">
        <v>173</v>
      </c>
      <c r="B144" s="49">
        <f t="shared" si="158"/>
        <v>45687</v>
      </c>
      <c r="C144" s="220">
        <f t="shared" si="159"/>
        <v>1049</v>
      </c>
      <c r="D144" s="220">
        <f t="shared" ref="D144" si="218">D143+26</f>
        <v>2117</v>
      </c>
      <c r="E144" s="220">
        <f t="shared" si="215"/>
        <v>3166</v>
      </c>
      <c r="F144" s="220">
        <f t="shared" si="149"/>
        <v>727</v>
      </c>
      <c r="G144" s="220">
        <f t="shared" si="150"/>
        <v>934</v>
      </c>
      <c r="H144" s="220">
        <f t="shared" si="151"/>
        <v>1180</v>
      </c>
      <c r="I144" s="220">
        <f t="shared" si="152"/>
        <v>980</v>
      </c>
      <c r="J144" s="220">
        <f t="shared" si="153"/>
        <v>790</v>
      </c>
      <c r="K144" s="220">
        <f t="shared" si="154"/>
        <v>2439</v>
      </c>
      <c r="L144" s="220">
        <f t="shared" si="155"/>
        <v>2232</v>
      </c>
      <c r="M144" s="220">
        <f t="shared" si="156"/>
        <v>1986</v>
      </c>
      <c r="N144" s="220">
        <f t="shared" si="157"/>
        <v>2186</v>
      </c>
      <c r="O144" s="220">
        <f t="shared" si="157"/>
        <v>2376</v>
      </c>
      <c r="P144" s="220">
        <f t="shared" si="161"/>
        <v>2000</v>
      </c>
      <c r="Q144" s="220">
        <f t="shared" si="162"/>
        <v>2000</v>
      </c>
      <c r="R144" s="220">
        <f t="shared" si="163"/>
        <v>2000</v>
      </c>
      <c r="S144" s="220">
        <f t="shared" si="164"/>
        <v>2000</v>
      </c>
      <c r="T144" s="220">
        <f t="shared" si="165"/>
        <v>2000</v>
      </c>
      <c r="U144" s="220">
        <f t="shared" si="166"/>
        <v>439</v>
      </c>
      <c r="V144" s="220">
        <f t="shared" si="167"/>
        <v>232</v>
      </c>
      <c r="W144" s="220">
        <f t="shared" si="168"/>
        <v>-14</v>
      </c>
      <c r="X144" s="220">
        <f t="shared" si="169"/>
        <v>186</v>
      </c>
      <c r="Y144" s="220">
        <f t="shared" si="170"/>
        <v>376</v>
      </c>
      <c r="Z144" s="220">
        <v>0</v>
      </c>
      <c r="AA144" s="220">
        <v>0</v>
      </c>
      <c r="AB144" s="220">
        <v>4</v>
      </c>
      <c r="AC144" s="220">
        <v>1</v>
      </c>
      <c r="AD144" s="220">
        <v>0</v>
      </c>
      <c r="AE144" s="220">
        <f t="shared" si="171"/>
        <v>-214</v>
      </c>
      <c r="AF144" s="220">
        <f t="shared" si="172"/>
        <v>-351</v>
      </c>
      <c r="AG144" s="220">
        <f t="shared" si="173"/>
        <v>-475</v>
      </c>
      <c r="AH144" s="220">
        <f t="shared" si="174"/>
        <v>-308</v>
      </c>
      <c r="AI144" s="220">
        <f t="shared" si="175"/>
        <v>-187</v>
      </c>
      <c r="AJ144" s="50">
        <f t="shared" si="140"/>
        <v>2.3820000000000037</v>
      </c>
      <c r="AK144" s="257"/>
      <c r="AL144" s="257">
        <f t="shared" si="141"/>
        <v>1.2</v>
      </c>
      <c r="AM144" s="52"/>
      <c r="AN144" s="88"/>
    </row>
    <row r="145" spans="1:40" s="29" customFormat="1" ht="17.25" customHeight="1">
      <c r="A145" s="48">
        <v>174</v>
      </c>
      <c r="B145" s="49">
        <f t="shared" si="158"/>
        <v>45688</v>
      </c>
      <c r="C145" s="220">
        <f t="shared" si="159"/>
        <v>1049</v>
      </c>
      <c r="D145" s="220">
        <f t="shared" si="209"/>
        <v>2091</v>
      </c>
      <c r="E145" s="220">
        <f t="shared" si="215"/>
        <v>3140</v>
      </c>
      <c r="F145" s="220">
        <f t="shared" si="149"/>
        <v>702</v>
      </c>
      <c r="G145" s="220">
        <f t="shared" si="150"/>
        <v>912</v>
      </c>
      <c r="H145" s="220">
        <f t="shared" si="151"/>
        <v>1155</v>
      </c>
      <c r="I145" s="220">
        <f t="shared" si="152"/>
        <v>954</v>
      </c>
      <c r="J145" s="220">
        <f t="shared" si="153"/>
        <v>764</v>
      </c>
      <c r="K145" s="220">
        <f t="shared" si="154"/>
        <v>2438</v>
      </c>
      <c r="L145" s="220">
        <f t="shared" si="155"/>
        <v>2228</v>
      </c>
      <c r="M145" s="220">
        <f t="shared" si="156"/>
        <v>1985</v>
      </c>
      <c r="N145" s="220">
        <f t="shared" si="157"/>
        <v>2186</v>
      </c>
      <c r="O145" s="220">
        <f t="shared" si="157"/>
        <v>2376</v>
      </c>
      <c r="P145" s="220">
        <f t="shared" si="161"/>
        <v>2000</v>
      </c>
      <c r="Q145" s="220">
        <f t="shared" si="162"/>
        <v>2000</v>
      </c>
      <c r="R145" s="220">
        <f t="shared" si="163"/>
        <v>2000</v>
      </c>
      <c r="S145" s="220">
        <f t="shared" si="164"/>
        <v>2000</v>
      </c>
      <c r="T145" s="220">
        <f t="shared" si="165"/>
        <v>2000</v>
      </c>
      <c r="U145" s="220">
        <f t="shared" si="166"/>
        <v>438</v>
      </c>
      <c r="V145" s="220">
        <f t="shared" si="167"/>
        <v>228</v>
      </c>
      <c r="W145" s="220">
        <f t="shared" si="168"/>
        <v>-15</v>
      </c>
      <c r="X145" s="220">
        <f t="shared" si="169"/>
        <v>186</v>
      </c>
      <c r="Y145" s="220">
        <f t="shared" si="170"/>
        <v>376</v>
      </c>
      <c r="Z145" s="220">
        <v>1</v>
      </c>
      <c r="AA145" s="220">
        <v>4</v>
      </c>
      <c r="AB145" s="220">
        <v>1</v>
      </c>
      <c r="AC145" s="220">
        <v>0</v>
      </c>
      <c r="AD145" s="220">
        <v>0</v>
      </c>
      <c r="AE145" s="220">
        <f t="shared" si="171"/>
        <v>-215</v>
      </c>
      <c r="AF145" s="220">
        <f t="shared" si="172"/>
        <v>-355</v>
      </c>
      <c r="AG145" s="220">
        <f t="shared" si="173"/>
        <v>-476</v>
      </c>
      <c r="AH145" s="220">
        <f t="shared" si="174"/>
        <v>-308</v>
      </c>
      <c r="AI145" s="220">
        <f t="shared" si="175"/>
        <v>-187</v>
      </c>
      <c r="AJ145" s="50">
        <f t="shared" si="140"/>
        <v>2.3810000000000038</v>
      </c>
      <c r="AK145" s="257"/>
      <c r="AL145" s="257">
        <f t="shared" si="141"/>
        <v>1.2</v>
      </c>
      <c r="AM145" s="52"/>
      <c r="AN145" s="88"/>
    </row>
    <row r="146" spans="1:40" s="29" customFormat="1" ht="17.25" customHeight="1">
      <c r="A146" s="48">
        <v>175</v>
      </c>
      <c r="B146" s="49">
        <f t="shared" si="158"/>
        <v>45689</v>
      </c>
      <c r="C146" s="220">
        <f t="shared" si="159"/>
        <v>1049</v>
      </c>
      <c r="D146" s="220">
        <f t="shared" si="210"/>
        <v>2106</v>
      </c>
      <c r="E146" s="220">
        <f t="shared" si="215"/>
        <v>3155</v>
      </c>
      <c r="F146" s="220">
        <f t="shared" si="149"/>
        <v>718</v>
      </c>
      <c r="G146" s="220">
        <f t="shared" si="150"/>
        <v>927</v>
      </c>
      <c r="H146" s="220">
        <f t="shared" si="151"/>
        <v>1174</v>
      </c>
      <c r="I146" s="220">
        <f t="shared" si="152"/>
        <v>969</v>
      </c>
      <c r="J146" s="220">
        <f t="shared" si="153"/>
        <v>779</v>
      </c>
      <c r="K146" s="220">
        <f t="shared" si="154"/>
        <v>2437</v>
      </c>
      <c r="L146" s="220">
        <f t="shared" si="155"/>
        <v>2228</v>
      </c>
      <c r="M146" s="220">
        <f t="shared" si="156"/>
        <v>1981</v>
      </c>
      <c r="N146" s="220">
        <f t="shared" si="157"/>
        <v>2186</v>
      </c>
      <c r="O146" s="220">
        <f t="shared" si="157"/>
        <v>2376</v>
      </c>
      <c r="P146" s="220">
        <f t="shared" si="161"/>
        <v>2000</v>
      </c>
      <c r="Q146" s="220">
        <f t="shared" si="162"/>
        <v>2000</v>
      </c>
      <c r="R146" s="220">
        <f t="shared" si="163"/>
        <v>2000</v>
      </c>
      <c r="S146" s="220">
        <f t="shared" si="164"/>
        <v>2000</v>
      </c>
      <c r="T146" s="220">
        <f t="shared" si="165"/>
        <v>2000</v>
      </c>
      <c r="U146" s="220">
        <f t="shared" si="166"/>
        <v>437</v>
      </c>
      <c r="V146" s="220">
        <f t="shared" si="167"/>
        <v>228</v>
      </c>
      <c r="W146" s="220">
        <f t="shared" si="168"/>
        <v>-19</v>
      </c>
      <c r="X146" s="220">
        <f t="shared" si="169"/>
        <v>186</v>
      </c>
      <c r="Y146" s="220">
        <f t="shared" si="170"/>
        <v>376</v>
      </c>
      <c r="Z146" s="220">
        <v>1</v>
      </c>
      <c r="AA146" s="220">
        <v>0</v>
      </c>
      <c r="AB146" s="220">
        <v>4</v>
      </c>
      <c r="AC146" s="220">
        <v>0</v>
      </c>
      <c r="AD146" s="220">
        <v>0</v>
      </c>
      <c r="AE146" s="220">
        <f t="shared" si="171"/>
        <v>-216</v>
      </c>
      <c r="AF146" s="220">
        <f t="shared" si="172"/>
        <v>-355</v>
      </c>
      <c r="AG146" s="220">
        <f t="shared" si="173"/>
        <v>-480</v>
      </c>
      <c r="AH146" s="220">
        <f t="shared" si="174"/>
        <v>-308</v>
      </c>
      <c r="AI146" s="220">
        <f t="shared" si="175"/>
        <v>-187</v>
      </c>
      <c r="AJ146" s="50">
        <f t="shared" si="140"/>
        <v>2.3770000000000038</v>
      </c>
      <c r="AK146" s="257"/>
      <c r="AL146" s="257">
        <f t="shared" si="141"/>
        <v>1.2</v>
      </c>
      <c r="AM146" s="52"/>
      <c r="AN146" s="88"/>
    </row>
    <row r="147" spans="1:40" s="29" customFormat="1" ht="17.25" customHeight="1">
      <c r="A147" s="48">
        <v>176</v>
      </c>
      <c r="B147" s="49">
        <f t="shared" si="158"/>
        <v>45690</v>
      </c>
      <c r="C147" s="220">
        <f t="shared" si="159"/>
        <v>1049</v>
      </c>
      <c r="D147" s="220">
        <f t="shared" ref="D147:D203" si="219">D146+26</f>
        <v>2132</v>
      </c>
      <c r="E147" s="220">
        <f t="shared" si="215"/>
        <v>3181</v>
      </c>
      <c r="F147" s="220">
        <f t="shared" si="149"/>
        <v>744</v>
      </c>
      <c r="G147" s="220">
        <f t="shared" si="150"/>
        <v>957</v>
      </c>
      <c r="H147" s="220">
        <f t="shared" si="151"/>
        <v>1201</v>
      </c>
      <c r="I147" s="220">
        <f t="shared" si="152"/>
        <v>995</v>
      </c>
      <c r="J147" s="220">
        <f t="shared" si="153"/>
        <v>805</v>
      </c>
      <c r="K147" s="220">
        <f t="shared" si="154"/>
        <v>2437</v>
      </c>
      <c r="L147" s="220">
        <f t="shared" si="155"/>
        <v>2224</v>
      </c>
      <c r="M147" s="220">
        <f t="shared" si="156"/>
        <v>1980</v>
      </c>
      <c r="N147" s="220">
        <f t="shared" si="157"/>
        <v>2186</v>
      </c>
      <c r="O147" s="220">
        <f t="shared" si="157"/>
        <v>2376</v>
      </c>
      <c r="P147" s="220">
        <f t="shared" si="161"/>
        <v>2000</v>
      </c>
      <c r="Q147" s="220">
        <f t="shared" si="162"/>
        <v>2000</v>
      </c>
      <c r="R147" s="220">
        <f t="shared" si="163"/>
        <v>2000</v>
      </c>
      <c r="S147" s="220">
        <f t="shared" si="164"/>
        <v>2000</v>
      </c>
      <c r="T147" s="220">
        <f t="shared" si="165"/>
        <v>2000</v>
      </c>
      <c r="U147" s="220">
        <f t="shared" si="166"/>
        <v>437</v>
      </c>
      <c r="V147" s="220">
        <f t="shared" si="167"/>
        <v>224</v>
      </c>
      <c r="W147" s="220">
        <f t="shared" si="168"/>
        <v>-20</v>
      </c>
      <c r="X147" s="220">
        <f t="shared" si="169"/>
        <v>186</v>
      </c>
      <c r="Y147" s="220">
        <f t="shared" si="170"/>
        <v>376</v>
      </c>
      <c r="Z147" s="220">
        <v>0</v>
      </c>
      <c r="AA147" s="220">
        <v>4</v>
      </c>
      <c r="AB147" s="220">
        <v>1</v>
      </c>
      <c r="AC147" s="220">
        <v>0</v>
      </c>
      <c r="AD147" s="220">
        <v>0</v>
      </c>
      <c r="AE147" s="220">
        <f t="shared" si="171"/>
        <v>-216</v>
      </c>
      <c r="AF147" s="220">
        <f t="shared" si="172"/>
        <v>-359</v>
      </c>
      <c r="AG147" s="220">
        <f t="shared" si="173"/>
        <v>-481</v>
      </c>
      <c r="AH147" s="220">
        <f t="shared" si="174"/>
        <v>-308</v>
      </c>
      <c r="AI147" s="220">
        <f t="shared" si="175"/>
        <v>-187</v>
      </c>
      <c r="AJ147" s="50">
        <f t="shared" si="140"/>
        <v>2.3760000000000039</v>
      </c>
      <c r="AK147" s="257"/>
      <c r="AL147" s="257">
        <f t="shared" si="141"/>
        <v>1.2</v>
      </c>
      <c r="AM147" s="52"/>
      <c r="AN147" s="88"/>
    </row>
    <row r="148" spans="1:40" s="29" customFormat="1" ht="17.25" customHeight="1">
      <c r="A148" s="48">
        <v>177</v>
      </c>
      <c r="B148" s="49">
        <f t="shared" si="158"/>
        <v>45691</v>
      </c>
      <c r="C148" s="220">
        <f t="shared" si="159"/>
        <v>1049</v>
      </c>
      <c r="D148" s="220">
        <f t="shared" ref="D148:D204" si="220">D147+32</f>
        <v>2164</v>
      </c>
      <c r="E148" s="220">
        <f t="shared" si="215"/>
        <v>3213</v>
      </c>
      <c r="F148" s="220">
        <f t="shared" si="149"/>
        <v>777</v>
      </c>
      <c r="G148" s="220">
        <f t="shared" si="150"/>
        <v>992</v>
      </c>
      <c r="H148" s="220">
        <f t="shared" si="151"/>
        <v>1234</v>
      </c>
      <c r="I148" s="220">
        <f t="shared" si="152"/>
        <v>1027</v>
      </c>
      <c r="J148" s="220">
        <f t="shared" si="153"/>
        <v>837</v>
      </c>
      <c r="K148" s="220">
        <f t="shared" si="154"/>
        <v>2436</v>
      </c>
      <c r="L148" s="220">
        <f t="shared" si="155"/>
        <v>2221</v>
      </c>
      <c r="M148" s="220">
        <f t="shared" si="156"/>
        <v>1979</v>
      </c>
      <c r="N148" s="220">
        <f t="shared" si="157"/>
        <v>2186</v>
      </c>
      <c r="O148" s="220">
        <f t="shared" si="157"/>
        <v>2376</v>
      </c>
      <c r="P148" s="220">
        <f t="shared" si="161"/>
        <v>2000</v>
      </c>
      <c r="Q148" s="220">
        <f t="shared" si="162"/>
        <v>2000</v>
      </c>
      <c r="R148" s="220">
        <f t="shared" si="163"/>
        <v>2000</v>
      </c>
      <c r="S148" s="220">
        <f t="shared" si="164"/>
        <v>2000</v>
      </c>
      <c r="T148" s="220">
        <f t="shared" si="165"/>
        <v>2000</v>
      </c>
      <c r="U148" s="220">
        <f t="shared" si="166"/>
        <v>436</v>
      </c>
      <c r="V148" s="220">
        <f t="shared" si="167"/>
        <v>221</v>
      </c>
      <c r="W148" s="220">
        <f t="shared" si="168"/>
        <v>-21</v>
      </c>
      <c r="X148" s="220">
        <f t="shared" si="169"/>
        <v>186</v>
      </c>
      <c r="Y148" s="220">
        <f t="shared" si="170"/>
        <v>376</v>
      </c>
      <c r="Z148" s="220">
        <v>1</v>
      </c>
      <c r="AA148" s="220">
        <v>3</v>
      </c>
      <c r="AB148" s="220">
        <v>1</v>
      </c>
      <c r="AC148" s="220">
        <v>0</v>
      </c>
      <c r="AD148" s="220">
        <v>0</v>
      </c>
      <c r="AE148" s="220">
        <f t="shared" si="171"/>
        <v>-217</v>
      </c>
      <c r="AF148" s="220">
        <f t="shared" si="172"/>
        <v>-362</v>
      </c>
      <c r="AG148" s="220">
        <f t="shared" si="173"/>
        <v>-482</v>
      </c>
      <c r="AH148" s="220">
        <f t="shared" si="174"/>
        <v>-308</v>
      </c>
      <c r="AI148" s="220">
        <f t="shared" si="175"/>
        <v>-187</v>
      </c>
      <c r="AJ148" s="50">
        <f t="shared" si="140"/>
        <v>2.375000000000004</v>
      </c>
      <c r="AK148" s="257"/>
      <c r="AL148" s="257">
        <f t="shared" si="141"/>
        <v>1.2</v>
      </c>
      <c r="AM148" s="52"/>
      <c r="AN148" s="88"/>
    </row>
    <row r="149" spans="1:40" s="29" customFormat="1" ht="17.25" customHeight="1">
      <c r="A149" s="48">
        <v>178</v>
      </c>
      <c r="B149" s="49">
        <f t="shared" si="158"/>
        <v>45692</v>
      </c>
      <c r="C149" s="220">
        <f t="shared" si="159"/>
        <v>1049</v>
      </c>
      <c r="D149" s="220">
        <f t="shared" ref="D149:D205" si="221">D148-18</f>
        <v>2146</v>
      </c>
      <c r="E149" s="220">
        <f t="shared" si="215"/>
        <v>3195</v>
      </c>
      <c r="F149" s="220">
        <f t="shared" si="149"/>
        <v>759</v>
      </c>
      <c r="G149" s="220">
        <f t="shared" si="150"/>
        <v>976</v>
      </c>
      <c r="H149" s="220">
        <f t="shared" si="151"/>
        <v>1216</v>
      </c>
      <c r="I149" s="220">
        <f t="shared" si="152"/>
        <v>1009</v>
      </c>
      <c r="J149" s="220">
        <f t="shared" si="153"/>
        <v>820</v>
      </c>
      <c r="K149" s="220">
        <f t="shared" si="154"/>
        <v>2436</v>
      </c>
      <c r="L149" s="220">
        <f t="shared" si="155"/>
        <v>2219</v>
      </c>
      <c r="M149" s="220">
        <f t="shared" si="156"/>
        <v>1979</v>
      </c>
      <c r="N149" s="220">
        <f t="shared" si="157"/>
        <v>2186</v>
      </c>
      <c r="O149" s="220">
        <f t="shared" si="157"/>
        <v>2375</v>
      </c>
      <c r="P149" s="220">
        <f t="shared" si="161"/>
        <v>2000</v>
      </c>
      <c r="Q149" s="220">
        <f t="shared" si="162"/>
        <v>2000</v>
      </c>
      <c r="R149" s="220">
        <f t="shared" si="163"/>
        <v>2000</v>
      </c>
      <c r="S149" s="220">
        <f t="shared" si="164"/>
        <v>2000</v>
      </c>
      <c r="T149" s="220">
        <f t="shared" si="165"/>
        <v>2000</v>
      </c>
      <c r="U149" s="220">
        <f t="shared" si="166"/>
        <v>436</v>
      </c>
      <c r="V149" s="220">
        <f t="shared" si="167"/>
        <v>219</v>
      </c>
      <c r="W149" s="220">
        <f t="shared" si="168"/>
        <v>-21</v>
      </c>
      <c r="X149" s="220">
        <f t="shared" si="169"/>
        <v>186</v>
      </c>
      <c r="Y149" s="220">
        <f t="shared" si="170"/>
        <v>375</v>
      </c>
      <c r="Z149" s="220">
        <v>0</v>
      </c>
      <c r="AA149" s="220">
        <v>2</v>
      </c>
      <c r="AB149" s="220">
        <v>0</v>
      </c>
      <c r="AC149" s="220">
        <v>0</v>
      </c>
      <c r="AD149" s="220">
        <v>1</v>
      </c>
      <c r="AE149" s="220">
        <f t="shared" si="171"/>
        <v>-217</v>
      </c>
      <c r="AF149" s="220">
        <f t="shared" si="172"/>
        <v>-364</v>
      </c>
      <c r="AG149" s="220">
        <f t="shared" si="173"/>
        <v>-482</v>
      </c>
      <c r="AH149" s="220">
        <f t="shared" si="174"/>
        <v>-308</v>
      </c>
      <c r="AI149" s="220">
        <f t="shared" si="175"/>
        <v>-188</v>
      </c>
      <c r="AJ149" s="50">
        <f t="shared" si="140"/>
        <v>2.375000000000004</v>
      </c>
      <c r="AK149" s="257"/>
      <c r="AL149" s="257">
        <f t="shared" si="141"/>
        <v>1.2</v>
      </c>
      <c r="AM149" s="52"/>
      <c r="AN149" s="88"/>
    </row>
    <row r="150" spans="1:40" s="29" customFormat="1" ht="17.25" customHeight="1">
      <c r="A150" s="48">
        <v>179</v>
      </c>
      <c r="B150" s="49">
        <f t="shared" si="158"/>
        <v>45693</v>
      </c>
      <c r="C150" s="220">
        <f t="shared" si="159"/>
        <v>1049</v>
      </c>
      <c r="D150" s="220">
        <f t="shared" ref="D150:D206" si="222">D149-26</f>
        <v>2120</v>
      </c>
      <c r="E150" s="220">
        <f t="shared" si="215"/>
        <v>3169</v>
      </c>
      <c r="F150" s="220">
        <f t="shared" si="149"/>
        <v>733</v>
      </c>
      <c r="G150" s="220">
        <f t="shared" si="150"/>
        <v>950</v>
      </c>
      <c r="H150" s="220">
        <f t="shared" si="151"/>
        <v>1191</v>
      </c>
      <c r="I150" s="220">
        <f t="shared" si="152"/>
        <v>984</v>
      </c>
      <c r="J150" s="220">
        <f t="shared" si="153"/>
        <v>794</v>
      </c>
      <c r="K150" s="220">
        <f t="shared" si="154"/>
        <v>2436</v>
      </c>
      <c r="L150" s="220">
        <f t="shared" si="155"/>
        <v>2219</v>
      </c>
      <c r="M150" s="220">
        <f t="shared" si="156"/>
        <v>1978</v>
      </c>
      <c r="N150" s="220">
        <f t="shared" si="157"/>
        <v>2185</v>
      </c>
      <c r="O150" s="220">
        <f t="shared" si="157"/>
        <v>2375</v>
      </c>
      <c r="P150" s="220">
        <f t="shared" si="161"/>
        <v>2000</v>
      </c>
      <c r="Q150" s="220">
        <f t="shared" si="162"/>
        <v>2000</v>
      </c>
      <c r="R150" s="220">
        <f t="shared" si="163"/>
        <v>2000</v>
      </c>
      <c r="S150" s="220">
        <f t="shared" si="164"/>
        <v>2000</v>
      </c>
      <c r="T150" s="220">
        <f t="shared" si="165"/>
        <v>2000</v>
      </c>
      <c r="U150" s="220">
        <f t="shared" si="166"/>
        <v>436</v>
      </c>
      <c r="V150" s="220">
        <f t="shared" si="167"/>
        <v>219</v>
      </c>
      <c r="W150" s="220">
        <f t="shared" si="168"/>
        <v>-22</v>
      </c>
      <c r="X150" s="220">
        <f t="shared" si="169"/>
        <v>185</v>
      </c>
      <c r="Y150" s="220">
        <f t="shared" si="170"/>
        <v>375</v>
      </c>
      <c r="Z150" s="220">
        <v>0</v>
      </c>
      <c r="AA150" s="220">
        <v>0</v>
      </c>
      <c r="AB150" s="220">
        <v>1</v>
      </c>
      <c r="AC150" s="220">
        <v>1</v>
      </c>
      <c r="AD150" s="220">
        <v>0</v>
      </c>
      <c r="AE150" s="220">
        <f t="shared" si="171"/>
        <v>-217</v>
      </c>
      <c r="AF150" s="220">
        <f t="shared" si="172"/>
        <v>-364</v>
      </c>
      <c r="AG150" s="220">
        <f t="shared" si="173"/>
        <v>-483</v>
      </c>
      <c r="AH150" s="220">
        <f t="shared" si="174"/>
        <v>-309</v>
      </c>
      <c r="AI150" s="220">
        <f t="shared" si="175"/>
        <v>-188</v>
      </c>
      <c r="AJ150" s="50">
        <f t="shared" si="140"/>
        <v>2.3740000000000041</v>
      </c>
      <c r="AK150" s="257"/>
      <c r="AL150" s="257">
        <f t="shared" si="141"/>
        <v>1.2</v>
      </c>
      <c r="AM150" s="52"/>
      <c r="AN150" s="88"/>
    </row>
    <row r="151" spans="1:40" s="29" customFormat="1" ht="17.25" customHeight="1">
      <c r="A151" s="48">
        <v>180</v>
      </c>
      <c r="B151" s="49">
        <f t="shared" si="158"/>
        <v>45694</v>
      </c>
      <c r="C151" s="220">
        <f t="shared" si="159"/>
        <v>1049</v>
      </c>
      <c r="D151" s="220">
        <f t="shared" ref="D151:D207" si="223">D150+15</f>
        <v>2135</v>
      </c>
      <c r="E151" s="220">
        <f t="shared" si="215"/>
        <v>3184</v>
      </c>
      <c r="F151" s="220">
        <f t="shared" si="149"/>
        <v>749</v>
      </c>
      <c r="G151" s="220">
        <f t="shared" si="150"/>
        <v>965</v>
      </c>
      <c r="H151" s="220">
        <f t="shared" si="151"/>
        <v>1207</v>
      </c>
      <c r="I151" s="220">
        <f t="shared" si="152"/>
        <v>999</v>
      </c>
      <c r="J151" s="220">
        <f t="shared" si="153"/>
        <v>809</v>
      </c>
      <c r="K151" s="220">
        <f t="shared" si="154"/>
        <v>2435</v>
      </c>
      <c r="L151" s="220">
        <f t="shared" si="155"/>
        <v>2219</v>
      </c>
      <c r="M151" s="220">
        <f t="shared" si="156"/>
        <v>1977</v>
      </c>
      <c r="N151" s="220">
        <f t="shared" si="157"/>
        <v>2185</v>
      </c>
      <c r="O151" s="220">
        <f t="shared" si="157"/>
        <v>2375</v>
      </c>
      <c r="P151" s="220">
        <f t="shared" si="161"/>
        <v>2000</v>
      </c>
      <c r="Q151" s="220">
        <f t="shared" si="162"/>
        <v>2000</v>
      </c>
      <c r="R151" s="220">
        <f t="shared" si="163"/>
        <v>2000</v>
      </c>
      <c r="S151" s="220">
        <f t="shared" si="164"/>
        <v>2000</v>
      </c>
      <c r="T151" s="220">
        <f t="shared" si="165"/>
        <v>2000</v>
      </c>
      <c r="U151" s="220">
        <f t="shared" si="166"/>
        <v>435</v>
      </c>
      <c r="V151" s="220">
        <f t="shared" si="167"/>
        <v>219</v>
      </c>
      <c r="W151" s="220">
        <f t="shared" si="168"/>
        <v>-23</v>
      </c>
      <c r="X151" s="220">
        <f t="shared" si="169"/>
        <v>185</v>
      </c>
      <c r="Y151" s="220">
        <f t="shared" si="170"/>
        <v>375</v>
      </c>
      <c r="Z151" s="220">
        <v>1</v>
      </c>
      <c r="AA151" s="220">
        <v>0</v>
      </c>
      <c r="AB151" s="220">
        <v>1</v>
      </c>
      <c r="AC151" s="220">
        <v>0</v>
      </c>
      <c r="AD151" s="220">
        <v>0</v>
      </c>
      <c r="AE151" s="220">
        <f t="shared" si="171"/>
        <v>-218</v>
      </c>
      <c r="AF151" s="220">
        <f t="shared" si="172"/>
        <v>-364</v>
      </c>
      <c r="AG151" s="220">
        <f t="shared" si="173"/>
        <v>-484</v>
      </c>
      <c r="AH151" s="220">
        <f t="shared" si="174"/>
        <v>-309</v>
      </c>
      <c r="AI151" s="220">
        <f t="shared" si="175"/>
        <v>-188</v>
      </c>
      <c r="AJ151" s="50">
        <f t="shared" si="140"/>
        <v>2.3730000000000042</v>
      </c>
      <c r="AK151" s="257"/>
      <c r="AL151" s="257">
        <f t="shared" si="141"/>
        <v>1.2</v>
      </c>
      <c r="AM151" s="52"/>
      <c r="AN151" s="88"/>
    </row>
    <row r="152" spans="1:40" s="29" customFormat="1" ht="17.25" customHeight="1">
      <c r="A152" s="48">
        <v>181</v>
      </c>
      <c r="B152" s="49">
        <f t="shared" si="158"/>
        <v>45695</v>
      </c>
      <c r="C152" s="220">
        <f t="shared" si="159"/>
        <v>1049</v>
      </c>
      <c r="D152" s="220">
        <f t="shared" ref="D152:D208" si="224">D151+26</f>
        <v>2161</v>
      </c>
      <c r="E152" s="220">
        <f t="shared" si="215"/>
        <v>3210</v>
      </c>
      <c r="F152" s="220">
        <f t="shared" si="149"/>
        <v>775</v>
      </c>
      <c r="G152" s="220">
        <f t="shared" si="150"/>
        <v>991</v>
      </c>
      <c r="H152" s="220">
        <f t="shared" si="151"/>
        <v>1233</v>
      </c>
      <c r="I152" s="220">
        <f t="shared" si="152"/>
        <v>1025</v>
      </c>
      <c r="J152" s="220">
        <f t="shared" si="153"/>
        <v>835</v>
      </c>
      <c r="K152" s="220">
        <f t="shared" si="154"/>
        <v>2435</v>
      </c>
      <c r="L152" s="220">
        <f t="shared" si="155"/>
        <v>2219</v>
      </c>
      <c r="M152" s="220">
        <f t="shared" si="156"/>
        <v>1977</v>
      </c>
      <c r="N152" s="220">
        <f t="shared" si="157"/>
        <v>2185</v>
      </c>
      <c r="O152" s="220">
        <f t="shared" si="157"/>
        <v>2375</v>
      </c>
      <c r="P152" s="220">
        <f t="shared" si="161"/>
        <v>2000</v>
      </c>
      <c r="Q152" s="220">
        <f t="shared" si="162"/>
        <v>2000</v>
      </c>
      <c r="R152" s="220">
        <f t="shared" si="163"/>
        <v>2000</v>
      </c>
      <c r="S152" s="220">
        <f t="shared" si="164"/>
        <v>2000</v>
      </c>
      <c r="T152" s="220">
        <f t="shared" si="165"/>
        <v>2000</v>
      </c>
      <c r="U152" s="220">
        <f t="shared" si="166"/>
        <v>435</v>
      </c>
      <c r="V152" s="220">
        <f t="shared" si="167"/>
        <v>219</v>
      </c>
      <c r="W152" s="220">
        <f t="shared" si="168"/>
        <v>-23</v>
      </c>
      <c r="X152" s="220">
        <f t="shared" si="169"/>
        <v>185</v>
      </c>
      <c r="Y152" s="220">
        <f t="shared" si="170"/>
        <v>375</v>
      </c>
      <c r="Z152" s="220">
        <v>0</v>
      </c>
      <c r="AA152" s="220">
        <v>0</v>
      </c>
      <c r="AB152" s="220">
        <v>0</v>
      </c>
      <c r="AC152" s="220">
        <v>0</v>
      </c>
      <c r="AD152" s="220">
        <v>0</v>
      </c>
      <c r="AE152" s="220">
        <f t="shared" si="171"/>
        <v>-218</v>
      </c>
      <c r="AF152" s="220">
        <f t="shared" si="172"/>
        <v>-364</v>
      </c>
      <c r="AG152" s="220">
        <f t="shared" si="173"/>
        <v>-484</v>
      </c>
      <c r="AH152" s="220">
        <f t="shared" si="174"/>
        <v>-309</v>
      </c>
      <c r="AI152" s="220">
        <f t="shared" si="175"/>
        <v>-188</v>
      </c>
      <c r="AJ152" s="50">
        <f t="shared" si="140"/>
        <v>2.3730000000000042</v>
      </c>
      <c r="AK152" s="257"/>
      <c r="AL152" s="257">
        <f t="shared" si="141"/>
        <v>1.2</v>
      </c>
      <c r="AM152" s="52"/>
      <c r="AN152" s="88"/>
    </row>
    <row r="153" spans="1:40" s="29" customFormat="1" ht="17.25" customHeight="1">
      <c r="A153" s="48">
        <v>182</v>
      </c>
      <c r="B153" s="49">
        <f t="shared" si="158"/>
        <v>45696</v>
      </c>
      <c r="C153" s="220">
        <f t="shared" si="159"/>
        <v>1049</v>
      </c>
      <c r="D153" s="220">
        <f t="shared" si="209"/>
        <v>2135</v>
      </c>
      <c r="E153" s="220">
        <f t="shared" si="215"/>
        <v>3184</v>
      </c>
      <c r="F153" s="220">
        <f t="shared" si="149"/>
        <v>749</v>
      </c>
      <c r="G153" s="220">
        <f t="shared" si="150"/>
        <v>965</v>
      </c>
      <c r="H153" s="220">
        <f t="shared" si="151"/>
        <v>1208</v>
      </c>
      <c r="I153" s="220">
        <f t="shared" si="152"/>
        <v>999</v>
      </c>
      <c r="J153" s="220">
        <f t="shared" si="153"/>
        <v>809</v>
      </c>
      <c r="K153" s="220">
        <f t="shared" si="154"/>
        <v>2435</v>
      </c>
      <c r="L153" s="220">
        <f t="shared" si="155"/>
        <v>2219</v>
      </c>
      <c r="M153" s="220">
        <f t="shared" si="156"/>
        <v>1976</v>
      </c>
      <c r="N153" s="220">
        <f t="shared" si="157"/>
        <v>2185</v>
      </c>
      <c r="O153" s="220">
        <f t="shared" si="157"/>
        <v>2375</v>
      </c>
      <c r="P153" s="220">
        <f t="shared" si="161"/>
        <v>2000</v>
      </c>
      <c r="Q153" s="220">
        <f t="shared" si="162"/>
        <v>2000</v>
      </c>
      <c r="R153" s="220">
        <f t="shared" si="163"/>
        <v>2000</v>
      </c>
      <c r="S153" s="220">
        <f t="shared" si="164"/>
        <v>2000</v>
      </c>
      <c r="T153" s="220">
        <f t="shared" si="165"/>
        <v>2000</v>
      </c>
      <c r="U153" s="220">
        <f t="shared" si="166"/>
        <v>435</v>
      </c>
      <c r="V153" s="220">
        <f t="shared" si="167"/>
        <v>219</v>
      </c>
      <c r="W153" s="220">
        <f t="shared" si="168"/>
        <v>-24</v>
      </c>
      <c r="X153" s="220">
        <f t="shared" si="169"/>
        <v>185</v>
      </c>
      <c r="Y153" s="220">
        <f t="shared" si="170"/>
        <v>375</v>
      </c>
      <c r="Z153" s="220">
        <v>0</v>
      </c>
      <c r="AA153" s="220">
        <v>0</v>
      </c>
      <c r="AB153" s="220">
        <v>1</v>
      </c>
      <c r="AC153" s="220">
        <v>0</v>
      </c>
      <c r="AD153" s="220">
        <v>0</v>
      </c>
      <c r="AE153" s="220">
        <f t="shared" si="171"/>
        <v>-218</v>
      </c>
      <c r="AF153" s="220">
        <f t="shared" si="172"/>
        <v>-364</v>
      </c>
      <c r="AG153" s="220">
        <f t="shared" si="173"/>
        <v>-485</v>
      </c>
      <c r="AH153" s="220">
        <f t="shared" si="174"/>
        <v>-309</v>
      </c>
      <c r="AI153" s="220">
        <f t="shared" si="175"/>
        <v>-188</v>
      </c>
      <c r="AJ153" s="50">
        <f t="shared" si="140"/>
        <v>2.3720000000000043</v>
      </c>
      <c r="AK153" s="257"/>
      <c r="AL153" s="257">
        <f t="shared" si="141"/>
        <v>1.2</v>
      </c>
      <c r="AM153" s="52"/>
      <c r="AN153" s="88"/>
    </row>
    <row r="154" spans="1:40" s="29" customFormat="1" ht="17.25" customHeight="1">
      <c r="A154" s="48">
        <v>183</v>
      </c>
      <c r="B154" s="49">
        <f t="shared" si="158"/>
        <v>45697</v>
      </c>
      <c r="C154" s="220">
        <f t="shared" si="159"/>
        <v>1049</v>
      </c>
      <c r="D154" s="220">
        <f t="shared" si="210"/>
        <v>2150</v>
      </c>
      <c r="E154" s="220">
        <f t="shared" si="215"/>
        <v>3199</v>
      </c>
      <c r="F154" s="220">
        <f t="shared" si="149"/>
        <v>765</v>
      </c>
      <c r="G154" s="220">
        <f t="shared" si="150"/>
        <v>983</v>
      </c>
      <c r="H154" s="220">
        <f t="shared" si="151"/>
        <v>1227</v>
      </c>
      <c r="I154" s="220">
        <f t="shared" si="152"/>
        <v>1016</v>
      </c>
      <c r="J154" s="220">
        <f t="shared" si="153"/>
        <v>824</v>
      </c>
      <c r="K154" s="220">
        <f t="shared" si="154"/>
        <v>2434</v>
      </c>
      <c r="L154" s="220">
        <f t="shared" si="155"/>
        <v>2216</v>
      </c>
      <c r="M154" s="220">
        <f t="shared" si="156"/>
        <v>1972</v>
      </c>
      <c r="N154" s="220">
        <f t="shared" si="157"/>
        <v>2183</v>
      </c>
      <c r="O154" s="220">
        <f t="shared" si="157"/>
        <v>2375</v>
      </c>
      <c r="P154" s="220">
        <f t="shared" si="161"/>
        <v>2000</v>
      </c>
      <c r="Q154" s="220">
        <f t="shared" si="162"/>
        <v>2000</v>
      </c>
      <c r="R154" s="220">
        <f t="shared" si="163"/>
        <v>2000</v>
      </c>
      <c r="S154" s="220">
        <f t="shared" si="164"/>
        <v>2000</v>
      </c>
      <c r="T154" s="220">
        <f t="shared" si="165"/>
        <v>2000</v>
      </c>
      <c r="U154" s="220">
        <f t="shared" si="166"/>
        <v>434</v>
      </c>
      <c r="V154" s="220">
        <f t="shared" si="167"/>
        <v>216</v>
      </c>
      <c r="W154" s="220">
        <f t="shared" si="168"/>
        <v>-28</v>
      </c>
      <c r="X154" s="220">
        <f t="shared" si="169"/>
        <v>183</v>
      </c>
      <c r="Y154" s="220">
        <f t="shared" si="170"/>
        <v>375</v>
      </c>
      <c r="Z154" s="220">
        <v>1</v>
      </c>
      <c r="AA154" s="220">
        <v>3</v>
      </c>
      <c r="AB154" s="220">
        <v>4</v>
      </c>
      <c r="AC154" s="220">
        <v>2</v>
      </c>
      <c r="AD154" s="220">
        <v>0</v>
      </c>
      <c r="AE154" s="220">
        <f t="shared" si="171"/>
        <v>-219</v>
      </c>
      <c r="AF154" s="220">
        <f t="shared" si="172"/>
        <v>-367</v>
      </c>
      <c r="AG154" s="220">
        <f t="shared" si="173"/>
        <v>-489</v>
      </c>
      <c r="AH154" s="220">
        <f t="shared" si="174"/>
        <v>-311</v>
      </c>
      <c r="AI154" s="220">
        <f t="shared" si="175"/>
        <v>-188</v>
      </c>
      <c r="AJ154" s="50">
        <f t="shared" si="140"/>
        <v>2.3680000000000043</v>
      </c>
      <c r="AK154" s="257"/>
      <c r="AL154" s="257">
        <f t="shared" si="141"/>
        <v>1.2</v>
      </c>
      <c r="AM154" s="52"/>
      <c r="AN154" s="88"/>
    </row>
    <row r="155" spans="1:40" s="29" customFormat="1" ht="17.25" customHeight="1">
      <c r="A155" s="48">
        <v>184</v>
      </c>
      <c r="B155" s="49">
        <f t="shared" si="158"/>
        <v>45698</v>
      </c>
      <c r="C155" s="220">
        <f t="shared" si="159"/>
        <v>1049</v>
      </c>
      <c r="D155" s="220">
        <f t="shared" si="219"/>
        <v>2176</v>
      </c>
      <c r="E155" s="220">
        <f t="shared" si="215"/>
        <v>3225</v>
      </c>
      <c r="F155" s="220">
        <f t="shared" si="149"/>
        <v>791</v>
      </c>
      <c r="G155" s="220">
        <f t="shared" si="150"/>
        <v>1009</v>
      </c>
      <c r="H155" s="220">
        <f t="shared" si="151"/>
        <v>1256</v>
      </c>
      <c r="I155" s="220">
        <f t="shared" si="152"/>
        <v>1042</v>
      </c>
      <c r="J155" s="220">
        <f t="shared" si="153"/>
        <v>850</v>
      </c>
      <c r="K155" s="220">
        <f t="shared" si="154"/>
        <v>2434</v>
      </c>
      <c r="L155" s="220">
        <f t="shared" si="155"/>
        <v>2216</v>
      </c>
      <c r="M155" s="220">
        <f t="shared" si="156"/>
        <v>1969</v>
      </c>
      <c r="N155" s="220">
        <f t="shared" si="157"/>
        <v>2183</v>
      </c>
      <c r="O155" s="220">
        <f t="shared" si="157"/>
        <v>2375</v>
      </c>
      <c r="P155" s="220">
        <f t="shared" si="161"/>
        <v>2000</v>
      </c>
      <c r="Q155" s="220">
        <f t="shared" si="162"/>
        <v>2000</v>
      </c>
      <c r="R155" s="220">
        <f t="shared" si="163"/>
        <v>2000</v>
      </c>
      <c r="S155" s="220">
        <f t="shared" si="164"/>
        <v>2000</v>
      </c>
      <c r="T155" s="220">
        <f t="shared" si="165"/>
        <v>2000</v>
      </c>
      <c r="U155" s="220">
        <f t="shared" si="166"/>
        <v>434</v>
      </c>
      <c r="V155" s="220">
        <f t="shared" si="167"/>
        <v>216</v>
      </c>
      <c r="W155" s="220">
        <f t="shared" si="168"/>
        <v>-31</v>
      </c>
      <c r="X155" s="220">
        <f t="shared" si="169"/>
        <v>183</v>
      </c>
      <c r="Y155" s="220">
        <f t="shared" si="170"/>
        <v>375</v>
      </c>
      <c r="Z155" s="220">
        <v>0</v>
      </c>
      <c r="AA155" s="220">
        <v>0</v>
      </c>
      <c r="AB155" s="220">
        <v>3</v>
      </c>
      <c r="AC155" s="220">
        <v>0</v>
      </c>
      <c r="AD155" s="220">
        <v>0</v>
      </c>
      <c r="AE155" s="220">
        <f t="shared" si="171"/>
        <v>-219</v>
      </c>
      <c r="AF155" s="220">
        <f t="shared" si="172"/>
        <v>-367</v>
      </c>
      <c r="AG155" s="220">
        <f t="shared" si="173"/>
        <v>-492</v>
      </c>
      <c r="AH155" s="220">
        <f t="shared" si="174"/>
        <v>-311</v>
      </c>
      <c r="AI155" s="220">
        <f t="shared" si="175"/>
        <v>-188</v>
      </c>
      <c r="AJ155" s="50">
        <f t="shared" si="140"/>
        <v>2.3650000000000042</v>
      </c>
      <c r="AK155" s="257"/>
      <c r="AL155" s="257">
        <f t="shared" si="141"/>
        <v>1.2</v>
      </c>
      <c r="AM155" s="52"/>
      <c r="AN155" s="88"/>
    </row>
    <row r="156" spans="1:40" s="29" customFormat="1" ht="17.25" customHeight="1">
      <c r="A156" s="48">
        <v>185</v>
      </c>
      <c r="B156" s="49">
        <f t="shared" si="158"/>
        <v>45699</v>
      </c>
      <c r="C156" s="220">
        <f t="shared" si="159"/>
        <v>1049</v>
      </c>
      <c r="D156" s="220">
        <f t="shared" si="220"/>
        <v>2208</v>
      </c>
      <c r="E156" s="220">
        <f t="shared" si="215"/>
        <v>3257</v>
      </c>
      <c r="F156" s="220">
        <f t="shared" si="149"/>
        <v>824</v>
      </c>
      <c r="G156" s="220">
        <f t="shared" si="150"/>
        <v>1041</v>
      </c>
      <c r="H156" s="220">
        <f t="shared" si="151"/>
        <v>1292</v>
      </c>
      <c r="I156" s="220">
        <f t="shared" si="152"/>
        <v>1078</v>
      </c>
      <c r="J156" s="220">
        <f t="shared" si="153"/>
        <v>884</v>
      </c>
      <c r="K156" s="220">
        <f t="shared" si="154"/>
        <v>2433</v>
      </c>
      <c r="L156" s="220">
        <f t="shared" si="155"/>
        <v>2216</v>
      </c>
      <c r="M156" s="220">
        <f t="shared" si="156"/>
        <v>1965</v>
      </c>
      <c r="N156" s="220">
        <f t="shared" si="157"/>
        <v>2179</v>
      </c>
      <c r="O156" s="220">
        <f t="shared" si="157"/>
        <v>2373</v>
      </c>
      <c r="P156" s="220">
        <f t="shared" si="161"/>
        <v>2000</v>
      </c>
      <c r="Q156" s="220">
        <f t="shared" si="162"/>
        <v>2000</v>
      </c>
      <c r="R156" s="220">
        <f t="shared" si="163"/>
        <v>2000</v>
      </c>
      <c r="S156" s="220">
        <f t="shared" si="164"/>
        <v>2000</v>
      </c>
      <c r="T156" s="220">
        <f t="shared" si="165"/>
        <v>2000</v>
      </c>
      <c r="U156" s="220">
        <f t="shared" si="166"/>
        <v>433</v>
      </c>
      <c r="V156" s="220">
        <f t="shared" si="167"/>
        <v>216</v>
      </c>
      <c r="W156" s="220">
        <f t="shared" si="168"/>
        <v>-35</v>
      </c>
      <c r="X156" s="220">
        <f t="shared" si="169"/>
        <v>179</v>
      </c>
      <c r="Y156" s="220">
        <f t="shared" si="170"/>
        <v>373</v>
      </c>
      <c r="Z156" s="220">
        <v>1</v>
      </c>
      <c r="AA156" s="220">
        <v>0</v>
      </c>
      <c r="AB156" s="220">
        <v>4</v>
      </c>
      <c r="AC156" s="220">
        <v>4</v>
      </c>
      <c r="AD156" s="220">
        <v>2</v>
      </c>
      <c r="AE156" s="220">
        <f t="shared" si="171"/>
        <v>-220</v>
      </c>
      <c r="AF156" s="220">
        <f t="shared" si="172"/>
        <v>-367</v>
      </c>
      <c r="AG156" s="220">
        <f t="shared" si="173"/>
        <v>-496</v>
      </c>
      <c r="AH156" s="220">
        <f t="shared" si="174"/>
        <v>-315</v>
      </c>
      <c r="AI156" s="220">
        <f t="shared" si="175"/>
        <v>-190</v>
      </c>
      <c r="AJ156" s="50">
        <f t="shared" si="140"/>
        <v>2.3610000000000042</v>
      </c>
      <c r="AK156" s="257"/>
      <c r="AL156" s="257">
        <f t="shared" si="141"/>
        <v>1.2</v>
      </c>
      <c r="AM156" s="52"/>
      <c r="AN156" s="88"/>
    </row>
    <row r="157" spans="1:40" s="29" customFormat="1" ht="17.25" customHeight="1">
      <c r="A157" s="48">
        <v>186</v>
      </c>
      <c r="B157" s="49">
        <f t="shared" si="158"/>
        <v>45700</v>
      </c>
      <c r="C157" s="220">
        <f t="shared" si="159"/>
        <v>1049</v>
      </c>
      <c r="D157" s="220">
        <f t="shared" si="221"/>
        <v>2190</v>
      </c>
      <c r="E157" s="220">
        <f t="shared" si="215"/>
        <v>3239</v>
      </c>
      <c r="F157" s="220">
        <f t="shared" si="149"/>
        <v>806</v>
      </c>
      <c r="G157" s="220">
        <f t="shared" si="150"/>
        <v>1024</v>
      </c>
      <c r="H157" s="220">
        <f t="shared" si="151"/>
        <v>1278</v>
      </c>
      <c r="I157" s="220">
        <f t="shared" si="152"/>
        <v>1063</v>
      </c>
      <c r="J157" s="220">
        <f t="shared" si="153"/>
        <v>866</v>
      </c>
      <c r="K157" s="220">
        <f t="shared" si="154"/>
        <v>2433</v>
      </c>
      <c r="L157" s="220">
        <f t="shared" si="155"/>
        <v>2215</v>
      </c>
      <c r="M157" s="220">
        <f t="shared" si="156"/>
        <v>1961</v>
      </c>
      <c r="N157" s="220">
        <f t="shared" si="157"/>
        <v>2176</v>
      </c>
      <c r="O157" s="220">
        <f t="shared" si="157"/>
        <v>2373</v>
      </c>
      <c r="P157" s="220">
        <f t="shared" si="161"/>
        <v>2000</v>
      </c>
      <c r="Q157" s="220">
        <f t="shared" si="162"/>
        <v>2000</v>
      </c>
      <c r="R157" s="220">
        <f t="shared" si="163"/>
        <v>2000</v>
      </c>
      <c r="S157" s="220">
        <f t="shared" si="164"/>
        <v>2000</v>
      </c>
      <c r="T157" s="220">
        <f t="shared" si="165"/>
        <v>2000</v>
      </c>
      <c r="U157" s="220">
        <f t="shared" si="166"/>
        <v>433</v>
      </c>
      <c r="V157" s="220">
        <f t="shared" si="167"/>
        <v>215</v>
      </c>
      <c r="W157" s="220">
        <f t="shared" si="168"/>
        <v>-39</v>
      </c>
      <c r="X157" s="220">
        <f t="shared" si="169"/>
        <v>176</v>
      </c>
      <c r="Y157" s="220">
        <f t="shared" si="170"/>
        <v>373</v>
      </c>
      <c r="Z157" s="220">
        <v>0</v>
      </c>
      <c r="AA157" s="220">
        <v>1</v>
      </c>
      <c r="AB157" s="220">
        <v>4</v>
      </c>
      <c r="AC157" s="220">
        <v>3</v>
      </c>
      <c r="AD157" s="220">
        <v>0</v>
      </c>
      <c r="AE157" s="220">
        <f t="shared" si="171"/>
        <v>-220</v>
      </c>
      <c r="AF157" s="220">
        <f t="shared" si="172"/>
        <v>-368</v>
      </c>
      <c r="AG157" s="220">
        <f t="shared" si="173"/>
        <v>-500</v>
      </c>
      <c r="AH157" s="220">
        <f t="shared" si="174"/>
        <v>-318</v>
      </c>
      <c r="AI157" s="220">
        <f t="shared" si="175"/>
        <v>-190</v>
      </c>
      <c r="AJ157" s="50">
        <f t="shared" si="140"/>
        <v>2.3570000000000042</v>
      </c>
      <c r="AK157" s="257"/>
      <c r="AL157" s="257">
        <f t="shared" si="141"/>
        <v>1.2</v>
      </c>
      <c r="AM157" s="52"/>
      <c r="AN157" s="88"/>
    </row>
    <row r="158" spans="1:40" s="29" customFormat="1" ht="17.25" customHeight="1">
      <c r="A158" s="48">
        <v>187</v>
      </c>
      <c r="B158" s="49">
        <f t="shared" si="158"/>
        <v>45701</v>
      </c>
      <c r="C158" s="220">
        <f t="shared" si="159"/>
        <v>1049</v>
      </c>
      <c r="D158" s="220">
        <f t="shared" si="222"/>
        <v>2164</v>
      </c>
      <c r="E158" s="220">
        <f t="shared" si="215"/>
        <v>3213</v>
      </c>
      <c r="F158" s="220">
        <f t="shared" si="149"/>
        <v>781</v>
      </c>
      <c r="G158" s="220">
        <f t="shared" si="150"/>
        <v>1000</v>
      </c>
      <c r="H158" s="220">
        <f t="shared" si="151"/>
        <v>1258</v>
      </c>
      <c r="I158" s="220">
        <f t="shared" si="152"/>
        <v>1037</v>
      </c>
      <c r="J158" s="220">
        <f t="shared" si="153"/>
        <v>840</v>
      </c>
      <c r="K158" s="220">
        <f t="shared" si="154"/>
        <v>2432</v>
      </c>
      <c r="L158" s="220">
        <f t="shared" si="155"/>
        <v>2213</v>
      </c>
      <c r="M158" s="220">
        <f t="shared" si="156"/>
        <v>1955</v>
      </c>
      <c r="N158" s="220">
        <f t="shared" si="157"/>
        <v>2176</v>
      </c>
      <c r="O158" s="220">
        <f t="shared" si="157"/>
        <v>2373</v>
      </c>
      <c r="P158" s="220">
        <f t="shared" si="161"/>
        <v>2000</v>
      </c>
      <c r="Q158" s="220">
        <f t="shared" si="162"/>
        <v>2000</v>
      </c>
      <c r="R158" s="220">
        <f t="shared" si="163"/>
        <v>2000</v>
      </c>
      <c r="S158" s="220">
        <f t="shared" si="164"/>
        <v>2000</v>
      </c>
      <c r="T158" s="220">
        <f t="shared" si="165"/>
        <v>2000</v>
      </c>
      <c r="U158" s="220">
        <f t="shared" si="166"/>
        <v>432</v>
      </c>
      <c r="V158" s="220">
        <f t="shared" si="167"/>
        <v>213</v>
      </c>
      <c r="W158" s="220">
        <f t="shared" si="168"/>
        <v>-45</v>
      </c>
      <c r="X158" s="220">
        <f t="shared" si="169"/>
        <v>176</v>
      </c>
      <c r="Y158" s="220">
        <f t="shared" si="170"/>
        <v>373</v>
      </c>
      <c r="Z158" s="220">
        <v>1</v>
      </c>
      <c r="AA158" s="220">
        <v>2</v>
      </c>
      <c r="AB158" s="220">
        <v>6</v>
      </c>
      <c r="AC158" s="220">
        <v>0</v>
      </c>
      <c r="AD158" s="220">
        <v>0</v>
      </c>
      <c r="AE158" s="220">
        <f t="shared" si="171"/>
        <v>-221</v>
      </c>
      <c r="AF158" s="220">
        <f t="shared" si="172"/>
        <v>-370</v>
      </c>
      <c r="AG158" s="220">
        <f t="shared" si="173"/>
        <v>-506</v>
      </c>
      <c r="AH158" s="220">
        <f t="shared" si="174"/>
        <v>-318</v>
      </c>
      <c r="AI158" s="220">
        <f t="shared" si="175"/>
        <v>-190</v>
      </c>
      <c r="AJ158" s="50">
        <f t="shared" si="140"/>
        <v>2.3510000000000044</v>
      </c>
      <c r="AK158" s="257"/>
      <c r="AL158" s="257">
        <f t="shared" si="141"/>
        <v>1.2</v>
      </c>
      <c r="AM158" s="52"/>
      <c r="AN158" s="88"/>
    </row>
    <row r="159" spans="1:40" s="29" customFormat="1" ht="17.25" customHeight="1">
      <c r="A159" s="48">
        <v>188</v>
      </c>
      <c r="B159" s="49">
        <f t="shared" si="158"/>
        <v>45702</v>
      </c>
      <c r="C159" s="220">
        <f t="shared" si="159"/>
        <v>1049</v>
      </c>
      <c r="D159" s="220">
        <f t="shared" si="223"/>
        <v>2179</v>
      </c>
      <c r="E159" s="220">
        <f t="shared" ref="E159:E173" si="225">+C159+D159</f>
        <v>3228</v>
      </c>
      <c r="F159" s="220">
        <f t="shared" si="149"/>
        <v>801</v>
      </c>
      <c r="G159" s="220">
        <f t="shared" si="150"/>
        <v>1015</v>
      </c>
      <c r="H159" s="220">
        <f t="shared" si="151"/>
        <v>1274</v>
      </c>
      <c r="I159" s="220">
        <f t="shared" si="152"/>
        <v>1056</v>
      </c>
      <c r="J159" s="220">
        <f t="shared" si="153"/>
        <v>856</v>
      </c>
      <c r="K159" s="220">
        <f t="shared" si="154"/>
        <v>2427</v>
      </c>
      <c r="L159" s="220">
        <f t="shared" si="155"/>
        <v>2213</v>
      </c>
      <c r="M159" s="220">
        <f t="shared" si="156"/>
        <v>1954</v>
      </c>
      <c r="N159" s="220">
        <f t="shared" si="157"/>
        <v>2172</v>
      </c>
      <c r="O159" s="220">
        <f t="shared" si="157"/>
        <v>2372</v>
      </c>
      <c r="P159" s="220">
        <f t="shared" si="161"/>
        <v>2000</v>
      </c>
      <c r="Q159" s="220">
        <f t="shared" si="162"/>
        <v>2000</v>
      </c>
      <c r="R159" s="220">
        <f t="shared" si="163"/>
        <v>2000</v>
      </c>
      <c r="S159" s="220">
        <f t="shared" si="164"/>
        <v>2000</v>
      </c>
      <c r="T159" s="220">
        <f t="shared" si="165"/>
        <v>2000</v>
      </c>
      <c r="U159" s="220">
        <f t="shared" si="166"/>
        <v>427</v>
      </c>
      <c r="V159" s="220">
        <f t="shared" si="167"/>
        <v>213</v>
      </c>
      <c r="W159" s="220">
        <f t="shared" si="168"/>
        <v>-46</v>
      </c>
      <c r="X159" s="220">
        <f t="shared" si="169"/>
        <v>172</v>
      </c>
      <c r="Y159" s="220">
        <f t="shared" si="170"/>
        <v>372</v>
      </c>
      <c r="Z159" s="220">
        <v>5</v>
      </c>
      <c r="AA159" s="220">
        <v>0</v>
      </c>
      <c r="AB159" s="220">
        <v>1</v>
      </c>
      <c r="AC159" s="220">
        <v>4</v>
      </c>
      <c r="AD159" s="220">
        <v>1</v>
      </c>
      <c r="AE159" s="220">
        <f t="shared" si="171"/>
        <v>-226</v>
      </c>
      <c r="AF159" s="220">
        <f t="shared" si="172"/>
        <v>-370</v>
      </c>
      <c r="AG159" s="220">
        <f t="shared" si="173"/>
        <v>-507</v>
      </c>
      <c r="AH159" s="220">
        <f t="shared" si="174"/>
        <v>-322</v>
      </c>
      <c r="AI159" s="220">
        <f t="shared" si="175"/>
        <v>-191</v>
      </c>
      <c r="AJ159" s="50">
        <f t="shared" ref="AJ159:AJ222" si="226">AJ158-AB159/1000+AK160</f>
        <v>2.3500000000000045</v>
      </c>
      <c r="AK159" s="257"/>
      <c r="AL159" s="257">
        <f t="shared" ref="AL159:AL222" si="227">AL158+AK160</f>
        <v>1.2</v>
      </c>
      <c r="AM159" s="52"/>
      <c r="AN159" s="88"/>
    </row>
    <row r="160" spans="1:40" s="29" customFormat="1" ht="17.25" customHeight="1">
      <c r="A160" s="48">
        <v>189</v>
      </c>
      <c r="B160" s="49">
        <f t="shared" si="158"/>
        <v>45703</v>
      </c>
      <c r="C160" s="220">
        <f t="shared" si="159"/>
        <v>1049</v>
      </c>
      <c r="D160" s="220">
        <f t="shared" si="224"/>
        <v>2205</v>
      </c>
      <c r="E160" s="220">
        <f t="shared" si="225"/>
        <v>3254</v>
      </c>
      <c r="F160" s="220">
        <f t="shared" si="149"/>
        <v>828</v>
      </c>
      <c r="G160" s="220">
        <f t="shared" si="150"/>
        <v>1042</v>
      </c>
      <c r="H160" s="220">
        <f t="shared" si="151"/>
        <v>1304</v>
      </c>
      <c r="I160" s="220">
        <f t="shared" si="152"/>
        <v>1082</v>
      </c>
      <c r="J160" s="220">
        <f t="shared" si="153"/>
        <v>884</v>
      </c>
      <c r="K160" s="220">
        <f t="shared" si="154"/>
        <v>2426</v>
      </c>
      <c r="L160" s="220">
        <f t="shared" si="155"/>
        <v>2212</v>
      </c>
      <c r="M160" s="220">
        <f t="shared" si="156"/>
        <v>1950</v>
      </c>
      <c r="N160" s="220">
        <f t="shared" si="157"/>
        <v>2172</v>
      </c>
      <c r="O160" s="220">
        <f t="shared" si="157"/>
        <v>2370</v>
      </c>
      <c r="P160" s="220">
        <f t="shared" si="161"/>
        <v>2000</v>
      </c>
      <c r="Q160" s="220">
        <f t="shared" si="162"/>
        <v>2000</v>
      </c>
      <c r="R160" s="220">
        <f t="shared" si="163"/>
        <v>2000</v>
      </c>
      <c r="S160" s="220">
        <f t="shared" si="164"/>
        <v>2000</v>
      </c>
      <c r="T160" s="220">
        <f t="shared" si="165"/>
        <v>2000</v>
      </c>
      <c r="U160" s="220">
        <f t="shared" si="166"/>
        <v>426</v>
      </c>
      <c r="V160" s="220">
        <f t="shared" si="167"/>
        <v>212</v>
      </c>
      <c r="W160" s="220">
        <f t="shared" si="168"/>
        <v>-50</v>
      </c>
      <c r="X160" s="220">
        <f t="shared" si="169"/>
        <v>172</v>
      </c>
      <c r="Y160" s="220">
        <f t="shared" si="170"/>
        <v>370</v>
      </c>
      <c r="Z160" s="220">
        <v>1</v>
      </c>
      <c r="AA160" s="220">
        <v>1</v>
      </c>
      <c r="AB160" s="220">
        <v>4</v>
      </c>
      <c r="AC160" s="220">
        <v>0</v>
      </c>
      <c r="AD160" s="220">
        <v>2</v>
      </c>
      <c r="AE160" s="220">
        <f t="shared" si="171"/>
        <v>-227</v>
      </c>
      <c r="AF160" s="220">
        <f t="shared" si="172"/>
        <v>-371</v>
      </c>
      <c r="AG160" s="220">
        <f t="shared" si="173"/>
        <v>-511</v>
      </c>
      <c r="AH160" s="220">
        <f t="shared" si="174"/>
        <v>-322</v>
      </c>
      <c r="AI160" s="220">
        <f t="shared" si="175"/>
        <v>-193</v>
      </c>
      <c r="AJ160" s="50">
        <f t="shared" si="226"/>
        <v>2.3460000000000045</v>
      </c>
      <c r="AK160" s="257"/>
      <c r="AL160" s="257">
        <f t="shared" si="227"/>
        <v>1.2</v>
      </c>
      <c r="AM160" s="52"/>
      <c r="AN160" s="88"/>
    </row>
    <row r="161" spans="1:41" s="29" customFormat="1" ht="17.25" customHeight="1">
      <c r="A161" s="48">
        <v>190</v>
      </c>
      <c r="B161" s="49">
        <f t="shared" si="158"/>
        <v>45704</v>
      </c>
      <c r="C161" s="220">
        <f t="shared" si="159"/>
        <v>1049</v>
      </c>
      <c r="D161" s="220">
        <f t="shared" si="209"/>
        <v>2179</v>
      </c>
      <c r="E161" s="220">
        <f t="shared" si="225"/>
        <v>3228</v>
      </c>
      <c r="F161" s="220">
        <f t="shared" si="149"/>
        <v>802</v>
      </c>
      <c r="G161" s="220">
        <f t="shared" si="150"/>
        <v>1020</v>
      </c>
      <c r="H161" s="220">
        <f t="shared" si="151"/>
        <v>1279</v>
      </c>
      <c r="I161" s="220">
        <f t="shared" si="152"/>
        <v>1059</v>
      </c>
      <c r="J161" s="220">
        <f t="shared" si="153"/>
        <v>858</v>
      </c>
      <c r="K161" s="220">
        <f t="shared" si="154"/>
        <v>2426</v>
      </c>
      <c r="L161" s="220">
        <f t="shared" si="155"/>
        <v>2208</v>
      </c>
      <c r="M161" s="220">
        <f t="shared" si="156"/>
        <v>1949</v>
      </c>
      <c r="N161" s="220">
        <f t="shared" si="157"/>
        <v>2169</v>
      </c>
      <c r="O161" s="220">
        <f t="shared" si="157"/>
        <v>2370</v>
      </c>
      <c r="P161" s="220">
        <f t="shared" si="161"/>
        <v>2000</v>
      </c>
      <c r="Q161" s="220">
        <f t="shared" si="162"/>
        <v>2000</v>
      </c>
      <c r="R161" s="220">
        <f t="shared" si="163"/>
        <v>2000</v>
      </c>
      <c r="S161" s="220">
        <f t="shared" si="164"/>
        <v>2000</v>
      </c>
      <c r="T161" s="220">
        <f t="shared" si="165"/>
        <v>2000</v>
      </c>
      <c r="U161" s="220">
        <f t="shared" si="166"/>
        <v>426</v>
      </c>
      <c r="V161" s="220">
        <f t="shared" si="167"/>
        <v>208</v>
      </c>
      <c r="W161" s="220">
        <f t="shared" si="168"/>
        <v>-51</v>
      </c>
      <c r="X161" s="220">
        <f t="shared" si="169"/>
        <v>169</v>
      </c>
      <c r="Y161" s="220">
        <f t="shared" si="170"/>
        <v>370</v>
      </c>
      <c r="Z161" s="220">
        <v>0</v>
      </c>
      <c r="AA161" s="220">
        <v>4</v>
      </c>
      <c r="AB161" s="220">
        <v>1</v>
      </c>
      <c r="AC161" s="220">
        <v>3</v>
      </c>
      <c r="AD161" s="220">
        <v>0</v>
      </c>
      <c r="AE161" s="220">
        <f t="shared" si="171"/>
        <v>-227</v>
      </c>
      <c r="AF161" s="220">
        <f t="shared" si="172"/>
        <v>-375</v>
      </c>
      <c r="AG161" s="220">
        <f t="shared" si="173"/>
        <v>-512</v>
      </c>
      <c r="AH161" s="220">
        <f t="shared" si="174"/>
        <v>-325</v>
      </c>
      <c r="AI161" s="220">
        <f t="shared" si="175"/>
        <v>-193</v>
      </c>
      <c r="AJ161" s="50">
        <f t="shared" si="226"/>
        <v>2.3450000000000046</v>
      </c>
      <c r="AK161" s="257"/>
      <c r="AL161" s="257">
        <f t="shared" si="227"/>
        <v>1.2</v>
      </c>
      <c r="AM161" s="52"/>
      <c r="AN161" s="88"/>
    </row>
    <row r="162" spans="1:41" s="29" customFormat="1" ht="17.25" customHeight="1">
      <c r="A162" s="48">
        <v>191</v>
      </c>
      <c r="B162" s="49">
        <f t="shared" si="158"/>
        <v>45705</v>
      </c>
      <c r="C162" s="220">
        <f t="shared" si="159"/>
        <v>1049</v>
      </c>
      <c r="D162" s="220">
        <f t="shared" si="210"/>
        <v>2194</v>
      </c>
      <c r="E162" s="220">
        <f t="shared" si="225"/>
        <v>3243</v>
      </c>
      <c r="F162" s="220">
        <f t="shared" si="149"/>
        <v>818</v>
      </c>
      <c r="G162" s="220">
        <f t="shared" si="150"/>
        <v>1036</v>
      </c>
      <c r="H162" s="220">
        <f t="shared" si="151"/>
        <v>1294</v>
      </c>
      <c r="I162" s="220">
        <f t="shared" si="152"/>
        <v>1075</v>
      </c>
      <c r="J162" s="220">
        <f t="shared" si="153"/>
        <v>873</v>
      </c>
      <c r="K162" s="220">
        <f t="shared" si="154"/>
        <v>2425</v>
      </c>
      <c r="L162" s="220">
        <f t="shared" si="155"/>
        <v>2207</v>
      </c>
      <c r="M162" s="220">
        <f t="shared" si="156"/>
        <v>1949</v>
      </c>
      <c r="N162" s="220">
        <f t="shared" si="157"/>
        <v>2168</v>
      </c>
      <c r="O162" s="220">
        <f t="shared" si="157"/>
        <v>2370</v>
      </c>
      <c r="P162" s="220">
        <f t="shared" si="161"/>
        <v>2000</v>
      </c>
      <c r="Q162" s="220">
        <f t="shared" si="162"/>
        <v>2000</v>
      </c>
      <c r="R162" s="220">
        <f t="shared" si="163"/>
        <v>2000</v>
      </c>
      <c r="S162" s="220">
        <f t="shared" si="164"/>
        <v>2000</v>
      </c>
      <c r="T162" s="220">
        <f t="shared" si="165"/>
        <v>2000</v>
      </c>
      <c r="U162" s="220">
        <f t="shared" si="166"/>
        <v>425</v>
      </c>
      <c r="V162" s="220">
        <f t="shared" si="167"/>
        <v>207</v>
      </c>
      <c r="W162" s="220">
        <f t="shared" si="168"/>
        <v>-51</v>
      </c>
      <c r="X162" s="220">
        <f t="shared" si="169"/>
        <v>168</v>
      </c>
      <c r="Y162" s="220">
        <f t="shared" si="170"/>
        <v>370</v>
      </c>
      <c r="Z162" s="220">
        <v>1</v>
      </c>
      <c r="AA162" s="220">
        <v>1</v>
      </c>
      <c r="AB162" s="220">
        <v>0</v>
      </c>
      <c r="AC162" s="220">
        <v>1</v>
      </c>
      <c r="AD162" s="220">
        <v>0</v>
      </c>
      <c r="AE162" s="220">
        <f t="shared" si="171"/>
        <v>-228</v>
      </c>
      <c r="AF162" s="220">
        <f t="shared" si="172"/>
        <v>-376</v>
      </c>
      <c r="AG162" s="220">
        <f t="shared" si="173"/>
        <v>-512</v>
      </c>
      <c r="AH162" s="220">
        <f t="shared" si="174"/>
        <v>-326</v>
      </c>
      <c r="AI162" s="220">
        <f t="shared" si="175"/>
        <v>-193</v>
      </c>
      <c r="AJ162" s="50">
        <f t="shared" si="226"/>
        <v>2.3450000000000046</v>
      </c>
      <c r="AK162" s="257"/>
      <c r="AL162" s="257">
        <f t="shared" si="227"/>
        <v>1.2</v>
      </c>
      <c r="AM162" s="52"/>
      <c r="AN162" s="88"/>
    </row>
    <row r="163" spans="1:41" s="29" customFormat="1" ht="17.25" customHeight="1">
      <c r="A163" s="48">
        <v>192</v>
      </c>
      <c r="B163" s="49">
        <f t="shared" si="158"/>
        <v>45706</v>
      </c>
      <c r="C163" s="220">
        <f t="shared" si="159"/>
        <v>1049</v>
      </c>
      <c r="D163" s="220">
        <f t="shared" si="219"/>
        <v>2220</v>
      </c>
      <c r="E163" s="220">
        <f t="shared" si="225"/>
        <v>3269</v>
      </c>
      <c r="F163" s="220">
        <f t="shared" si="149"/>
        <v>844</v>
      </c>
      <c r="G163" s="220">
        <f t="shared" si="150"/>
        <v>1064</v>
      </c>
      <c r="H163" s="220">
        <f t="shared" si="151"/>
        <v>1321</v>
      </c>
      <c r="I163" s="220">
        <f t="shared" si="152"/>
        <v>1103</v>
      </c>
      <c r="J163" s="220">
        <f t="shared" si="153"/>
        <v>899</v>
      </c>
      <c r="K163" s="220">
        <f t="shared" si="154"/>
        <v>2425</v>
      </c>
      <c r="L163" s="220">
        <f t="shared" si="155"/>
        <v>2205</v>
      </c>
      <c r="M163" s="220">
        <f t="shared" si="156"/>
        <v>1948</v>
      </c>
      <c r="N163" s="220">
        <f t="shared" si="157"/>
        <v>2166</v>
      </c>
      <c r="O163" s="220">
        <f t="shared" si="157"/>
        <v>2370</v>
      </c>
      <c r="P163" s="220">
        <f t="shared" si="161"/>
        <v>2000</v>
      </c>
      <c r="Q163" s="220">
        <f t="shared" si="162"/>
        <v>2000</v>
      </c>
      <c r="R163" s="220">
        <f t="shared" si="163"/>
        <v>2000</v>
      </c>
      <c r="S163" s="220">
        <f t="shared" si="164"/>
        <v>2000</v>
      </c>
      <c r="T163" s="220">
        <f t="shared" si="165"/>
        <v>2000</v>
      </c>
      <c r="U163" s="220">
        <f t="shared" si="166"/>
        <v>425</v>
      </c>
      <c r="V163" s="220">
        <f t="shared" si="167"/>
        <v>205</v>
      </c>
      <c r="W163" s="220">
        <f t="shared" si="168"/>
        <v>-52</v>
      </c>
      <c r="X163" s="220">
        <f t="shared" si="169"/>
        <v>166</v>
      </c>
      <c r="Y163" s="220">
        <f t="shared" si="170"/>
        <v>370</v>
      </c>
      <c r="Z163" s="220">
        <v>0</v>
      </c>
      <c r="AA163" s="220">
        <v>2</v>
      </c>
      <c r="AB163" s="220">
        <v>1</v>
      </c>
      <c r="AC163" s="220">
        <v>2</v>
      </c>
      <c r="AD163" s="220">
        <v>0</v>
      </c>
      <c r="AE163" s="220">
        <f t="shared" si="171"/>
        <v>-228</v>
      </c>
      <c r="AF163" s="220">
        <f t="shared" si="172"/>
        <v>-378</v>
      </c>
      <c r="AG163" s="220">
        <f t="shared" si="173"/>
        <v>-513</v>
      </c>
      <c r="AH163" s="220">
        <f t="shared" si="174"/>
        <v>-328</v>
      </c>
      <c r="AI163" s="220">
        <f t="shared" si="175"/>
        <v>-193</v>
      </c>
      <c r="AJ163" s="50">
        <f t="shared" si="226"/>
        <v>2.3440000000000047</v>
      </c>
      <c r="AK163" s="257"/>
      <c r="AL163" s="257">
        <f t="shared" si="227"/>
        <v>1.2</v>
      </c>
      <c r="AM163" s="52"/>
      <c r="AN163" s="88"/>
    </row>
    <row r="164" spans="1:41" s="29" customFormat="1" ht="17.25" customHeight="1">
      <c r="A164" s="48">
        <v>193</v>
      </c>
      <c r="B164" s="49">
        <f t="shared" si="158"/>
        <v>45707</v>
      </c>
      <c r="C164" s="220">
        <f t="shared" si="159"/>
        <v>1049</v>
      </c>
      <c r="D164" s="220">
        <f t="shared" si="220"/>
        <v>2252</v>
      </c>
      <c r="E164" s="220">
        <f t="shared" si="225"/>
        <v>3301</v>
      </c>
      <c r="F164" s="220">
        <f t="shared" si="149"/>
        <v>876</v>
      </c>
      <c r="G164" s="220">
        <f t="shared" si="150"/>
        <v>1096</v>
      </c>
      <c r="H164" s="220">
        <f t="shared" si="151"/>
        <v>1357</v>
      </c>
      <c r="I164" s="220">
        <f t="shared" si="152"/>
        <v>1135</v>
      </c>
      <c r="J164" s="220">
        <f t="shared" si="153"/>
        <v>934</v>
      </c>
      <c r="K164" s="220">
        <f t="shared" si="154"/>
        <v>2425</v>
      </c>
      <c r="L164" s="220">
        <f t="shared" si="155"/>
        <v>2205</v>
      </c>
      <c r="M164" s="220">
        <f t="shared" si="156"/>
        <v>1944</v>
      </c>
      <c r="N164" s="220">
        <f t="shared" si="157"/>
        <v>2166</v>
      </c>
      <c r="O164" s="220">
        <f t="shared" si="157"/>
        <v>2367</v>
      </c>
      <c r="P164" s="220">
        <f t="shared" si="161"/>
        <v>2000</v>
      </c>
      <c r="Q164" s="220">
        <f t="shared" si="162"/>
        <v>2000</v>
      </c>
      <c r="R164" s="220">
        <f t="shared" si="163"/>
        <v>2000</v>
      </c>
      <c r="S164" s="220">
        <f t="shared" si="164"/>
        <v>2000</v>
      </c>
      <c r="T164" s="220">
        <f t="shared" si="165"/>
        <v>2000</v>
      </c>
      <c r="U164" s="220">
        <f t="shared" si="166"/>
        <v>425</v>
      </c>
      <c r="V164" s="220">
        <f t="shared" si="167"/>
        <v>205</v>
      </c>
      <c r="W164" s="220">
        <f t="shared" si="168"/>
        <v>-56</v>
      </c>
      <c r="X164" s="220">
        <f t="shared" si="169"/>
        <v>166</v>
      </c>
      <c r="Y164" s="220">
        <f t="shared" si="170"/>
        <v>367</v>
      </c>
      <c r="Z164" s="220">
        <v>0</v>
      </c>
      <c r="AA164" s="220">
        <v>0</v>
      </c>
      <c r="AB164" s="220">
        <v>4</v>
      </c>
      <c r="AC164" s="220">
        <v>0</v>
      </c>
      <c r="AD164" s="220">
        <v>3</v>
      </c>
      <c r="AE164" s="220">
        <f t="shared" si="171"/>
        <v>-228</v>
      </c>
      <c r="AF164" s="220">
        <f t="shared" si="172"/>
        <v>-378</v>
      </c>
      <c r="AG164" s="220">
        <f t="shared" si="173"/>
        <v>-517</v>
      </c>
      <c r="AH164" s="220">
        <f t="shared" si="174"/>
        <v>-328</v>
      </c>
      <c r="AI164" s="220">
        <f t="shared" si="175"/>
        <v>-196</v>
      </c>
      <c r="AJ164" s="50">
        <f t="shared" si="226"/>
        <v>2.3400000000000047</v>
      </c>
      <c r="AK164" s="257"/>
      <c r="AL164" s="257">
        <f t="shared" si="227"/>
        <v>1.2</v>
      </c>
      <c r="AM164" s="52"/>
      <c r="AN164" s="88"/>
    </row>
    <row r="165" spans="1:41" s="29" customFormat="1" ht="17.25" customHeight="1">
      <c r="A165" s="48">
        <v>194</v>
      </c>
      <c r="B165" s="49">
        <f t="shared" si="158"/>
        <v>45708</v>
      </c>
      <c r="C165" s="220">
        <f t="shared" si="159"/>
        <v>1049</v>
      </c>
      <c r="D165" s="220">
        <f t="shared" si="221"/>
        <v>2234</v>
      </c>
      <c r="E165" s="220">
        <f t="shared" si="225"/>
        <v>3283</v>
      </c>
      <c r="F165" s="220">
        <f t="shared" ref="F165:F217" si="228">E165-K165</f>
        <v>858</v>
      </c>
      <c r="G165" s="220">
        <f t="shared" ref="G165:G217" si="229">E165-L165</f>
        <v>1080</v>
      </c>
      <c r="H165" s="220">
        <f t="shared" ref="H165:H217" si="230">E165-M165</f>
        <v>1340</v>
      </c>
      <c r="I165" s="220">
        <f t="shared" ref="I165:I217" si="231">E165-N165</f>
        <v>1118</v>
      </c>
      <c r="J165" s="220">
        <f t="shared" ref="J165:J217" si="232">E165-O165</f>
        <v>916</v>
      </c>
      <c r="K165" s="220">
        <f t="shared" ref="K165:K217" si="233">P165+U165</f>
        <v>2425</v>
      </c>
      <c r="L165" s="220">
        <f t="shared" ref="L165:L217" si="234">Q165+V165</f>
        <v>2203</v>
      </c>
      <c r="M165" s="220">
        <f t="shared" ref="M165:M217" si="235">R165+W165</f>
        <v>1943</v>
      </c>
      <c r="N165" s="220">
        <f t="shared" ref="N165:O217" si="236">S165+X165</f>
        <v>2165</v>
      </c>
      <c r="O165" s="220">
        <f t="shared" si="236"/>
        <v>2367</v>
      </c>
      <c r="P165" s="220">
        <f t="shared" si="161"/>
        <v>2000</v>
      </c>
      <c r="Q165" s="220">
        <f t="shared" si="162"/>
        <v>2000</v>
      </c>
      <c r="R165" s="220">
        <f t="shared" si="163"/>
        <v>2000</v>
      </c>
      <c r="S165" s="220">
        <f t="shared" si="164"/>
        <v>2000</v>
      </c>
      <c r="T165" s="220">
        <f t="shared" si="165"/>
        <v>2000</v>
      </c>
      <c r="U165" s="220">
        <f t="shared" si="166"/>
        <v>425</v>
      </c>
      <c r="V165" s="220">
        <f t="shared" si="167"/>
        <v>203</v>
      </c>
      <c r="W165" s="220">
        <f t="shared" si="168"/>
        <v>-57</v>
      </c>
      <c r="X165" s="220">
        <f t="shared" si="169"/>
        <v>165</v>
      </c>
      <c r="Y165" s="220">
        <f t="shared" si="170"/>
        <v>367</v>
      </c>
      <c r="Z165" s="220">
        <v>0</v>
      </c>
      <c r="AA165" s="220">
        <v>2</v>
      </c>
      <c r="AB165" s="220">
        <v>1</v>
      </c>
      <c r="AC165" s="220">
        <v>1</v>
      </c>
      <c r="AD165" s="220">
        <v>0</v>
      </c>
      <c r="AE165" s="220">
        <f t="shared" si="171"/>
        <v>-228</v>
      </c>
      <c r="AF165" s="220">
        <f t="shared" si="172"/>
        <v>-380</v>
      </c>
      <c r="AG165" s="220">
        <f t="shared" si="173"/>
        <v>-518</v>
      </c>
      <c r="AH165" s="220">
        <f t="shared" si="174"/>
        <v>-329</v>
      </c>
      <c r="AI165" s="220">
        <f t="shared" si="175"/>
        <v>-196</v>
      </c>
      <c r="AJ165" s="50">
        <f t="shared" si="226"/>
        <v>2.3390000000000049</v>
      </c>
      <c r="AK165" s="257"/>
      <c r="AL165" s="257">
        <f t="shared" si="227"/>
        <v>1.2</v>
      </c>
      <c r="AM165" s="52"/>
      <c r="AN165" s="88"/>
    </row>
    <row r="166" spans="1:41" s="29" customFormat="1" ht="17.25" customHeight="1">
      <c r="A166" s="48">
        <v>195</v>
      </c>
      <c r="B166" s="49">
        <f t="shared" ref="B166:B229" si="237">B165+1</f>
        <v>45709</v>
      </c>
      <c r="C166" s="220">
        <f t="shared" ref="C166:C229" si="238">+C165</f>
        <v>1049</v>
      </c>
      <c r="D166" s="220">
        <f t="shared" si="222"/>
        <v>2208</v>
      </c>
      <c r="E166" s="220">
        <f t="shared" si="225"/>
        <v>3257</v>
      </c>
      <c r="F166" s="220">
        <f t="shared" si="228"/>
        <v>833</v>
      </c>
      <c r="G166" s="220">
        <f t="shared" si="229"/>
        <v>1054</v>
      </c>
      <c r="H166" s="220">
        <f t="shared" si="230"/>
        <v>1319</v>
      </c>
      <c r="I166" s="220">
        <f t="shared" si="231"/>
        <v>1092</v>
      </c>
      <c r="J166" s="220">
        <f t="shared" si="232"/>
        <v>892</v>
      </c>
      <c r="K166" s="220">
        <f t="shared" si="233"/>
        <v>2424</v>
      </c>
      <c r="L166" s="220">
        <f t="shared" si="234"/>
        <v>2203</v>
      </c>
      <c r="M166" s="220">
        <f t="shared" si="235"/>
        <v>1938</v>
      </c>
      <c r="N166" s="220">
        <f t="shared" si="236"/>
        <v>2165</v>
      </c>
      <c r="O166" s="220">
        <f t="shared" si="236"/>
        <v>2365</v>
      </c>
      <c r="P166" s="220">
        <f t="shared" ref="P166:P229" si="239">+P165</f>
        <v>2000</v>
      </c>
      <c r="Q166" s="220">
        <f t="shared" ref="Q166:Q229" si="240">+Q165</f>
        <v>2000</v>
      </c>
      <c r="R166" s="220">
        <f t="shared" ref="R166:R229" si="241">+R165</f>
        <v>2000</v>
      </c>
      <c r="S166" s="220">
        <f t="shared" ref="S166:S229" si="242">+S165</f>
        <v>2000</v>
      </c>
      <c r="T166" s="220">
        <f t="shared" ref="T166:T229" si="243">+T165</f>
        <v>2000</v>
      </c>
      <c r="U166" s="220">
        <f t="shared" ref="U166:U217" si="244">U165-Z166</f>
        <v>424</v>
      </c>
      <c r="V166" s="220">
        <f t="shared" ref="V166:V217" si="245">V165-AA166</f>
        <v>203</v>
      </c>
      <c r="W166" s="220">
        <f t="shared" ref="W166:W217" si="246">W165-AB166</f>
        <v>-62</v>
      </c>
      <c r="X166" s="220">
        <f t="shared" ref="X166:X217" si="247">X165-AC166</f>
        <v>165</v>
      </c>
      <c r="Y166" s="220">
        <f t="shared" ref="Y166:Y217" si="248">Y165-AD166</f>
        <v>365</v>
      </c>
      <c r="Z166" s="220">
        <v>1</v>
      </c>
      <c r="AA166" s="220">
        <v>0</v>
      </c>
      <c r="AB166" s="220">
        <v>5</v>
      </c>
      <c r="AC166" s="220">
        <v>0</v>
      </c>
      <c r="AD166" s="220">
        <v>2</v>
      </c>
      <c r="AE166" s="220">
        <f t="shared" ref="AE166:AE217" si="249">AE165-Z166</f>
        <v>-229</v>
      </c>
      <c r="AF166" s="220">
        <f t="shared" ref="AF166:AF217" si="250">AF165-AA166</f>
        <v>-380</v>
      </c>
      <c r="AG166" s="220">
        <f t="shared" ref="AG166:AG217" si="251">AG165-AB166</f>
        <v>-523</v>
      </c>
      <c r="AH166" s="220">
        <f t="shared" ref="AH166:AH217" si="252">AH165-AC166</f>
        <v>-329</v>
      </c>
      <c r="AI166" s="220">
        <f t="shared" ref="AI166:AI217" si="253">AI165-AD166</f>
        <v>-198</v>
      </c>
      <c r="AJ166" s="50">
        <f t="shared" si="226"/>
        <v>2.334000000000005</v>
      </c>
      <c r="AK166" s="257"/>
      <c r="AL166" s="257">
        <f t="shared" si="227"/>
        <v>1.2</v>
      </c>
      <c r="AM166" s="52"/>
      <c r="AN166" s="88"/>
    </row>
    <row r="167" spans="1:41" s="29" customFormat="1" ht="17.25" customHeight="1">
      <c r="A167" s="48">
        <v>196</v>
      </c>
      <c r="B167" s="49">
        <f t="shared" si="237"/>
        <v>45710</v>
      </c>
      <c r="C167" s="220">
        <f t="shared" si="238"/>
        <v>1049</v>
      </c>
      <c r="D167" s="220">
        <f t="shared" si="223"/>
        <v>2223</v>
      </c>
      <c r="E167" s="220">
        <f t="shared" si="225"/>
        <v>3272</v>
      </c>
      <c r="F167" s="220">
        <f t="shared" si="228"/>
        <v>848</v>
      </c>
      <c r="G167" s="220">
        <f t="shared" si="229"/>
        <v>1069</v>
      </c>
      <c r="H167" s="220">
        <f t="shared" si="230"/>
        <v>1335</v>
      </c>
      <c r="I167" s="220">
        <f t="shared" si="231"/>
        <v>1108</v>
      </c>
      <c r="J167" s="220">
        <f t="shared" si="232"/>
        <v>907</v>
      </c>
      <c r="K167" s="220">
        <f t="shared" si="233"/>
        <v>2424</v>
      </c>
      <c r="L167" s="220">
        <f t="shared" si="234"/>
        <v>2203</v>
      </c>
      <c r="M167" s="220">
        <f t="shared" si="235"/>
        <v>1937</v>
      </c>
      <c r="N167" s="220">
        <f t="shared" si="236"/>
        <v>2164</v>
      </c>
      <c r="O167" s="220">
        <f t="shared" si="236"/>
        <v>2365</v>
      </c>
      <c r="P167" s="220">
        <f t="shared" si="239"/>
        <v>2000</v>
      </c>
      <c r="Q167" s="220">
        <f t="shared" si="240"/>
        <v>2000</v>
      </c>
      <c r="R167" s="220">
        <f t="shared" si="241"/>
        <v>2000</v>
      </c>
      <c r="S167" s="220">
        <f t="shared" si="242"/>
        <v>2000</v>
      </c>
      <c r="T167" s="220">
        <f t="shared" si="243"/>
        <v>2000</v>
      </c>
      <c r="U167" s="220">
        <f t="shared" si="244"/>
        <v>424</v>
      </c>
      <c r="V167" s="220">
        <f t="shared" si="245"/>
        <v>203</v>
      </c>
      <c r="W167" s="220">
        <f t="shared" si="246"/>
        <v>-63</v>
      </c>
      <c r="X167" s="220">
        <f t="shared" si="247"/>
        <v>164</v>
      </c>
      <c r="Y167" s="220">
        <f t="shared" si="248"/>
        <v>365</v>
      </c>
      <c r="Z167" s="220">
        <v>0</v>
      </c>
      <c r="AA167" s="220">
        <v>0</v>
      </c>
      <c r="AB167" s="220">
        <v>1</v>
      </c>
      <c r="AC167" s="220">
        <v>1</v>
      </c>
      <c r="AD167" s="220">
        <v>0</v>
      </c>
      <c r="AE167" s="220">
        <f t="shared" si="249"/>
        <v>-229</v>
      </c>
      <c r="AF167" s="220">
        <f t="shared" si="250"/>
        <v>-380</v>
      </c>
      <c r="AG167" s="220">
        <f t="shared" si="251"/>
        <v>-524</v>
      </c>
      <c r="AH167" s="220">
        <f t="shared" si="252"/>
        <v>-330</v>
      </c>
      <c r="AI167" s="220">
        <f t="shared" si="253"/>
        <v>-198</v>
      </c>
      <c r="AJ167" s="50">
        <f t="shared" si="226"/>
        <v>2.3330000000000051</v>
      </c>
      <c r="AK167" s="257"/>
      <c r="AL167" s="257">
        <f t="shared" si="227"/>
        <v>1.2</v>
      </c>
      <c r="AM167" s="52"/>
      <c r="AN167" s="88"/>
    </row>
    <row r="168" spans="1:41" s="29" customFormat="1" ht="17.25" customHeight="1">
      <c r="A168" s="48">
        <v>197</v>
      </c>
      <c r="B168" s="49">
        <f t="shared" si="237"/>
        <v>45711</v>
      </c>
      <c r="C168" s="220">
        <f t="shared" si="238"/>
        <v>1049</v>
      </c>
      <c r="D168" s="220">
        <f t="shared" si="224"/>
        <v>2249</v>
      </c>
      <c r="E168" s="220">
        <f t="shared" si="225"/>
        <v>3298</v>
      </c>
      <c r="F168" s="220">
        <f t="shared" si="228"/>
        <v>875</v>
      </c>
      <c r="G168" s="220">
        <f t="shared" si="229"/>
        <v>1097</v>
      </c>
      <c r="H168" s="220">
        <f t="shared" si="230"/>
        <v>1361</v>
      </c>
      <c r="I168" s="220">
        <f t="shared" si="231"/>
        <v>1136</v>
      </c>
      <c r="J168" s="220">
        <f t="shared" si="232"/>
        <v>934</v>
      </c>
      <c r="K168" s="220">
        <f t="shared" si="233"/>
        <v>2423</v>
      </c>
      <c r="L168" s="220">
        <f t="shared" si="234"/>
        <v>2201</v>
      </c>
      <c r="M168" s="220">
        <f t="shared" si="235"/>
        <v>1937</v>
      </c>
      <c r="N168" s="220">
        <f t="shared" si="236"/>
        <v>2162</v>
      </c>
      <c r="O168" s="220">
        <f t="shared" si="236"/>
        <v>2364</v>
      </c>
      <c r="P168" s="220">
        <f t="shared" si="239"/>
        <v>2000</v>
      </c>
      <c r="Q168" s="220">
        <f t="shared" si="240"/>
        <v>2000</v>
      </c>
      <c r="R168" s="220">
        <f t="shared" si="241"/>
        <v>2000</v>
      </c>
      <c r="S168" s="220">
        <f t="shared" si="242"/>
        <v>2000</v>
      </c>
      <c r="T168" s="220">
        <f t="shared" si="243"/>
        <v>2000</v>
      </c>
      <c r="U168" s="220">
        <f t="shared" si="244"/>
        <v>423</v>
      </c>
      <c r="V168" s="220">
        <f t="shared" si="245"/>
        <v>201</v>
      </c>
      <c r="W168" s="220">
        <f t="shared" si="246"/>
        <v>-63</v>
      </c>
      <c r="X168" s="220">
        <f t="shared" si="247"/>
        <v>162</v>
      </c>
      <c r="Y168" s="220">
        <f t="shared" si="248"/>
        <v>364</v>
      </c>
      <c r="Z168" s="220">
        <v>1</v>
      </c>
      <c r="AA168" s="220">
        <v>2</v>
      </c>
      <c r="AB168" s="220">
        <v>0</v>
      </c>
      <c r="AC168" s="220">
        <v>2</v>
      </c>
      <c r="AD168" s="220">
        <v>1</v>
      </c>
      <c r="AE168" s="220">
        <f t="shared" si="249"/>
        <v>-230</v>
      </c>
      <c r="AF168" s="220">
        <f t="shared" si="250"/>
        <v>-382</v>
      </c>
      <c r="AG168" s="220">
        <f t="shared" si="251"/>
        <v>-524</v>
      </c>
      <c r="AH168" s="220">
        <f t="shared" si="252"/>
        <v>-332</v>
      </c>
      <c r="AI168" s="220">
        <f t="shared" si="253"/>
        <v>-199</v>
      </c>
      <c r="AJ168" s="50">
        <f t="shared" si="226"/>
        <v>2.3330000000000051</v>
      </c>
      <c r="AK168" s="257"/>
      <c r="AL168" s="257">
        <f t="shared" si="227"/>
        <v>1.2</v>
      </c>
      <c r="AM168" s="52"/>
      <c r="AN168" s="88"/>
    </row>
    <row r="169" spans="1:41" s="29" customFormat="1" ht="17.25" customHeight="1">
      <c r="A169" s="48">
        <v>198</v>
      </c>
      <c r="B169" s="49">
        <f t="shared" si="237"/>
        <v>45712</v>
      </c>
      <c r="C169" s="220">
        <f t="shared" si="238"/>
        <v>1049</v>
      </c>
      <c r="D169" s="220">
        <f t="shared" si="209"/>
        <v>2223</v>
      </c>
      <c r="E169" s="220">
        <f t="shared" si="225"/>
        <v>3272</v>
      </c>
      <c r="F169" s="220">
        <f t="shared" si="228"/>
        <v>849</v>
      </c>
      <c r="G169" s="220">
        <f t="shared" si="229"/>
        <v>1071</v>
      </c>
      <c r="H169" s="220">
        <f t="shared" si="230"/>
        <v>1335</v>
      </c>
      <c r="I169" s="220">
        <f t="shared" si="231"/>
        <v>1110</v>
      </c>
      <c r="J169" s="220">
        <f t="shared" si="232"/>
        <v>908</v>
      </c>
      <c r="K169" s="220">
        <f t="shared" si="233"/>
        <v>2423</v>
      </c>
      <c r="L169" s="220">
        <f t="shared" si="234"/>
        <v>2201</v>
      </c>
      <c r="M169" s="220">
        <f t="shared" si="235"/>
        <v>1937</v>
      </c>
      <c r="N169" s="220">
        <f t="shared" si="236"/>
        <v>2162</v>
      </c>
      <c r="O169" s="220">
        <f t="shared" si="236"/>
        <v>2364</v>
      </c>
      <c r="P169" s="220">
        <f t="shared" si="239"/>
        <v>2000</v>
      </c>
      <c r="Q169" s="220">
        <f t="shared" si="240"/>
        <v>2000</v>
      </c>
      <c r="R169" s="220">
        <f t="shared" si="241"/>
        <v>2000</v>
      </c>
      <c r="S169" s="220">
        <f t="shared" si="242"/>
        <v>2000</v>
      </c>
      <c r="T169" s="220">
        <f t="shared" si="243"/>
        <v>2000</v>
      </c>
      <c r="U169" s="220">
        <f t="shared" si="244"/>
        <v>423</v>
      </c>
      <c r="V169" s="220">
        <f t="shared" si="245"/>
        <v>201</v>
      </c>
      <c r="W169" s="220">
        <f t="shared" si="246"/>
        <v>-63</v>
      </c>
      <c r="X169" s="220">
        <f t="shared" si="247"/>
        <v>162</v>
      </c>
      <c r="Y169" s="220">
        <f t="shared" si="248"/>
        <v>364</v>
      </c>
      <c r="Z169" s="220">
        <v>0</v>
      </c>
      <c r="AA169" s="220">
        <v>0</v>
      </c>
      <c r="AB169" s="220">
        <v>0</v>
      </c>
      <c r="AC169" s="220">
        <v>0</v>
      </c>
      <c r="AD169" s="220">
        <v>0</v>
      </c>
      <c r="AE169" s="220">
        <f t="shared" si="249"/>
        <v>-230</v>
      </c>
      <c r="AF169" s="220">
        <f t="shared" si="250"/>
        <v>-382</v>
      </c>
      <c r="AG169" s="220">
        <f t="shared" si="251"/>
        <v>-524</v>
      </c>
      <c r="AH169" s="220">
        <f t="shared" si="252"/>
        <v>-332</v>
      </c>
      <c r="AI169" s="220">
        <f t="shared" si="253"/>
        <v>-199</v>
      </c>
      <c r="AJ169" s="50">
        <f t="shared" si="226"/>
        <v>2.3330000000000051</v>
      </c>
      <c r="AK169" s="257"/>
      <c r="AL169" s="257">
        <f t="shared" si="227"/>
        <v>1.2</v>
      </c>
      <c r="AM169" s="52"/>
      <c r="AN169" s="88"/>
    </row>
    <row r="170" spans="1:41" s="29" customFormat="1" ht="17.25" customHeight="1">
      <c r="A170" s="48">
        <v>199</v>
      </c>
      <c r="B170" s="49">
        <f t="shared" si="237"/>
        <v>45713</v>
      </c>
      <c r="C170" s="220">
        <f t="shared" si="238"/>
        <v>1049</v>
      </c>
      <c r="D170" s="220">
        <f t="shared" si="210"/>
        <v>2238</v>
      </c>
      <c r="E170" s="220">
        <f t="shared" si="225"/>
        <v>3287</v>
      </c>
      <c r="F170" s="220">
        <f t="shared" si="228"/>
        <v>865</v>
      </c>
      <c r="G170" s="220">
        <f t="shared" si="229"/>
        <v>1086</v>
      </c>
      <c r="H170" s="220">
        <f t="shared" si="230"/>
        <v>1350</v>
      </c>
      <c r="I170" s="220">
        <f t="shared" si="231"/>
        <v>1127</v>
      </c>
      <c r="J170" s="220">
        <f t="shared" si="232"/>
        <v>923</v>
      </c>
      <c r="K170" s="220">
        <f t="shared" si="233"/>
        <v>2422</v>
      </c>
      <c r="L170" s="220">
        <f t="shared" si="234"/>
        <v>2201</v>
      </c>
      <c r="M170" s="220">
        <f t="shared" si="235"/>
        <v>1937</v>
      </c>
      <c r="N170" s="220">
        <f t="shared" si="236"/>
        <v>2160</v>
      </c>
      <c r="O170" s="220">
        <f t="shared" si="236"/>
        <v>2364</v>
      </c>
      <c r="P170" s="220">
        <f t="shared" si="239"/>
        <v>2000</v>
      </c>
      <c r="Q170" s="220">
        <f t="shared" si="240"/>
        <v>2000</v>
      </c>
      <c r="R170" s="220">
        <f t="shared" si="241"/>
        <v>2000</v>
      </c>
      <c r="S170" s="220">
        <f t="shared" si="242"/>
        <v>2000</v>
      </c>
      <c r="T170" s="220">
        <f t="shared" si="243"/>
        <v>2000</v>
      </c>
      <c r="U170" s="220">
        <f t="shared" si="244"/>
        <v>422</v>
      </c>
      <c r="V170" s="220">
        <f t="shared" si="245"/>
        <v>201</v>
      </c>
      <c r="W170" s="220">
        <f t="shared" si="246"/>
        <v>-63</v>
      </c>
      <c r="X170" s="220">
        <f t="shared" si="247"/>
        <v>160</v>
      </c>
      <c r="Y170" s="220">
        <f t="shared" si="248"/>
        <v>364</v>
      </c>
      <c r="Z170" s="220">
        <v>1</v>
      </c>
      <c r="AA170" s="220">
        <v>0</v>
      </c>
      <c r="AB170" s="220">
        <v>0</v>
      </c>
      <c r="AC170" s="220">
        <v>2</v>
      </c>
      <c r="AD170" s="220">
        <v>0</v>
      </c>
      <c r="AE170" s="220">
        <f t="shared" si="249"/>
        <v>-231</v>
      </c>
      <c r="AF170" s="220">
        <f t="shared" si="250"/>
        <v>-382</v>
      </c>
      <c r="AG170" s="220">
        <f t="shared" si="251"/>
        <v>-524</v>
      </c>
      <c r="AH170" s="220">
        <f t="shared" si="252"/>
        <v>-334</v>
      </c>
      <c r="AI170" s="220">
        <f t="shared" si="253"/>
        <v>-199</v>
      </c>
      <c r="AJ170" s="50">
        <f t="shared" si="226"/>
        <v>2.3330000000000051</v>
      </c>
      <c r="AK170" s="257"/>
      <c r="AL170" s="257">
        <f t="shared" si="227"/>
        <v>1.2</v>
      </c>
      <c r="AM170" s="52"/>
      <c r="AN170" s="88"/>
    </row>
    <row r="171" spans="1:41" s="29" customFormat="1" ht="17.25" customHeight="1">
      <c r="A171" s="48">
        <v>200</v>
      </c>
      <c r="B171" s="49">
        <f t="shared" si="237"/>
        <v>45714</v>
      </c>
      <c r="C171" s="220">
        <f t="shared" si="238"/>
        <v>1049</v>
      </c>
      <c r="D171" s="220">
        <f t="shared" si="219"/>
        <v>2264</v>
      </c>
      <c r="E171" s="220">
        <f t="shared" si="225"/>
        <v>3313</v>
      </c>
      <c r="F171" s="220">
        <f t="shared" si="228"/>
        <v>892</v>
      </c>
      <c r="G171" s="220">
        <f t="shared" si="229"/>
        <v>1113</v>
      </c>
      <c r="H171" s="220">
        <f t="shared" si="230"/>
        <v>1377</v>
      </c>
      <c r="I171" s="220">
        <f t="shared" si="231"/>
        <v>1153</v>
      </c>
      <c r="J171" s="220">
        <f t="shared" si="232"/>
        <v>950</v>
      </c>
      <c r="K171" s="220">
        <f t="shared" si="233"/>
        <v>2421</v>
      </c>
      <c r="L171" s="220">
        <f t="shared" si="234"/>
        <v>2200</v>
      </c>
      <c r="M171" s="220">
        <f t="shared" si="235"/>
        <v>1936</v>
      </c>
      <c r="N171" s="220">
        <f t="shared" si="236"/>
        <v>2160</v>
      </c>
      <c r="O171" s="220">
        <f t="shared" si="236"/>
        <v>2363</v>
      </c>
      <c r="P171" s="220">
        <f t="shared" si="239"/>
        <v>2000</v>
      </c>
      <c r="Q171" s="220">
        <f t="shared" si="240"/>
        <v>2000</v>
      </c>
      <c r="R171" s="220">
        <f t="shared" si="241"/>
        <v>2000</v>
      </c>
      <c r="S171" s="220">
        <f t="shared" si="242"/>
        <v>2000</v>
      </c>
      <c r="T171" s="220">
        <f t="shared" si="243"/>
        <v>2000</v>
      </c>
      <c r="U171" s="220">
        <f t="shared" si="244"/>
        <v>421</v>
      </c>
      <c r="V171" s="220">
        <f t="shared" si="245"/>
        <v>200</v>
      </c>
      <c r="W171" s="220">
        <f t="shared" si="246"/>
        <v>-64</v>
      </c>
      <c r="X171" s="220">
        <f t="shared" si="247"/>
        <v>160</v>
      </c>
      <c r="Y171" s="220">
        <f t="shared" si="248"/>
        <v>363</v>
      </c>
      <c r="Z171" s="220">
        <v>1</v>
      </c>
      <c r="AA171" s="220">
        <v>1</v>
      </c>
      <c r="AB171" s="220">
        <v>1</v>
      </c>
      <c r="AC171" s="220">
        <v>0</v>
      </c>
      <c r="AD171" s="220">
        <v>1</v>
      </c>
      <c r="AE171" s="220">
        <f t="shared" si="249"/>
        <v>-232</v>
      </c>
      <c r="AF171" s="220">
        <f t="shared" si="250"/>
        <v>-383</v>
      </c>
      <c r="AG171" s="220">
        <f t="shared" si="251"/>
        <v>-525</v>
      </c>
      <c r="AH171" s="220">
        <f t="shared" si="252"/>
        <v>-334</v>
      </c>
      <c r="AI171" s="220">
        <f t="shared" si="253"/>
        <v>-200</v>
      </c>
      <c r="AJ171" s="50">
        <f t="shared" si="226"/>
        <v>2.3320000000000052</v>
      </c>
      <c r="AK171" s="257"/>
      <c r="AL171" s="257">
        <f t="shared" si="227"/>
        <v>1.2</v>
      </c>
      <c r="AM171" s="52"/>
      <c r="AN171" s="88"/>
    </row>
    <row r="172" spans="1:41" s="29" customFormat="1" ht="17.25" customHeight="1">
      <c r="A172" s="48">
        <v>201</v>
      </c>
      <c r="B172" s="49">
        <f t="shared" si="237"/>
        <v>45715</v>
      </c>
      <c r="C172" s="220">
        <f t="shared" si="238"/>
        <v>1049</v>
      </c>
      <c r="D172" s="220">
        <f t="shared" si="220"/>
        <v>2296</v>
      </c>
      <c r="E172" s="220">
        <f t="shared" si="225"/>
        <v>3345</v>
      </c>
      <c r="F172" s="220">
        <f t="shared" si="228"/>
        <v>924</v>
      </c>
      <c r="G172" s="220">
        <f t="shared" si="229"/>
        <v>1145</v>
      </c>
      <c r="H172" s="220">
        <f t="shared" si="230"/>
        <v>1409</v>
      </c>
      <c r="I172" s="220">
        <f t="shared" si="231"/>
        <v>1185</v>
      </c>
      <c r="J172" s="220">
        <f t="shared" si="232"/>
        <v>982</v>
      </c>
      <c r="K172" s="220">
        <f t="shared" si="233"/>
        <v>2421</v>
      </c>
      <c r="L172" s="220">
        <f t="shared" si="234"/>
        <v>2200</v>
      </c>
      <c r="M172" s="220">
        <f t="shared" si="235"/>
        <v>1936</v>
      </c>
      <c r="N172" s="220">
        <f t="shared" si="236"/>
        <v>2160</v>
      </c>
      <c r="O172" s="220">
        <f t="shared" si="236"/>
        <v>2363</v>
      </c>
      <c r="P172" s="220">
        <f t="shared" si="239"/>
        <v>2000</v>
      </c>
      <c r="Q172" s="220">
        <f t="shared" si="240"/>
        <v>2000</v>
      </c>
      <c r="R172" s="220">
        <f t="shared" si="241"/>
        <v>2000</v>
      </c>
      <c r="S172" s="220">
        <f t="shared" si="242"/>
        <v>2000</v>
      </c>
      <c r="T172" s="220">
        <f t="shared" si="243"/>
        <v>2000</v>
      </c>
      <c r="U172" s="220">
        <f t="shared" si="244"/>
        <v>421</v>
      </c>
      <c r="V172" s="220">
        <f t="shared" si="245"/>
        <v>200</v>
      </c>
      <c r="W172" s="220">
        <f t="shared" si="246"/>
        <v>-64</v>
      </c>
      <c r="X172" s="220">
        <f t="shared" si="247"/>
        <v>160</v>
      </c>
      <c r="Y172" s="220">
        <f t="shared" si="248"/>
        <v>363</v>
      </c>
      <c r="Z172" s="220">
        <v>0</v>
      </c>
      <c r="AA172" s="220">
        <v>0</v>
      </c>
      <c r="AB172" s="220">
        <v>0</v>
      </c>
      <c r="AC172" s="220">
        <v>0</v>
      </c>
      <c r="AD172" s="220">
        <v>0</v>
      </c>
      <c r="AE172" s="220">
        <f t="shared" si="249"/>
        <v>-232</v>
      </c>
      <c r="AF172" s="220">
        <f t="shared" si="250"/>
        <v>-383</v>
      </c>
      <c r="AG172" s="220">
        <f t="shared" si="251"/>
        <v>-525</v>
      </c>
      <c r="AH172" s="220">
        <f t="shared" si="252"/>
        <v>-334</v>
      </c>
      <c r="AI172" s="220">
        <f t="shared" si="253"/>
        <v>-200</v>
      </c>
      <c r="AJ172" s="50">
        <f t="shared" si="226"/>
        <v>2.3320000000000052</v>
      </c>
      <c r="AK172" s="257"/>
      <c r="AL172" s="257">
        <f t="shared" si="227"/>
        <v>1.2</v>
      </c>
      <c r="AM172" s="52"/>
      <c r="AN172" s="88"/>
    </row>
    <row r="173" spans="1:41" s="261" customFormat="1" ht="17.25" customHeight="1">
      <c r="A173" s="76">
        <v>202</v>
      </c>
      <c r="B173" s="77">
        <f t="shared" si="237"/>
        <v>45716</v>
      </c>
      <c r="C173" s="213">
        <f t="shared" si="238"/>
        <v>1049</v>
      </c>
      <c r="D173" s="220">
        <f t="shared" si="221"/>
        <v>2278</v>
      </c>
      <c r="E173" s="213">
        <f t="shared" si="225"/>
        <v>3327</v>
      </c>
      <c r="F173" s="213">
        <f t="shared" si="228"/>
        <v>911</v>
      </c>
      <c r="G173" s="213">
        <f t="shared" si="229"/>
        <v>1132</v>
      </c>
      <c r="H173" s="213">
        <f t="shared" si="230"/>
        <v>1398</v>
      </c>
      <c r="I173" s="213">
        <f t="shared" si="231"/>
        <v>1173</v>
      </c>
      <c r="J173" s="213">
        <f t="shared" si="232"/>
        <v>969</v>
      </c>
      <c r="K173" s="213">
        <f t="shared" si="233"/>
        <v>2416</v>
      </c>
      <c r="L173" s="213">
        <f t="shared" si="234"/>
        <v>2195</v>
      </c>
      <c r="M173" s="213">
        <f t="shared" si="235"/>
        <v>1929</v>
      </c>
      <c r="N173" s="213">
        <f t="shared" si="236"/>
        <v>2154</v>
      </c>
      <c r="O173" s="213">
        <f t="shared" si="236"/>
        <v>2358</v>
      </c>
      <c r="P173" s="213">
        <f t="shared" si="239"/>
        <v>2000</v>
      </c>
      <c r="Q173" s="213">
        <f t="shared" si="240"/>
        <v>2000</v>
      </c>
      <c r="R173" s="213">
        <f t="shared" si="241"/>
        <v>2000</v>
      </c>
      <c r="S173" s="213">
        <f t="shared" si="242"/>
        <v>2000</v>
      </c>
      <c r="T173" s="213">
        <f t="shared" si="243"/>
        <v>2000</v>
      </c>
      <c r="U173" s="213">
        <f t="shared" si="244"/>
        <v>416</v>
      </c>
      <c r="V173" s="213">
        <f t="shared" si="245"/>
        <v>195</v>
      </c>
      <c r="W173" s="213">
        <f t="shared" si="246"/>
        <v>-71</v>
      </c>
      <c r="X173" s="213">
        <f t="shared" si="247"/>
        <v>154</v>
      </c>
      <c r="Y173" s="213">
        <f t="shared" si="248"/>
        <v>358</v>
      </c>
      <c r="Z173" s="213">
        <v>5</v>
      </c>
      <c r="AA173" s="213">
        <v>5</v>
      </c>
      <c r="AB173" s="213">
        <v>7</v>
      </c>
      <c r="AC173" s="213">
        <v>6</v>
      </c>
      <c r="AD173" s="213">
        <v>5</v>
      </c>
      <c r="AE173" s="213">
        <f t="shared" si="249"/>
        <v>-237</v>
      </c>
      <c r="AF173" s="213">
        <f t="shared" si="250"/>
        <v>-388</v>
      </c>
      <c r="AG173" s="213">
        <f t="shared" si="251"/>
        <v>-532</v>
      </c>
      <c r="AH173" s="213">
        <f t="shared" si="252"/>
        <v>-340</v>
      </c>
      <c r="AI173" s="213">
        <f t="shared" si="253"/>
        <v>-205</v>
      </c>
      <c r="AJ173" s="50">
        <f t="shared" si="226"/>
        <v>2.3250000000000051</v>
      </c>
      <c r="AK173" s="259"/>
      <c r="AL173" s="257">
        <f t="shared" si="227"/>
        <v>1.2</v>
      </c>
      <c r="AM173" s="81"/>
      <c r="AN173" s="260"/>
      <c r="AO173" s="261" t="s">
        <v>152</v>
      </c>
    </row>
    <row r="174" spans="1:41" s="29" customFormat="1" ht="17.25" customHeight="1">
      <c r="A174" s="48">
        <v>203</v>
      </c>
      <c r="B174" s="49">
        <f t="shared" si="237"/>
        <v>45717</v>
      </c>
      <c r="C174" s="220">
        <f t="shared" si="238"/>
        <v>1049</v>
      </c>
      <c r="D174" s="220">
        <f t="shared" si="222"/>
        <v>2252</v>
      </c>
      <c r="E174" s="220">
        <f t="shared" ref="E174:E181" si="254">+C174+D174</f>
        <v>3301</v>
      </c>
      <c r="F174" s="220">
        <f t="shared" si="228"/>
        <v>889</v>
      </c>
      <c r="G174" s="220">
        <f t="shared" si="229"/>
        <v>1110</v>
      </c>
      <c r="H174" s="220">
        <f t="shared" si="230"/>
        <v>1379</v>
      </c>
      <c r="I174" s="220">
        <f t="shared" si="231"/>
        <v>1153</v>
      </c>
      <c r="J174" s="220">
        <f t="shared" si="232"/>
        <v>947</v>
      </c>
      <c r="K174" s="220">
        <f t="shared" si="233"/>
        <v>2412</v>
      </c>
      <c r="L174" s="220">
        <f t="shared" si="234"/>
        <v>2191</v>
      </c>
      <c r="M174" s="220">
        <f t="shared" si="235"/>
        <v>1922</v>
      </c>
      <c r="N174" s="220">
        <f t="shared" si="236"/>
        <v>2148</v>
      </c>
      <c r="O174" s="220">
        <f t="shared" si="236"/>
        <v>2354</v>
      </c>
      <c r="P174" s="220">
        <f t="shared" si="239"/>
        <v>2000</v>
      </c>
      <c r="Q174" s="220">
        <f t="shared" si="240"/>
        <v>2000</v>
      </c>
      <c r="R174" s="220">
        <f t="shared" si="241"/>
        <v>2000</v>
      </c>
      <c r="S174" s="220">
        <f t="shared" si="242"/>
        <v>2000</v>
      </c>
      <c r="T174" s="220">
        <f t="shared" si="243"/>
        <v>2000</v>
      </c>
      <c r="U174" s="220">
        <f t="shared" si="244"/>
        <v>412</v>
      </c>
      <c r="V174" s="220">
        <f t="shared" si="245"/>
        <v>191</v>
      </c>
      <c r="W174" s="220">
        <f t="shared" si="246"/>
        <v>-78</v>
      </c>
      <c r="X174" s="220">
        <f t="shared" si="247"/>
        <v>148</v>
      </c>
      <c r="Y174" s="220">
        <f t="shared" si="248"/>
        <v>354</v>
      </c>
      <c r="Z174" s="220">
        <v>4</v>
      </c>
      <c r="AA174" s="220">
        <v>4</v>
      </c>
      <c r="AB174" s="220">
        <v>7</v>
      </c>
      <c r="AC174" s="220">
        <v>6</v>
      </c>
      <c r="AD174" s="220">
        <v>4</v>
      </c>
      <c r="AE174" s="220">
        <f t="shared" si="249"/>
        <v>-241</v>
      </c>
      <c r="AF174" s="220">
        <f t="shared" si="250"/>
        <v>-392</v>
      </c>
      <c r="AG174" s="220">
        <f t="shared" si="251"/>
        <v>-539</v>
      </c>
      <c r="AH174" s="220">
        <f t="shared" si="252"/>
        <v>-346</v>
      </c>
      <c r="AI174" s="220">
        <f t="shared" si="253"/>
        <v>-209</v>
      </c>
      <c r="AJ174" s="50">
        <f t="shared" si="226"/>
        <v>2.3180000000000049</v>
      </c>
      <c r="AK174" s="257"/>
      <c r="AL174" s="257">
        <f t="shared" si="227"/>
        <v>1.2</v>
      </c>
      <c r="AM174" s="52"/>
      <c r="AN174" s="88"/>
    </row>
    <row r="175" spans="1:41" s="29" customFormat="1" ht="17.25" customHeight="1">
      <c r="A175" s="48">
        <v>204</v>
      </c>
      <c r="B175" s="49">
        <f t="shared" si="237"/>
        <v>45718</v>
      </c>
      <c r="C175" s="220">
        <f t="shared" si="238"/>
        <v>1049</v>
      </c>
      <c r="D175" s="220">
        <f t="shared" si="223"/>
        <v>2267</v>
      </c>
      <c r="E175" s="220">
        <f t="shared" si="254"/>
        <v>3316</v>
      </c>
      <c r="F175" s="220">
        <f t="shared" si="228"/>
        <v>907</v>
      </c>
      <c r="G175" s="220">
        <f t="shared" si="229"/>
        <v>1128</v>
      </c>
      <c r="H175" s="220">
        <f t="shared" si="230"/>
        <v>1401</v>
      </c>
      <c r="I175" s="220">
        <f t="shared" si="231"/>
        <v>1174</v>
      </c>
      <c r="J175" s="220">
        <f t="shared" si="232"/>
        <v>965</v>
      </c>
      <c r="K175" s="220">
        <f t="shared" si="233"/>
        <v>2409</v>
      </c>
      <c r="L175" s="220">
        <f t="shared" si="234"/>
        <v>2188</v>
      </c>
      <c r="M175" s="220">
        <f t="shared" si="235"/>
        <v>1915</v>
      </c>
      <c r="N175" s="220">
        <f t="shared" si="236"/>
        <v>2142</v>
      </c>
      <c r="O175" s="220">
        <f t="shared" si="236"/>
        <v>2351</v>
      </c>
      <c r="P175" s="220">
        <f t="shared" si="239"/>
        <v>2000</v>
      </c>
      <c r="Q175" s="220">
        <f t="shared" si="240"/>
        <v>2000</v>
      </c>
      <c r="R175" s="220">
        <f t="shared" si="241"/>
        <v>2000</v>
      </c>
      <c r="S175" s="220">
        <f t="shared" si="242"/>
        <v>2000</v>
      </c>
      <c r="T175" s="220">
        <f t="shared" si="243"/>
        <v>2000</v>
      </c>
      <c r="U175" s="220">
        <f t="shared" si="244"/>
        <v>409</v>
      </c>
      <c r="V175" s="220">
        <f t="shared" si="245"/>
        <v>188</v>
      </c>
      <c r="W175" s="220">
        <f t="shared" si="246"/>
        <v>-85</v>
      </c>
      <c r="X175" s="220">
        <f t="shared" si="247"/>
        <v>142</v>
      </c>
      <c r="Y175" s="220">
        <f t="shared" si="248"/>
        <v>351</v>
      </c>
      <c r="Z175" s="220">
        <v>3</v>
      </c>
      <c r="AA175" s="220">
        <v>3</v>
      </c>
      <c r="AB175" s="220">
        <v>7</v>
      </c>
      <c r="AC175" s="220">
        <v>6</v>
      </c>
      <c r="AD175" s="220">
        <v>3</v>
      </c>
      <c r="AE175" s="220">
        <f t="shared" si="249"/>
        <v>-244</v>
      </c>
      <c r="AF175" s="220">
        <f t="shared" si="250"/>
        <v>-395</v>
      </c>
      <c r="AG175" s="220">
        <f t="shared" si="251"/>
        <v>-546</v>
      </c>
      <c r="AH175" s="220">
        <f t="shared" si="252"/>
        <v>-352</v>
      </c>
      <c r="AI175" s="220">
        <f t="shared" si="253"/>
        <v>-212</v>
      </c>
      <c r="AJ175" s="50">
        <f t="shared" si="226"/>
        <v>2.3110000000000048</v>
      </c>
      <c r="AK175" s="257"/>
      <c r="AL175" s="257">
        <f t="shared" si="227"/>
        <v>1.2</v>
      </c>
      <c r="AM175" s="52"/>
      <c r="AN175" s="88"/>
    </row>
    <row r="176" spans="1:41" s="29" customFormat="1" ht="17.25" customHeight="1">
      <c r="A176" s="48">
        <v>205</v>
      </c>
      <c r="B176" s="49">
        <f t="shared" si="237"/>
        <v>45719</v>
      </c>
      <c r="C176" s="220">
        <f t="shared" si="238"/>
        <v>1049</v>
      </c>
      <c r="D176" s="220">
        <f t="shared" si="224"/>
        <v>2293</v>
      </c>
      <c r="E176" s="220">
        <f t="shared" si="254"/>
        <v>3342</v>
      </c>
      <c r="F176" s="220">
        <f t="shared" si="228"/>
        <v>937</v>
      </c>
      <c r="G176" s="220">
        <f t="shared" si="229"/>
        <v>1158</v>
      </c>
      <c r="H176" s="220">
        <f t="shared" si="230"/>
        <v>1434</v>
      </c>
      <c r="I176" s="220">
        <f t="shared" si="231"/>
        <v>1207</v>
      </c>
      <c r="J176" s="220">
        <f t="shared" si="232"/>
        <v>995</v>
      </c>
      <c r="K176" s="220">
        <f t="shared" si="233"/>
        <v>2405</v>
      </c>
      <c r="L176" s="220">
        <f t="shared" si="234"/>
        <v>2184</v>
      </c>
      <c r="M176" s="220">
        <f t="shared" si="235"/>
        <v>1908</v>
      </c>
      <c r="N176" s="220">
        <f t="shared" si="236"/>
        <v>2135</v>
      </c>
      <c r="O176" s="220">
        <f t="shared" si="236"/>
        <v>2347</v>
      </c>
      <c r="P176" s="220">
        <f t="shared" si="239"/>
        <v>2000</v>
      </c>
      <c r="Q176" s="220">
        <f t="shared" si="240"/>
        <v>2000</v>
      </c>
      <c r="R176" s="220">
        <f t="shared" si="241"/>
        <v>2000</v>
      </c>
      <c r="S176" s="220">
        <f t="shared" si="242"/>
        <v>2000</v>
      </c>
      <c r="T176" s="220">
        <f t="shared" si="243"/>
        <v>2000</v>
      </c>
      <c r="U176" s="220">
        <f t="shared" si="244"/>
        <v>405</v>
      </c>
      <c r="V176" s="220">
        <f t="shared" si="245"/>
        <v>184</v>
      </c>
      <c r="W176" s="220">
        <f t="shared" si="246"/>
        <v>-92</v>
      </c>
      <c r="X176" s="220">
        <f t="shared" si="247"/>
        <v>135</v>
      </c>
      <c r="Y176" s="220">
        <f t="shared" si="248"/>
        <v>347</v>
      </c>
      <c r="Z176" s="220">
        <v>4</v>
      </c>
      <c r="AA176" s="220">
        <v>4</v>
      </c>
      <c r="AB176" s="220">
        <v>7</v>
      </c>
      <c r="AC176" s="220">
        <v>7</v>
      </c>
      <c r="AD176" s="220">
        <v>4</v>
      </c>
      <c r="AE176" s="220">
        <f t="shared" si="249"/>
        <v>-248</v>
      </c>
      <c r="AF176" s="220">
        <f t="shared" si="250"/>
        <v>-399</v>
      </c>
      <c r="AG176" s="220">
        <f t="shared" si="251"/>
        <v>-553</v>
      </c>
      <c r="AH176" s="220">
        <f t="shared" si="252"/>
        <v>-359</v>
      </c>
      <c r="AI176" s="220">
        <f t="shared" si="253"/>
        <v>-216</v>
      </c>
      <c r="AJ176" s="50">
        <f t="shared" si="226"/>
        <v>2.3040000000000047</v>
      </c>
      <c r="AK176" s="257"/>
      <c r="AL176" s="257">
        <f t="shared" si="227"/>
        <v>1.2</v>
      </c>
      <c r="AM176" s="52"/>
      <c r="AN176" s="88"/>
    </row>
    <row r="177" spans="1:41" s="29" customFormat="1" ht="17.25" customHeight="1">
      <c r="A177" s="48">
        <v>206</v>
      </c>
      <c r="B177" s="49">
        <f t="shared" si="237"/>
        <v>45720</v>
      </c>
      <c r="C177" s="220">
        <f t="shared" si="238"/>
        <v>1049</v>
      </c>
      <c r="D177" s="220">
        <f t="shared" si="209"/>
        <v>2267</v>
      </c>
      <c r="E177" s="220">
        <f t="shared" si="254"/>
        <v>3316</v>
      </c>
      <c r="F177" s="220">
        <f t="shared" si="228"/>
        <v>914</v>
      </c>
      <c r="G177" s="220">
        <f t="shared" si="229"/>
        <v>1135</v>
      </c>
      <c r="H177" s="220">
        <f t="shared" si="230"/>
        <v>1414</v>
      </c>
      <c r="I177" s="220">
        <f t="shared" si="231"/>
        <v>1188</v>
      </c>
      <c r="J177" s="220">
        <f t="shared" si="232"/>
        <v>972</v>
      </c>
      <c r="K177" s="220">
        <f t="shared" si="233"/>
        <v>2402</v>
      </c>
      <c r="L177" s="220">
        <f t="shared" si="234"/>
        <v>2181</v>
      </c>
      <c r="M177" s="220">
        <f t="shared" si="235"/>
        <v>1902</v>
      </c>
      <c r="N177" s="220">
        <f t="shared" si="236"/>
        <v>2128</v>
      </c>
      <c r="O177" s="220">
        <f t="shared" si="236"/>
        <v>2344</v>
      </c>
      <c r="P177" s="220">
        <f t="shared" si="239"/>
        <v>2000</v>
      </c>
      <c r="Q177" s="220">
        <f t="shared" si="240"/>
        <v>2000</v>
      </c>
      <c r="R177" s="220">
        <f t="shared" si="241"/>
        <v>2000</v>
      </c>
      <c r="S177" s="220">
        <f t="shared" si="242"/>
        <v>2000</v>
      </c>
      <c r="T177" s="220">
        <f t="shared" si="243"/>
        <v>2000</v>
      </c>
      <c r="U177" s="220">
        <f t="shared" si="244"/>
        <v>402</v>
      </c>
      <c r="V177" s="220">
        <f t="shared" si="245"/>
        <v>181</v>
      </c>
      <c r="W177" s="220">
        <f t="shared" si="246"/>
        <v>-98</v>
      </c>
      <c r="X177" s="220">
        <f t="shared" si="247"/>
        <v>128</v>
      </c>
      <c r="Y177" s="220">
        <f t="shared" si="248"/>
        <v>344</v>
      </c>
      <c r="Z177" s="220">
        <v>3</v>
      </c>
      <c r="AA177" s="220">
        <v>3</v>
      </c>
      <c r="AB177" s="220">
        <v>6</v>
      </c>
      <c r="AC177" s="220">
        <v>7</v>
      </c>
      <c r="AD177" s="220">
        <v>3</v>
      </c>
      <c r="AE177" s="220">
        <f t="shared" si="249"/>
        <v>-251</v>
      </c>
      <c r="AF177" s="220">
        <f t="shared" si="250"/>
        <v>-402</v>
      </c>
      <c r="AG177" s="220">
        <f t="shared" si="251"/>
        <v>-559</v>
      </c>
      <c r="AH177" s="220">
        <f t="shared" si="252"/>
        <v>-366</v>
      </c>
      <c r="AI177" s="220">
        <f t="shared" si="253"/>
        <v>-219</v>
      </c>
      <c r="AJ177" s="50">
        <f t="shared" si="226"/>
        <v>2.2980000000000049</v>
      </c>
      <c r="AK177" s="257"/>
      <c r="AL177" s="257">
        <f t="shared" si="227"/>
        <v>1.2</v>
      </c>
      <c r="AM177" s="52"/>
      <c r="AN177" s="88"/>
    </row>
    <row r="178" spans="1:41" s="29" customFormat="1" ht="17.25" customHeight="1">
      <c r="A178" s="48">
        <v>207</v>
      </c>
      <c r="B178" s="49">
        <f t="shared" si="237"/>
        <v>45721</v>
      </c>
      <c r="C178" s="220">
        <f t="shared" si="238"/>
        <v>1049</v>
      </c>
      <c r="D178" s="220">
        <f t="shared" si="210"/>
        <v>2282</v>
      </c>
      <c r="E178" s="220">
        <f t="shared" si="254"/>
        <v>3331</v>
      </c>
      <c r="F178" s="220">
        <f t="shared" si="228"/>
        <v>932</v>
      </c>
      <c r="G178" s="220">
        <f t="shared" si="229"/>
        <v>1153</v>
      </c>
      <c r="H178" s="220">
        <f t="shared" si="230"/>
        <v>1435</v>
      </c>
      <c r="I178" s="220">
        <f t="shared" si="231"/>
        <v>1208</v>
      </c>
      <c r="J178" s="220">
        <f t="shared" si="232"/>
        <v>992</v>
      </c>
      <c r="K178" s="220">
        <f t="shared" si="233"/>
        <v>2399</v>
      </c>
      <c r="L178" s="220">
        <f t="shared" si="234"/>
        <v>2178</v>
      </c>
      <c r="M178" s="220">
        <f t="shared" si="235"/>
        <v>1896</v>
      </c>
      <c r="N178" s="220">
        <f t="shared" si="236"/>
        <v>2123</v>
      </c>
      <c r="O178" s="220">
        <f t="shared" si="236"/>
        <v>2339</v>
      </c>
      <c r="P178" s="220">
        <f t="shared" si="239"/>
        <v>2000</v>
      </c>
      <c r="Q178" s="220">
        <f t="shared" si="240"/>
        <v>2000</v>
      </c>
      <c r="R178" s="220">
        <f t="shared" si="241"/>
        <v>2000</v>
      </c>
      <c r="S178" s="220">
        <f t="shared" si="242"/>
        <v>2000</v>
      </c>
      <c r="T178" s="220">
        <f t="shared" si="243"/>
        <v>2000</v>
      </c>
      <c r="U178" s="220">
        <f t="shared" si="244"/>
        <v>399</v>
      </c>
      <c r="V178" s="220">
        <f t="shared" si="245"/>
        <v>178</v>
      </c>
      <c r="W178" s="220">
        <f t="shared" si="246"/>
        <v>-104</v>
      </c>
      <c r="X178" s="220">
        <f t="shared" si="247"/>
        <v>123</v>
      </c>
      <c r="Y178" s="220">
        <f t="shared" si="248"/>
        <v>339</v>
      </c>
      <c r="Z178" s="220">
        <v>3</v>
      </c>
      <c r="AA178" s="220">
        <v>3</v>
      </c>
      <c r="AB178" s="220">
        <v>6</v>
      </c>
      <c r="AC178" s="220">
        <v>5</v>
      </c>
      <c r="AD178" s="220">
        <v>5</v>
      </c>
      <c r="AE178" s="220">
        <f t="shared" si="249"/>
        <v>-254</v>
      </c>
      <c r="AF178" s="220">
        <f t="shared" si="250"/>
        <v>-405</v>
      </c>
      <c r="AG178" s="220">
        <f t="shared" si="251"/>
        <v>-565</v>
      </c>
      <c r="AH178" s="220">
        <f t="shared" si="252"/>
        <v>-371</v>
      </c>
      <c r="AI178" s="220">
        <f t="shared" si="253"/>
        <v>-224</v>
      </c>
      <c r="AJ178" s="50">
        <f t="shared" si="226"/>
        <v>2.2920000000000051</v>
      </c>
      <c r="AK178" s="257"/>
      <c r="AL178" s="257">
        <f t="shared" si="227"/>
        <v>1.2</v>
      </c>
      <c r="AM178" s="52"/>
      <c r="AN178" s="88"/>
    </row>
    <row r="179" spans="1:41" s="29" customFormat="1" ht="17.25" customHeight="1">
      <c r="A179" s="48">
        <v>208</v>
      </c>
      <c r="B179" s="49">
        <f t="shared" si="237"/>
        <v>45722</v>
      </c>
      <c r="C179" s="220">
        <f t="shared" si="238"/>
        <v>1049</v>
      </c>
      <c r="D179" s="220">
        <f t="shared" si="219"/>
        <v>2308</v>
      </c>
      <c r="E179" s="220">
        <f t="shared" si="254"/>
        <v>3357</v>
      </c>
      <c r="F179" s="220">
        <f t="shared" si="228"/>
        <v>961</v>
      </c>
      <c r="G179" s="220">
        <f t="shared" si="229"/>
        <v>1183</v>
      </c>
      <c r="H179" s="220">
        <f t="shared" si="230"/>
        <v>1467</v>
      </c>
      <c r="I179" s="220">
        <f t="shared" si="231"/>
        <v>1240</v>
      </c>
      <c r="J179" s="220">
        <f t="shared" si="232"/>
        <v>1022</v>
      </c>
      <c r="K179" s="220">
        <f t="shared" si="233"/>
        <v>2396</v>
      </c>
      <c r="L179" s="220">
        <f t="shared" si="234"/>
        <v>2174</v>
      </c>
      <c r="M179" s="220">
        <f t="shared" si="235"/>
        <v>1890</v>
      </c>
      <c r="N179" s="220">
        <f t="shared" si="236"/>
        <v>2117</v>
      </c>
      <c r="O179" s="220">
        <f t="shared" si="236"/>
        <v>2335</v>
      </c>
      <c r="P179" s="220">
        <f t="shared" si="239"/>
        <v>2000</v>
      </c>
      <c r="Q179" s="220">
        <f t="shared" si="240"/>
        <v>2000</v>
      </c>
      <c r="R179" s="220">
        <f t="shared" si="241"/>
        <v>2000</v>
      </c>
      <c r="S179" s="220">
        <f t="shared" si="242"/>
        <v>2000</v>
      </c>
      <c r="T179" s="220">
        <f t="shared" si="243"/>
        <v>2000</v>
      </c>
      <c r="U179" s="220">
        <f t="shared" si="244"/>
        <v>396</v>
      </c>
      <c r="V179" s="220">
        <f t="shared" si="245"/>
        <v>174</v>
      </c>
      <c r="W179" s="220">
        <f t="shared" si="246"/>
        <v>-110</v>
      </c>
      <c r="X179" s="220">
        <f t="shared" si="247"/>
        <v>117</v>
      </c>
      <c r="Y179" s="220">
        <f t="shared" si="248"/>
        <v>335</v>
      </c>
      <c r="Z179" s="220">
        <v>3</v>
      </c>
      <c r="AA179" s="220">
        <v>4</v>
      </c>
      <c r="AB179" s="220">
        <v>6</v>
      </c>
      <c r="AC179" s="220">
        <v>6</v>
      </c>
      <c r="AD179" s="220">
        <v>4</v>
      </c>
      <c r="AE179" s="220">
        <f t="shared" si="249"/>
        <v>-257</v>
      </c>
      <c r="AF179" s="220">
        <f t="shared" si="250"/>
        <v>-409</v>
      </c>
      <c r="AG179" s="220">
        <f t="shared" si="251"/>
        <v>-571</v>
      </c>
      <c r="AH179" s="220">
        <f t="shared" si="252"/>
        <v>-377</v>
      </c>
      <c r="AI179" s="220">
        <f t="shared" si="253"/>
        <v>-228</v>
      </c>
      <c r="AJ179" s="50">
        <f t="shared" si="226"/>
        <v>2.2860000000000054</v>
      </c>
      <c r="AK179" s="257"/>
      <c r="AL179" s="257">
        <f t="shared" si="227"/>
        <v>1.2</v>
      </c>
      <c r="AM179" s="52"/>
      <c r="AN179" s="88"/>
    </row>
    <row r="180" spans="1:41" s="29" customFormat="1" ht="17.25" customHeight="1">
      <c r="A180" s="48">
        <v>209</v>
      </c>
      <c r="B180" s="49">
        <f t="shared" si="237"/>
        <v>45723</v>
      </c>
      <c r="C180" s="220">
        <f t="shared" si="238"/>
        <v>1049</v>
      </c>
      <c r="D180" s="220">
        <f t="shared" si="220"/>
        <v>2340</v>
      </c>
      <c r="E180" s="220">
        <f t="shared" si="254"/>
        <v>3389</v>
      </c>
      <c r="F180" s="220">
        <f t="shared" si="228"/>
        <v>996</v>
      </c>
      <c r="G180" s="220">
        <f t="shared" si="229"/>
        <v>1219</v>
      </c>
      <c r="H180" s="220">
        <f t="shared" si="230"/>
        <v>1505</v>
      </c>
      <c r="I180" s="220">
        <f t="shared" si="231"/>
        <v>1277</v>
      </c>
      <c r="J180" s="220">
        <f t="shared" si="232"/>
        <v>1057</v>
      </c>
      <c r="K180" s="220">
        <f t="shared" si="233"/>
        <v>2393</v>
      </c>
      <c r="L180" s="220">
        <f t="shared" si="234"/>
        <v>2170</v>
      </c>
      <c r="M180" s="220">
        <f t="shared" si="235"/>
        <v>1884</v>
      </c>
      <c r="N180" s="220">
        <f t="shared" si="236"/>
        <v>2112</v>
      </c>
      <c r="O180" s="220">
        <f t="shared" si="236"/>
        <v>2332</v>
      </c>
      <c r="P180" s="220">
        <f t="shared" si="239"/>
        <v>2000</v>
      </c>
      <c r="Q180" s="220">
        <f t="shared" si="240"/>
        <v>2000</v>
      </c>
      <c r="R180" s="220">
        <f t="shared" si="241"/>
        <v>2000</v>
      </c>
      <c r="S180" s="220">
        <f t="shared" si="242"/>
        <v>2000</v>
      </c>
      <c r="T180" s="220">
        <f t="shared" si="243"/>
        <v>2000</v>
      </c>
      <c r="U180" s="220">
        <f t="shared" si="244"/>
        <v>393</v>
      </c>
      <c r="V180" s="220">
        <f t="shared" si="245"/>
        <v>170</v>
      </c>
      <c r="W180" s="220">
        <f t="shared" si="246"/>
        <v>-116</v>
      </c>
      <c r="X180" s="220">
        <f t="shared" si="247"/>
        <v>112</v>
      </c>
      <c r="Y180" s="220">
        <f t="shared" si="248"/>
        <v>332</v>
      </c>
      <c r="Z180" s="220">
        <v>3</v>
      </c>
      <c r="AA180" s="220">
        <v>4</v>
      </c>
      <c r="AB180" s="220">
        <v>6</v>
      </c>
      <c r="AC180" s="220">
        <v>5</v>
      </c>
      <c r="AD180" s="220">
        <v>3</v>
      </c>
      <c r="AE180" s="220">
        <f t="shared" si="249"/>
        <v>-260</v>
      </c>
      <c r="AF180" s="220">
        <f t="shared" si="250"/>
        <v>-413</v>
      </c>
      <c r="AG180" s="220">
        <f t="shared" si="251"/>
        <v>-577</v>
      </c>
      <c r="AH180" s="220">
        <f t="shared" si="252"/>
        <v>-382</v>
      </c>
      <c r="AI180" s="220">
        <f t="shared" si="253"/>
        <v>-231</v>
      </c>
      <c r="AJ180" s="50">
        <f t="shared" si="226"/>
        <v>2.2800000000000056</v>
      </c>
      <c r="AK180" s="257"/>
      <c r="AL180" s="257">
        <f t="shared" si="227"/>
        <v>1.2</v>
      </c>
      <c r="AM180" s="52"/>
      <c r="AN180" s="88"/>
    </row>
    <row r="181" spans="1:41" s="29" customFormat="1" ht="17.25" customHeight="1">
      <c r="A181" s="48">
        <v>210</v>
      </c>
      <c r="B181" s="49">
        <f t="shared" si="237"/>
        <v>45724</v>
      </c>
      <c r="C181" s="220">
        <f t="shared" si="238"/>
        <v>1049</v>
      </c>
      <c r="D181" s="220">
        <f t="shared" si="221"/>
        <v>2322</v>
      </c>
      <c r="E181" s="220">
        <f t="shared" si="254"/>
        <v>3371</v>
      </c>
      <c r="F181" s="220">
        <f t="shared" si="228"/>
        <v>982</v>
      </c>
      <c r="G181" s="220">
        <f t="shared" si="229"/>
        <v>1205</v>
      </c>
      <c r="H181" s="220">
        <f t="shared" si="230"/>
        <v>1493</v>
      </c>
      <c r="I181" s="220">
        <f t="shared" si="231"/>
        <v>1265</v>
      </c>
      <c r="J181" s="220">
        <f t="shared" si="232"/>
        <v>1043</v>
      </c>
      <c r="K181" s="220">
        <f t="shared" si="233"/>
        <v>2389</v>
      </c>
      <c r="L181" s="220">
        <f t="shared" si="234"/>
        <v>2166</v>
      </c>
      <c r="M181" s="220">
        <f t="shared" si="235"/>
        <v>1878</v>
      </c>
      <c r="N181" s="220">
        <f t="shared" si="236"/>
        <v>2106</v>
      </c>
      <c r="O181" s="220">
        <f t="shared" si="236"/>
        <v>2328</v>
      </c>
      <c r="P181" s="220">
        <f t="shared" si="239"/>
        <v>2000</v>
      </c>
      <c r="Q181" s="220">
        <f t="shared" si="240"/>
        <v>2000</v>
      </c>
      <c r="R181" s="220">
        <f t="shared" si="241"/>
        <v>2000</v>
      </c>
      <c r="S181" s="220">
        <f t="shared" si="242"/>
        <v>2000</v>
      </c>
      <c r="T181" s="220">
        <f t="shared" si="243"/>
        <v>2000</v>
      </c>
      <c r="U181" s="220">
        <f t="shared" si="244"/>
        <v>389</v>
      </c>
      <c r="V181" s="220">
        <f t="shared" si="245"/>
        <v>166</v>
      </c>
      <c r="W181" s="220">
        <f t="shared" si="246"/>
        <v>-122</v>
      </c>
      <c r="X181" s="220">
        <f t="shared" si="247"/>
        <v>106</v>
      </c>
      <c r="Y181" s="220">
        <f t="shared" si="248"/>
        <v>328</v>
      </c>
      <c r="Z181" s="220">
        <v>4</v>
      </c>
      <c r="AA181" s="220">
        <v>4</v>
      </c>
      <c r="AB181" s="220">
        <v>6</v>
      </c>
      <c r="AC181" s="220">
        <v>6</v>
      </c>
      <c r="AD181" s="220">
        <v>4</v>
      </c>
      <c r="AE181" s="220">
        <f t="shared" si="249"/>
        <v>-264</v>
      </c>
      <c r="AF181" s="220">
        <f t="shared" si="250"/>
        <v>-417</v>
      </c>
      <c r="AG181" s="220">
        <f t="shared" si="251"/>
        <v>-583</v>
      </c>
      <c r="AH181" s="220">
        <f t="shared" si="252"/>
        <v>-388</v>
      </c>
      <c r="AI181" s="220">
        <f t="shared" si="253"/>
        <v>-235</v>
      </c>
      <c r="AJ181" s="50">
        <f t="shared" si="226"/>
        <v>2.2740000000000058</v>
      </c>
      <c r="AK181" s="257"/>
      <c r="AL181" s="257">
        <f t="shared" si="227"/>
        <v>1.2</v>
      </c>
      <c r="AM181" s="52"/>
      <c r="AN181" s="88"/>
    </row>
    <row r="182" spans="1:41" s="29" customFormat="1" ht="17.25" customHeight="1">
      <c r="A182" s="48">
        <v>211</v>
      </c>
      <c r="B182" s="49">
        <f t="shared" si="237"/>
        <v>45725</v>
      </c>
      <c r="C182" s="220">
        <f t="shared" si="238"/>
        <v>1049</v>
      </c>
      <c r="D182" s="220">
        <f t="shared" si="222"/>
        <v>2296</v>
      </c>
      <c r="E182" s="220">
        <f t="shared" ref="E182:E189" si="255">+C182+D182</f>
        <v>3345</v>
      </c>
      <c r="F182" s="220">
        <f t="shared" si="228"/>
        <v>960</v>
      </c>
      <c r="G182" s="220">
        <f t="shared" si="229"/>
        <v>1184</v>
      </c>
      <c r="H182" s="220">
        <f t="shared" si="230"/>
        <v>1473</v>
      </c>
      <c r="I182" s="220">
        <f t="shared" si="231"/>
        <v>1244</v>
      </c>
      <c r="J182" s="220">
        <f t="shared" si="232"/>
        <v>1020</v>
      </c>
      <c r="K182" s="220">
        <f t="shared" si="233"/>
        <v>2385</v>
      </c>
      <c r="L182" s="220">
        <f t="shared" si="234"/>
        <v>2161</v>
      </c>
      <c r="M182" s="220">
        <f t="shared" si="235"/>
        <v>1872</v>
      </c>
      <c r="N182" s="220">
        <f t="shared" si="236"/>
        <v>2101</v>
      </c>
      <c r="O182" s="220">
        <f t="shared" si="236"/>
        <v>2325</v>
      </c>
      <c r="P182" s="220">
        <f t="shared" si="239"/>
        <v>2000</v>
      </c>
      <c r="Q182" s="220">
        <f t="shared" si="240"/>
        <v>2000</v>
      </c>
      <c r="R182" s="220">
        <f t="shared" si="241"/>
        <v>2000</v>
      </c>
      <c r="S182" s="220">
        <f t="shared" si="242"/>
        <v>2000</v>
      </c>
      <c r="T182" s="220">
        <f t="shared" si="243"/>
        <v>2000</v>
      </c>
      <c r="U182" s="220">
        <f t="shared" si="244"/>
        <v>385</v>
      </c>
      <c r="V182" s="220">
        <f t="shared" si="245"/>
        <v>161</v>
      </c>
      <c r="W182" s="220">
        <f t="shared" si="246"/>
        <v>-128</v>
      </c>
      <c r="X182" s="220">
        <f t="shared" si="247"/>
        <v>101</v>
      </c>
      <c r="Y182" s="220">
        <f t="shared" si="248"/>
        <v>325</v>
      </c>
      <c r="Z182" s="220">
        <v>4</v>
      </c>
      <c r="AA182" s="220">
        <v>5</v>
      </c>
      <c r="AB182" s="220">
        <v>6</v>
      </c>
      <c r="AC182" s="220">
        <v>5</v>
      </c>
      <c r="AD182" s="220">
        <v>3</v>
      </c>
      <c r="AE182" s="220">
        <f t="shared" si="249"/>
        <v>-268</v>
      </c>
      <c r="AF182" s="220">
        <f t="shared" si="250"/>
        <v>-422</v>
      </c>
      <c r="AG182" s="220">
        <f t="shared" si="251"/>
        <v>-589</v>
      </c>
      <c r="AH182" s="220">
        <f t="shared" si="252"/>
        <v>-393</v>
      </c>
      <c r="AI182" s="220">
        <f t="shared" si="253"/>
        <v>-238</v>
      </c>
      <c r="AJ182" s="50">
        <f t="shared" si="226"/>
        <v>2.268000000000006</v>
      </c>
      <c r="AK182" s="257"/>
      <c r="AL182" s="257">
        <f t="shared" si="227"/>
        <v>1.2</v>
      </c>
      <c r="AM182" s="52"/>
      <c r="AN182" s="88"/>
    </row>
    <row r="183" spans="1:41" s="29" customFormat="1" ht="17.25" customHeight="1">
      <c r="A183" s="48">
        <v>212</v>
      </c>
      <c r="B183" s="49">
        <f t="shared" si="237"/>
        <v>45726</v>
      </c>
      <c r="C183" s="220">
        <f t="shared" si="238"/>
        <v>1049</v>
      </c>
      <c r="D183" s="220">
        <f t="shared" si="223"/>
        <v>2311</v>
      </c>
      <c r="E183" s="220">
        <f t="shared" si="255"/>
        <v>3360</v>
      </c>
      <c r="F183" s="220">
        <f t="shared" si="228"/>
        <v>979</v>
      </c>
      <c r="G183" s="220">
        <f t="shared" si="229"/>
        <v>1204</v>
      </c>
      <c r="H183" s="220">
        <f t="shared" si="230"/>
        <v>1494</v>
      </c>
      <c r="I183" s="220">
        <f t="shared" si="231"/>
        <v>1263</v>
      </c>
      <c r="J183" s="220">
        <f t="shared" si="232"/>
        <v>1040</v>
      </c>
      <c r="K183" s="220">
        <f t="shared" si="233"/>
        <v>2381</v>
      </c>
      <c r="L183" s="220">
        <f t="shared" si="234"/>
        <v>2156</v>
      </c>
      <c r="M183" s="220">
        <f t="shared" si="235"/>
        <v>1866</v>
      </c>
      <c r="N183" s="220">
        <f t="shared" si="236"/>
        <v>2097</v>
      </c>
      <c r="O183" s="220">
        <f t="shared" si="236"/>
        <v>2320</v>
      </c>
      <c r="P183" s="220">
        <f t="shared" si="239"/>
        <v>2000</v>
      </c>
      <c r="Q183" s="220">
        <f t="shared" si="240"/>
        <v>2000</v>
      </c>
      <c r="R183" s="220">
        <f t="shared" si="241"/>
        <v>2000</v>
      </c>
      <c r="S183" s="220">
        <f t="shared" si="242"/>
        <v>2000</v>
      </c>
      <c r="T183" s="220">
        <f t="shared" si="243"/>
        <v>2000</v>
      </c>
      <c r="U183" s="220">
        <f t="shared" si="244"/>
        <v>381</v>
      </c>
      <c r="V183" s="220">
        <f t="shared" si="245"/>
        <v>156</v>
      </c>
      <c r="W183" s="220">
        <f t="shared" si="246"/>
        <v>-134</v>
      </c>
      <c r="X183" s="220">
        <f t="shared" si="247"/>
        <v>97</v>
      </c>
      <c r="Y183" s="220">
        <f t="shared" si="248"/>
        <v>320</v>
      </c>
      <c r="Z183" s="220">
        <v>4</v>
      </c>
      <c r="AA183" s="220">
        <v>5</v>
      </c>
      <c r="AB183" s="220">
        <v>6</v>
      </c>
      <c r="AC183" s="220">
        <v>4</v>
      </c>
      <c r="AD183" s="220">
        <v>5</v>
      </c>
      <c r="AE183" s="220">
        <f t="shared" si="249"/>
        <v>-272</v>
      </c>
      <c r="AF183" s="220">
        <f t="shared" si="250"/>
        <v>-427</v>
      </c>
      <c r="AG183" s="220">
        <f t="shared" si="251"/>
        <v>-595</v>
      </c>
      <c r="AH183" s="220">
        <f t="shared" si="252"/>
        <v>-397</v>
      </c>
      <c r="AI183" s="220">
        <f t="shared" si="253"/>
        <v>-243</v>
      </c>
      <c r="AJ183" s="50">
        <f t="shared" si="226"/>
        <v>2.2620000000000062</v>
      </c>
      <c r="AK183" s="257"/>
      <c r="AL183" s="257">
        <f t="shared" si="227"/>
        <v>1.2</v>
      </c>
      <c r="AM183" s="52"/>
      <c r="AN183" s="88"/>
    </row>
    <row r="184" spans="1:41" s="29" customFormat="1" ht="17.25" customHeight="1">
      <c r="A184" s="48">
        <v>213</v>
      </c>
      <c r="B184" s="49">
        <f t="shared" si="237"/>
        <v>45727</v>
      </c>
      <c r="C184" s="220">
        <f t="shared" si="238"/>
        <v>1049</v>
      </c>
      <c r="D184" s="220">
        <f t="shared" si="224"/>
        <v>2337</v>
      </c>
      <c r="E184" s="220">
        <f t="shared" si="255"/>
        <v>3386</v>
      </c>
      <c r="F184" s="220">
        <f t="shared" si="228"/>
        <v>1009</v>
      </c>
      <c r="G184" s="220">
        <f t="shared" si="229"/>
        <v>1235</v>
      </c>
      <c r="H184" s="220">
        <f t="shared" si="230"/>
        <v>1525</v>
      </c>
      <c r="I184" s="220">
        <f t="shared" si="231"/>
        <v>1295</v>
      </c>
      <c r="J184" s="220">
        <f t="shared" si="232"/>
        <v>1070</v>
      </c>
      <c r="K184" s="220">
        <f t="shared" si="233"/>
        <v>2377</v>
      </c>
      <c r="L184" s="220">
        <f t="shared" si="234"/>
        <v>2151</v>
      </c>
      <c r="M184" s="220">
        <f t="shared" si="235"/>
        <v>1861</v>
      </c>
      <c r="N184" s="220">
        <f t="shared" si="236"/>
        <v>2091</v>
      </c>
      <c r="O184" s="220">
        <f t="shared" si="236"/>
        <v>2316</v>
      </c>
      <c r="P184" s="220">
        <f t="shared" si="239"/>
        <v>2000</v>
      </c>
      <c r="Q184" s="220">
        <f t="shared" si="240"/>
        <v>2000</v>
      </c>
      <c r="R184" s="220">
        <f t="shared" si="241"/>
        <v>2000</v>
      </c>
      <c r="S184" s="220">
        <f t="shared" si="242"/>
        <v>2000</v>
      </c>
      <c r="T184" s="220">
        <f t="shared" si="243"/>
        <v>2000</v>
      </c>
      <c r="U184" s="220">
        <f t="shared" si="244"/>
        <v>377</v>
      </c>
      <c r="V184" s="220">
        <f t="shared" si="245"/>
        <v>151</v>
      </c>
      <c r="W184" s="220">
        <f t="shared" si="246"/>
        <v>-139</v>
      </c>
      <c r="X184" s="220">
        <f t="shared" si="247"/>
        <v>91</v>
      </c>
      <c r="Y184" s="220">
        <f t="shared" si="248"/>
        <v>316</v>
      </c>
      <c r="Z184" s="220">
        <v>4</v>
      </c>
      <c r="AA184" s="220">
        <v>5</v>
      </c>
      <c r="AB184" s="220">
        <v>5</v>
      </c>
      <c r="AC184" s="220">
        <v>6</v>
      </c>
      <c r="AD184" s="220">
        <v>4</v>
      </c>
      <c r="AE184" s="220">
        <f t="shared" si="249"/>
        <v>-276</v>
      </c>
      <c r="AF184" s="220">
        <f t="shared" si="250"/>
        <v>-432</v>
      </c>
      <c r="AG184" s="220">
        <f t="shared" si="251"/>
        <v>-600</v>
      </c>
      <c r="AH184" s="220">
        <f t="shared" si="252"/>
        <v>-403</v>
      </c>
      <c r="AI184" s="220">
        <f t="shared" si="253"/>
        <v>-247</v>
      </c>
      <c r="AJ184" s="50">
        <f t="shared" si="226"/>
        <v>2.2570000000000063</v>
      </c>
      <c r="AK184" s="257"/>
      <c r="AL184" s="257">
        <f t="shared" si="227"/>
        <v>1.2</v>
      </c>
      <c r="AM184" s="52"/>
      <c r="AN184" s="88"/>
    </row>
    <row r="185" spans="1:41" s="29" customFormat="1" ht="17.25" customHeight="1">
      <c r="A185" s="48">
        <v>214</v>
      </c>
      <c r="B185" s="49">
        <f t="shared" si="237"/>
        <v>45728</v>
      </c>
      <c r="C185" s="220">
        <f t="shared" si="238"/>
        <v>1049</v>
      </c>
      <c r="D185" s="220">
        <f t="shared" si="209"/>
        <v>2311</v>
      </c>
      <c r="E185" s="220">
        <f t="shared" si="255"/>
        <v>3360</v>
      </c>
      <c r="F185" s="220">
        <f t="shared" si="228"/>
        <v>988</v>
      </c>
      <c r="G185" s="220">
        <f t="shared" si="229"/>
        <v>1214</v>
      </c>
      <c r="H185" s="220">
        <f t="shared" si="230"/>
        <v>1504</v>
      </c>
      <c r="I185" s="220">
        <f t="shared" si="231"/>
        <v>1275</v>
      </c>
      <c r="J185" s="220">
        <f t="shared" si="232"/>
        <v>1047</v>
      </c>
      <c r="K185" s="220">
        <f t="shared" si="233"/>
        <v>2372</v>
      </c>
      <c r="L185" s="220">
        <f t="shared" si="234"/>
        <v>2146</v>
      </c>
      <c r="M185" s="220">
        <f t="shared" si="235"/>
        <v>1856</v>
      </c>
      <c r="N185" s="220">
        <f t="shared" si="236"/>
        <v>2085</v>
      </c>
      <c r="O185" s="220">
        <f t="shared" si="236"/>
        <v>2313</v>
      </c>
      <c r="P185" s="220">
        <f t="shared" si="239"/>
        <v>2000</v>
      </c>
      <c r="Q185" s="220">
        <f t="shared" si="240"/>
        <v>2000</v>
      </c>
      <c r="R185" s="220">
        <f t="shared" si="241"/>
        <v>2000</v>
      </c>
      <c r="S185" s="220">
        <f t="shared" si="242"/>
        <v>2000</v>
      </c>
      <c r="T185" s="220">
        <f t="shared" si="243"/>
        <v>2000</v>
      </c>
      <c r="U185" s="220">
        <f t="shared" si="244"/>
        <v>372</v>
      </c>
      <c r="V185" s="220">
        <f t="shared" si="245"/>
        <v>146</v>
      </c>
      <c r="W185" s="220">
        <f t="shared" si="246"/>
        <v>-144</v>
      </c>
      <c r="X185" s="220">
        <f t="shared" si="247"/>
        <v>85</v>
      </c>
      <c r="Y185" s="220">
        <f t="shared" si="248"/>
        <v>313</v>
      </c>
      <c r="Z185" s="220">
        <v>5</v>
      </c>
      <c r="AA185" s="220">
        <v>5</v>
      </c>
      <c r="AB185" s="220">
        <v>5</v>
      </c>
      <c r="AC185" s="220">
        <v>6</v>
      </c>
      <c r="AD185" s="220">
        <v>3</v>
      </c>
      <c r="AE185" s="220">
        <f t="shared" si="249"/>
        <v>-281</v>
      </c>
      <c r="AF185" s="220">
        <f t="shared" si="250"/>
        <v>-437</v>
      </c>
      <c r="AG185" s="220">
        <f t="shared" si="251"/>
        <v>-605</v>
      </c>
      <c r="AH185" s="220">
        <f t="shared" si="252"/>
        <v>-409</v>
      </c>
      <c r="AI185" s="220">
        <f t="shared" si="253"/>
        <v>-250</v>
      </c>
      <c r="AJ185" s="50">
        <f t="shared" si="226"/>
        <v>2.2520000000000064</v>
      </c>
      <c r="AK185" s="257"/>
      <c r="AL185" s="257">
        <f t="shared" si="227"/>
        <v>1.2</v>
      </c>
      <c r="AM185" s="52"/>
      <c r="AN185" s="88"/>
      <c r="AO185" s="261" t="s">
        <v>151</v>
      </c>
    </row>
    <row r="186" spans="1:41" s="29" customFormat="1" ht="17.25" customHeight="1">
      <c r="A186" s="48">
        <v>215</v>
      </c>
      <c r="B186" s="49">
        <f t="shared" si="237"/>
        <v>45729</v>
      </c>
      <c r="C186" s="220">
        <f t="shared" si="238"/>
        <v>1049</v>
      </c>
      <c r="D186" s="220">
        <f t="shared" si="210"/>
        <v>2326</v>
      </c>
      <c r="E186" s="220">
        <f t="shared" si="255"/>
        <v>3375</v>
      </c>
      <c r="F186" s="220">
        <f t="shared" si="228"/>
        <v>1007</v>
      </c>
      <c r="G186" s="220">
        <f t="shared" si="229"/>
        <v>1233</v>
      </c>
      <c r="H186" s="220">
        <f t="shared" si="230"/>
        <v>1526</v>
      </c>
      <c r="I186" s="220">
        <f t="shared" si="231"/>
        <v>1294</v>
      </c>
      <c r="J186" s="220">
        <f t="shared" si="232"/>
        <v>1066</v>
      </c>
      <c r="K186" s="220">
        <f t="shared" si="233"/>
        <v>2368</v>
      </c>
      <c r="L186" s="220">
        <f t="shared" si="234"/>
        <v>2142</v>
      </c>
      <c r="M186" s="220">
        <f t="shared" si="235"/>
        <v>1849</v>
      </c>
      <c r="N186" s="220">
        <f t="shared" si="236"/>
        <v>2081</v>
      </c>
      <c r="O186" s="220">
        <f t="shared" si="236"/>
        <v>2309</v>
      </c>
      <c r="P186" s="220">
        <f t="shared" si="239"/>
        <v>2000</v>
      </c>
      <c r="Q186" s="220">
        <f t="shared" si="240"/>
        <v>2000</v>
      </c>
      <c r="R186" s="220">
        <f t="shared" si="241"/>
        <v>2000</v>
      </c>
      <c r="S186" s="220">
        <f t="shared" si="242"/>
        <v>2000</v>
      </c>
      <c r="T186" s="220">
        <f t="shared" si="243"/>
        <v>2000</v>
      </c>
      <c r="U186" s="220">
        <f t="shared" si="244"/>
        <v>368</v>
      </c>
      <c r="V186" s="220">
        <f t="shared" si="245"/>
        <v>142</v>
      </c>
      <c r="W186" s="220">
        <f t="shared" si="246"/>
        <v>-151</v>
      </c>
      <c r="X186" s="220">
        <f t="shared" si="247"/>
        <v>81</v>
      </c>
      <c r="Y186" s="220">
        <f t="shared" si="248"/>
        <v>309</v>
      </c>
      <c r="Z186" s="220">
        <v>4</v>
      </c>
      <c r="AA186" s="220">
        <v>4</v>
      </c>
      <c r="AB186" s="220">
        <v>7</v>
      </c>
      <c r="AC186" s="220">
        <v>4</v>
      </c>
      <c r="AD186" s="220">
        <v>4</v>
      </c>
      <c r="AE186" s="220">
        <f t="shared" si="249"/>
        <v>-285</v>
      </c>
      <c r="AF186" s="220">
        <f t="shared" si="250"/>
        <v>-441</v>
      </c>
      <c r="AG186" s="220">
        <f t="shared" si="251"/>
        <v>-612</v>
      </c>
      <c r="AH186" s="220">
        <f t="shared" si="252"/>
        <v>-413</v>
      </c>
      <c r="AI186" s="220">
        <f t="shared" si="253"/>
        <v>-254</v>
      </c>
      <c r="AJ186" s="50">
        <f t="shared" si="226"/>
        <v>2.2450000000000063</v>
      </c>
      <c r="AK186" s="257"/>
      <c r="AL186" s="257">
        <f t="shared" si="227"/>
        <v>1.2</v>
      </c>
      <c r="AM186" s="52"/>
      <c r="AN186" s="88"/>
    </row>
    <row r="187" spans="1:41" s="29" customFormat="1" ht="17.25" customHeight="1">
      <c r="A187" s="48">
        <v>216</v>
      </c>
      <c r="B187" s="49">
        <f t="shared" si="237"/>
        <v>45730</v>
      </c>
      <c r="C187" s="220">
        <f t="shared" si="238"/>
        <v>1049</v>
      </c>
      <c r="D187" s="220">
        <v>2101</v>
      </c>
      <c r="E187" s="220">
        <f t="shared" si="255"/>
        <v>3150</v>
      </c>
      <c r="F187" s="220">
        <f t="shared" si="228"/>
        <v>786</v>
      </c>
      <c r="G187" s="220">
        <f t="shared" si="229"/>
        <v>1013</v>
      </c>
      <c r="H187" s="220">
        <f t="shared" si="230"/>
        <v>1306</v>
      </c>
      <c r="I187" s="220">
        <f t="shared" si="231"/>
        <v>1074</v>
      </c>
      <c r="J187" s="220">
        <f t="shared" si="232"/>
        <v>844</v>
      </c>
      <c r="K187" s="220">
        <f t="shared" si="233"/>
        <v>2364</v>
      </c>
      <c r="L187" s="220">
        <f t="shared" si="234"/>
        <v>2137</v>
      </c>
      <c r="M187" s="220">
        <f t="shared" si="235"/>
        <v>1844</v>
      </c>
      <c r="N187" s="220">
        <f t="shared" si="236"/>
        <v>2076</v>
      </c>
      <c r="O187" s="220">
        <f t="shared" si="236"/>
        <v>2306</v>
      </c>
      <c r="P187" s="220">
        <f t="shared" si="239"/>
        <v>2000</v>
      </c>
      <c r="Q187" s="220">
        <f t="shared" si="240"/>
        <v>2000</v>
      </c>
      <c r="R187" s="220">
        <f t="shared" si="241"/>
        <v>2000</v>
      </c>
      <c r="S187" s="220">
        <f t="shared" si="242"/>
        <v>2000</v>
      </c>
      <c r="T187" s="220">
        <f t="shared" si="243"/>
        <v>2000</v>
      </c>
      <c r="U187" s="220">
        <f t="shared" si="244"/>
        <v>364</v>
      </c>
      <c r="V187" s="220">
        <f t="shared" si="245"/>
        <v>137</v>
      </c>
      <c r="W187" s="220">
        <f t="shared" si="246"/>
        <v>-156</v>
      </c>
      <c r="X187" s="220">
        <f t="shared" si="247"/>
        <v>76</v>
      </c>
      <c r="Y187" s="220">
        <f t="shared" si="248"/>
        <v>306</v>
      </c>
      <c r="Z187" s="220">
        <v>4</v>
      </c>
      <c r="AA187" s="220">
        <v>5</v>
      </c>
      <c r="AB187" s="220">
        <v>5</v>
      </c>
      <c r="AC187" s="220">
        <v>5</v>
      </c>
      <c r="AD187" s="220">
        <v>3</v>
      </c>
      <c r="AE187" s="220">
        <f t="shared" si="249"/>
        <v>-289</v>
      </c>
      <c r="AF187" s="220">
        <f t="shared" si="250"/>
        <v>-446</v>
      </c>
      <c r="AG187" s="220">
        <f t="shared" si="251"/>
        <v>-617</v>
      </c>
      <c r="AH187" s="220">
        <f t="shared" si="252"/>
        <v>-418</v>
      </c>
      <c r="AI187" s="220">
        <f t="shared" si="253"/>
        <v>-257</v>
      </c>
      <c r="AJ187" s="50">
        <f t="shared" si="226"/>
        <v>2.2400000000000064</v>
      </c>
      <c r="AK187" s="257"/>
      <c r="AL187" s="257">
        <f t="shared" si="227"/>
        <v>1.2</v>
      </c>
      <c r="AM187" s="52"/>
      <c r="AN187" s="88"/>
    </row>
    <row r="188" spans="1:41" s="29" customFormat="1" ht="17.25" customHeight="1">
      <c r="A188" s="48">
        <v>217</v>
      </c>
      <c r="B188" s="49">
        <f t="shared" si="237"/>
        <v>45731</v>
      </c>
      <c r="C188" s="220">
        <f t="shared" si="238"/>
        <v>1049</v>
      </c>
      <c r="D188" s="220">
        <f t="shared" si="220"/>
        <v>2133</v>
      </c>
      <c r="E188" s="220">
        <f t="shared" si="255"/>
        <v>3182</v>
      </c>
      <c r="F188" s="220">
        <f t="shared" si="228"/>
        <v>823</v>
      </c>
      <c r="G188" s="220">
        <f t="shared" si="229"/>
        <v>1052</v>
      </c>
      <c r="H188" s="220">
        <f t="shared" si="230"/>
        <v>1342</v>
      </c>
      <c r="I188" s="220">
        <f t="shared" si="231"/>
        <v>1113</v>
      </c>
      <c r="J188" s="220">
        <f t="shared" si="232"/>
        <v>879</v>
      </c>
      <c r="K188" s="220">
        <f t="shared" si="233"/>
        <v>2359</v>
      </c>
      <c r="L188" s="220">
        <f t="shared" si="234"/>
        <v>2130</v>
      </c>
      <c r="M188" s="220">
        <f t="shared" si="235"/>
        <v>1840</v>
      </c>
      <c r="N188" s="220">
        <f t="shared" si="236"/>
        <v>2069</v>
      </c>
      <c r="O188" s="220">
        <f t="shared" si="236"/>
        <v>2303</v>
      </c>
      <c r="P188" s="220">
        <f t="shared" si="239"/>
        <v>2000</v>
      </c>
      <c r="Q188" s="220">
        <f t="shared" si="240"/>
        <v>2000</v>
      </c>
      <c r="R188" s="220">
        <f t="shared" si="241"/>
        <v>2000</v>
      </c>
      <c r="S188" s="220">
        <f t="shared" si="242"/>
        <v>2000</v>
      </c>
      <c r="T188" s="220">
        <f t="shared" si="243"/>
        <v>2000</v>
      </c>
      <c r="U188" s="220">
        <f t="shared" si="244"/>
        <v>359</v>
      </c>
      <c r="V188" s="220">
        <f t="shared" si="245"/>
        <v>130</v>
      </c>
      <c r="W188" s="220">
        <f t="shared" si="246"/>
        <v>-160</v>
      </c>
      <c r="X188" s="220">
        <f t="shared" si="247"/>
        <v>69</v>
      </c>
      <c r="Y188" s="220">
        <f t="shared" si="248"/>
        <v>303</v>
      </c>
      <c r="Z188" s="220">
        <v>5</v>
      </c>
      <c r="AA188" s="220">
        <v>7</v>
      </c>
      <c r="AB188" s="220">
        <v>4</v>
      </c>
      <c r="AC188" s="220">
        <v>7</v>
      </c>
      <c r="AD188" s="220">
        <v>3</v>
      </c>
      <c r="AE188" s="220">
        <f t="shared" si="249"/>
        <v>-294</v>
      </c>
      <c r="AF188" s="220">
        <f t="shared" si="250"/>
        <v>-453</v>
      </c>
      <c r="AG188" s="220">
        <f t="shared" si="251"/>
        <v>-621</v>
      </c>
      <c r="AH188" s="220">
        <f t="shared" si="252"/>
        <v>-425</v>
      </c>
      <c r="AI188" s="220">
        <f t="shared" si="253"/>
        <v>-260</v>
      </c>
      <c r="AJ188" s="50">
        <f t="shared" si="226"/>
        <v>2.2360000000000064</v>
      </c>
      <c r="AK188" s="257"/>
      <c r="AL188" s="257">
        <f t="shared" si="227"/>
        <v>1.2</v>
      </c>
      <c r="AM188" s="52"/>
      <c r="AN188" s="88"/>
    </row>
    <row r="189" spans="1:41" s="29" customFormat="1" ht="17.25" customHeight="1">
      <c r="A189" s="48">
        <v>218</v>
      </c>
      <c r="B189" s="49">
        <f t="shared" si="237"/>
        <v>45732</v>
      </c>
      <c r="C189" s="220">
        <f t="shared" si="238"/>
        <v>1049</v>
      </c>
      <c r="D189" s="220">
        <f t="shared" si="221"/>
        <v>2115</v>
      </c>
      <c r="E189" s="220">
        <f t="shared" si="255"/>
        <v>3164</v>
      </c>
      <c r="F189" s="220">
        <f t="shared" si="228"/>
        <v>809</v>
      </c>
      <c r="G189" s="220">
        <f t="shared" si="229"/>
        <v>1040</v>
      </c>
      <c r="H189" s="220">
        <f t="shared" si="230"/>
        <v>1330</v>
      </c>
      <c r="I189" s="220">
        <f t="shared" si="231"/>
        <v>1100</v>
      </c>
      <c r="J189" s="220">
        <f t="shared" si="232"/>
        <v>864</v>
      </c>
      <c r="K189" s="220">
        <f t="shared" si="233"/>
        <v>2355</v>
      </c>
      <c r="L189" s="220">
        <f t="shared" si="234"/>
        <v>2124</v>
      </c>
      <c r="M189" s="220">
        <f t="shared" si="235"/>
        <v>1834</v>
      </c>
      <c r="N189" s="220">
        <f t="shared" si="236"/>
        <v>2064</v>
      </c>
      <c r="O189" s="220">
        <f t="shared" si="236"/>
        <v>2300</v>
      </c>
      <c r="P189" s="220">
        <f t="shared" si="239"/>
        <v>2000</v>
      </c>
      <c r="Q189" s="220">
        <f t="shared" si="240"/>
        <v>2000</v>
      </c>
      <c r="R189" s="220">
        <f t="shared" si="241"/>
        <v>2000</v>
      </c>
      <c r="S189" s="220">
        <f t="shared" si="242"/>
        <v>2000</v>
      </c>
      <c r="T189" s="220">
        <f t="shared" si="243"/>
        <v>2000</v>
      </c>
      <c r="U189" s="220">
        <f t="shared" si="244"/>
        <v>355</v>
      </c>
      <c r="V189" s="220">
        <f t="shared" si="245"/>
        <v>124</v>
      </c>
      <c r="W189" s="220">
        <f t="shared" si="246"/>
        <v>-166</v>
      </c>
      <c r="X189" s="220">
        <f t="shared" si="247"/>
        <v>64</v>
      </c>
      <c r="Y189" s="220">
        <f t="shared" si="248"/>
        <v>300</v>
      </c>
      <c r="Z189" s="220">
        <v>4</v>
      </c>
      <c r="AA189" s="220">
        <v>6</v>
      </c>
      <c r="AB189" s="220">
        <v>6</v>
      </c>
      <c r="AC189" s="220">
        <v>5</v>
      </c>
      <c r="AD189" s="220">
        <v>3</v>
      </c>
      <c r="AE189" s="220">
        <f t="shared" si="249"/>
        <v>-298</v>
      </c>
      <c r="AF189" s="220">
        <f t="shared" si="250"/>
        <v>-459</v>
      </c>
      <c r="AG189" s="220">
        <f t="shared" si="251"/>
        <v>-627</v>
      </c>
      <c r="AH189" s="220">
        <f t="shared" si="252"/>
        <v>-430</v>
      </c>
      <c r="AI189" s="220">
        <f t="shared" si="253"/>
        <v>-263</v>
      </c>
      <c r="AJ189" s="50">
        <f t="shared" si="226"/>
        <v>2.2300000000000066</v>
      </c>
      <c r="AK189" s="257"/>
      <c r="AL189" s="257">
        <f t="shared" si="227"/>
        <v>1.2</v>
      </c>
      <c r="AM189" s="52"/>
      <c r="AN189" s="88"/>
    </row>
    <row r="190" spans="1:41" s="29" customFormat="1" ht="17.25" customHeight="1">
      <c r="A190" s="48">
        <v>219</v>
      </c>
      <c r="B190" s="49">
        <f t="shared" si="237"/>
        <v>45733</v>
      </c>
      <c r="C190" s="220">
        <f t="shared" si="238"/>
        <v>1049</v>
      </c>
      <c r="D190" s="220">
        <f t="shared" si="222"/>
        <v>2089</v>
      </c>
      <c r="E190" s="220">
        <f t="shared" ref="E190:E202" si="256">+C190+D190</f>
        <v>3138</v>
      </c>
      <c r="F190" s="220">
        <f t="shared" si="228"/>
        <v>788</v>
      </c>
      <c r="G190" s="220">
        <f t="shared" si="229"/>
        <v>1019</v>
      </c>
      <c r="H190" s="220">
        <f t="shared" si="230"/>
        <v>1308</v>
      </c>
      <c r="I190" s="220">
        <f t="shared" si="231"/>
        <v>1078</v>
      </c>
      <c r="J190" s="220">
        <f t="shared" si="232"/>
        <v>841</v>
      </c>
      <c r="K190" s="220">
        <f t="shared" si="233"/>
        <v>2350</v>
      </c>
      <c r="L190" s="220">
        <f t="shared" si="234"/>
        <v>2119</v>
      </c>
      <c r="M190" s="220">
        <f t="shared" si="235"/>
        <v>1830</v>
      </c>
      <c r="N190" s="220">
        <f t="shared" si="236"/>
        <v>2060</v>
      </c>
      <c r="O190" s="220">
        <f t="shared" si="236"/>
        <v>2297</v>
      </c>
      <c r="P190" s="220">
        <f t="shared" si="239"/>
        <v>2000</v>
      </c>
      <c r="Q190" s="220">
        <f t="shared" si="240"/>
        <v>2000</v>
      </c>
      <c r="R190" s="220">
        <f t="shared" si="241"/>
        <v>2000</v>
      </c>
      <c r="S190" s="220">
        <f t="shared" si="242"/>
        <v>2000</v>
      </c>
      <c r="T190" s="220">
        <f t="shared" si="243"/>
        <v>2000</v>
      </c>
      <c r="U190" s="220">
        <f t="shared" si="244"/>
        <v>350</v>
      </c>
      <c r="V190" s="220">
        <f t="shared" si="245"/>
        <v>119</v>
      </c>
      <c r="W190" s="220">
        <f t="shared" si="246"/>
        <v>-170</v>
      </c>
      <c r="X190" s="220">
        <f t="shared" si="247"/>
        <v>60</v>
      </c>
      <c r="Y190" s="220">
        <f t="shared" si="248"/>
        <v>297</v>
      </c>
      <c r="Z190" s="220">
        <v>5</v>
      </c>
      <c r="AA190" s="220">
        <v>5</v>
      </c>
      <c r="AB190" s="220">
        <v>4</v>
      </c>
      <c r="AC190" s="220">
        <v>4</v>
      </c>
      <c r="AD190" s="220">
        <v>3</v>
      </c>
      <c r="AE190" s="220">
        <f t="shared" si="249"/>
        <v>-303</v>
      </c>
      <c r="AF190" s="220">
        <f t="shared" si="250"/>
        <v>-464</v>
      </c>
      <c r="AG190" s="220">
        <f t="shared" si="251"/>
        <v>-631</v>
      </c>
      <c r="AH190" s="220">
        <f t="shared" si="252"/>
        <v>-434</v>
      </c>
      <c r="AI190" s="220">
        <f t="shared" si="253"/>
        <v>-266</v>
      </c>
      <c r="AJ190" s="50">
        <f t="shared" si="226"/>
        <v>2.2260000000000066</v>
      </c>
      <c r="AK190" s="257"/>
      <c r="AL190" s="257">
        <f t="shared" si="227"/>
        <v>1.2</v>
      </c>
      <c r="AM190" s="52"/>
      <c r="AN190" s="88"/>
    </row>
    <row r="191" spans="1:41" s="29" customFormat="1" ht="17.25" customHeight="1">
      <c r="A191" s="48">
        <v>220</v>
      </c>
      <c r="B191" s="49">
        <f t="shared" si="237"/>
        <v>45734</v>
      </c>
      <c r="C191" s="220">
        <f t="shared" si="238"/>
        <v>1049</v>
      </c>
      <c r="D191" s="220">
        <f t="shared" si="223"/>
        <v>2104</v>
      </c>
      <c r="E191" s="220">
        <f t="shared" si="256"/>
        <v>3153</v>
      </c>
      <c r="F191" s="220">
        <f t="shared" si="228"/>
        <v>806</v>
      </c>
      <c r="G191" s="220">
        <f t="shared" si="229"/>
        <v>1042</v>
      </c>
      <c r="H191" s="220">
        <f t="shared" si="230"/>
        <v>1326</v>
      </c>
      <c r="I191" s="220">
        <f t="shared" si="231"/>
        <v>1096</v>
      </c>
      <c r="J191" s="220">
        <f t="shared" si="232"/>
        <v>860</v>
      </c>
      <c r="K191" s="220">
        <f t="shared" si="233"/>
        <v>2347</v>
      </c>
      <c r="L191" s="220">
        <f t="shared" si="234"/>
        <v>2111</v>
      </c>
      <c r="M191" s="220">
        <f t="shared" si="235"/>
        <v>1827</v>
      </c>
      <c r="N191" s="220">
        <f t="shared" si="236"/>
        <v>2057</v>
      </c>
      <c r="O191" s="220">
        <f t="shared" si="236"/>
        <v>2293</v>
      </c>
      <c r="P191" s="220">
        <f t="shared" si="239"/>
        <v>2000</v>
      </c>
      <c r="Q191" s="220">
        <f t="shared" si="240"/>
        <v>2000</v>
      </c>
      <c r="R191" s="220">
        <f t="shared" si="241"/>
        <v>2000</v>
      </c>
      <c r="S191" s="220">
        <f t="shared" si="242"/>
        <v>2000</v>
      </c>
      <c r="T191" s="220">
        <f t="shared" si="243"/>
        <v>2000</v>
      </c>
      <c r="U191" s="220">
        <f t="shared" si="244"/>
        <v>347</v>
      </c>
      <c r="V191" s="220">
        <f t="shared" si="245"/>
        <v>111</v>
      </c>
      <c r="W191" s="220">
        <f t="shared" si="246"/>
        <v>-173</v>
      </c>
      <c r="X191" s="220">
        <f t="shared" si="247"/>
        <v>57</v>
      </c>
      <c r="Y191" s="220">
        <f t="shared" si="248"/>
        <v>293</v>
      </c>
      <c r="Z191" s="220">
        <v>3</v>
      </c>
      <c r="AA191" s="220">
        <v>8</v>
      </c>
      <c r="AB191" s="220">
        <v>3</v>
      </c>
      <c r="AC191" s="220">
        <v>3</v>
      </c>
      <c r="AD191" s="220">
        <v>4</v>
      </c>
      <c r="AE191" s="220">
        <f t="shared" si="249"/>
        <v>-306</v>
      </c>
      <c r="AF191" s="220">
        <f t="shared" si="250"/>
        <v>-472</v>
      </c>
      <c r="AG191" s="220">
        <f t="shared" si="251"/>
        <v>-634</v>
      </c>
      <c r="AH191" s="220">
        <f t="shared" si="252"/>
        <v>-437</v>
      </c>
      <c r="AI191" s="220">
        <f t="shared" si="253"/>
        <v>-270</v>
      </c>
      <c r="AJ191" s="50">
        <f t="shared" si="226"/>
        <v>2.2230000000000065</v>
      </c>
      <c r="AK191" s="257"/>
      <c r="AL191" s="257">
        <f t="shared" si="227"/>
        <v>1.2</v>
      </c>
      <c r="AM191" s="52"/>
      <c r="AN191" s="88"/>
    </row>
    <row r="192" spans="1:41" s="29" customFormat="1" ht="17.25" customHeight="1">
      <c r="A192" s="48">
        <v>221</v>
      </c>
      <c r="B192" s="49">
        <f t="shared" si="237"/>
        <v>45735</v>
      </c>
      <c r="C192" s="220">
        <f t="shared" si="238"/>
        <v>1049</v>
      </c>
      <c r="D192" s="220">
        <f t="shared" si="224"/>
        <v>2130</v>
      </c>
      <c r="E192" s="220">
        <f t="shared" si="256"/>
        <v>3179</v>
      </c>
      <c r="F192" s="220">
        <f t="shared" si="228"/>
        <v>835</v>
      </c>
      <c r="G192" s="220">
        <f t="shared" si="229"/>
        <v>1073</v>
      </c>
      <c r="H192" s="220">
        <f t="shared" si="230"/>
        <v>1358</v>
      </c>
      <c r="I192" s="220">
        <f t="shared" si="231"/>
        <v>1127</v>
      </c>
      <c r="J192" s="220">
        <f t="shared" si="232"/>
        <v>890</v>
      </c>
      <c r="K192" s="220">
        <f t="shared" si="233"/>
        <v>2344</v>
      </c>
      <c r="L192" s="220">
        <f t="shared" si="234"/>
        <v>2106</v>
      </c>
      <c r="M192" s="220">
        <f t="shared" si="235"/>
        <v>1821</v>
      </c>
      <c r="N192" s="220">
        <f t="shared" si="236"/>
        <v>2052</v>
      </c>
      <c r="O192" s="220">
        <f t="shared" si="236"/>
        <v>2289</v>
      </c>
      <c r="P192" s="220">
        <f t="shared" si="239"/>
        <v>2000</v>
      </c>
      <c r="Q192" s="220">
        <f t="shared" si="240"/>
        <v>2000</v>
      </c>
      <c r="R192" s="220">
        <f t="shared" si="241"/>
        <v>2000</v>
      </c>
      <c r="S192" s="220">
        <f t="shared" si="242"/>
        <v>2000</v>
      </c>
      <c r="T192" s="220">
        <f t="shared" si="243"/>
        <v>2000</v>
      </c>
      <c r="U192" s="220">
        <f t="shared" si="244"/>
        <v>344</v>
      </c>
      <c r="V192" s="220">
        <f t="shared" si="245"/>
        <v>106</v>
      </c>
      <c r="W192" s="220">
        <f t="shared" si="246"/>
        <v>-179</v>
      </c>
      <c r="X192" s="220">
        <f t="shared" si="247"/>
        <v>52</v>
      </c>
      <c r="Y192" s="220">
        <f t="shared" si="248"/>
        <v>289</v>
      </c>
      <c r="Z192" s="220">
        <v>3</v>
      </c>
      <c r="AA192" s="220">
        <v>5</v>
      </c>
      <c r="AB192" s="220">
        <v>6</v>
      </c>
      <c r="AC192" s="220">
        <v>5</v>
      </c>
      <c r="AD192" s="220">
        <v>4</v>
      </c>
      <c r="AE192" s="220">
        <f t="shared" si="249"/>
        <v>-309</v>
      </c>
      <c r="AF192" s="220">
        <f t="shared" si="250"/>
        <v>-477</v>
      </c>
      <c r="AG192" s="220">
        <f t="shared" si="251"/>
        <v>-640</v>
      </c>
      <c r="AH192" s="220">
        <f t="shared" si="252"/>
        <v>-442</v>
      </c>
      <c r="AI192" s="220">
        <f t="shared" si="253"/>
        <v>-274</v>
      </c>
      <c r="AJ192" s="50">
        <f t="shared" si="226"/>
        <v>2.2170000000000067</v>
      </c>
      <c r="AK192" s="257"/>
      <c r="AL192" s="257">
        <f t="shared" si="227"/>
        <v>1.2</v>
      </c>
      <c r="AM192" s="52"/>
      <c r="AN192" s="88"/>
    </row>
    <row r="193" spans="1:40" s="29" customFormat="1" ht="17.25" customHeight="1">
      <c r="A193" s="48">
        <v>222</v>
      </c>
      <c r="B193" s="49">
        <f t="shared" si="237"/>
        <v>45736</v>
      </c>
      <c r="C193" s="220">
        <f t="shared" si="238"/>
        <v>1049</v>
      </c>
      <c r="D193" s="220">
        <f t="shared" si="209"/>
        <v>2104</v>
      </c>
      <c r="E193" s="220">
        <f t="shared" si="256"/>
        <v>3153</v>
      </c>
      <c r="F193" s="220">
        <f t="shared" si="228"/>
        <v>813</v>
      </c>
      <c r="G193" s="220">
        <f t="shared" si="229"/>
        <v>1054</v>
      </c>
      <c r="H193" s="220">
        <f t="shared" si="230"/>
        <v>1335</v>
      </c>
      <c r="I193" s="220">
        <f t="shared" si="231"/>
        <v>1105</v>
      </c>
      <c r="J193" s="220">
        <f t="shared" si="232"/>
        <v>868</v>
      </c>
      <c r="K193" s="220">
        <f t="shared" si="233"/>
        <v>2340</v>
      </c>
      <c r="L193" s="220">
        <f t="shared" si="234"/>
        <v>2099</v>
      </c>
      <c r="M193" s="220">
        <f t="shared" si="235"/>
        <v>1818</v>
      </c>
      <c r="N193" s="220">
        <f t="shared" si="236"/>
        <v>2048</v>
      </c>
      <c r="O193" s="220">
        <f t="shared" si="236"/>
        <v>2285</v>
      </c>
      <c r="P193" s="220">
        <f t="shared" si="239"/>
        <v>2000</v>
      </c>
      <c r="Q193" s="220">
        <f t="shared" si="240"/>
        <v>2000</v>
      </c>
      <c r="R193" s="220">
        <f t="shared" si="241"/>
        <v>2000</v>
      </c>
      <c r="S193" s="220">
        <f t="shared" si="242"/>
        <v>2000</v>
      </c>
      <c r="T193" s="220">
        <f t="shared" si="243"/>
        <v>2000</v>
      </c>
      <c r="U193" s="220">
        <f t="shared" si="244"/>
        <v>340</v>
      </c>
      <c r="V193" s="220">
        <f t="shared" si="245"/>
        <v>99</v>
      </c>
      <c r="W193" s="220">
        <f t="shared" si="246"/>
        <v>-182</v>
      </c>
      <c r="X193" s="220">
        <f t="shared" si="247"/>
        <v>48</v>
      </c>
      <c r="Y193" s="220">
        <f t="shared" si="248"/>
        <v>285</v>
      </c>
      <c r="Z193" s="220">
        <v>4</v>
      </c>
      <c r="AA193" s="220">
        <v>7</v>
      </c>
      <c r="AB193" s="220">
        <v>3</v>
      </c>
      <c r="AC193" s="220">
        <v>4</v>
      </c>
      <c r="AD193" s="220">
        <v>4</v>
      </c>
      <c r="AE193" s="220">
        <f t="shared" si="249"/>
        <v>-313</v>
      </c>
      <c r="AF193" s="220">
        <f t="shared" si="250"/>
        <v>-484</v>
      </c>
      <c r="AG193" s="220">
        <f t="shared" si="251"/>
        <v>-643</v>
      </c>
      <c r="AH193" s="220">
        <f t="shared" si="252"/>
        <v>-446</v>
      </c>
      <c r="AI193" s="220">
        <f t="shared" si="253"/>
        <v>-278</v>
      </c>
      <c r="AJ193" s="50">
        <f t="shared" si="226"/>
        <v>2.2140000000000066</v>
      </c>
      <c r="AK193" s="257"/>
      <c r="AL193" s="257">
        <f t="shared" si="227"/>
        <v>1.2</v>
      </c>
      <c r="AM193" s="52"/>
      <c r="AN193" s="88"/>
    </row>
    <row r="194" spans="1:40" s="29" customFormat="1" ht="17.25" customHeight="1">
      <c r="A194" s="48">
        <v>223</v>
      </c>
      <c r="B194" s="49">
        <f t="shared" si="237"/>
        <v>45737</v>
      </c>
      <c r="C194" s="220">
        <f t="shared" si="238"/>
        <v>1049</v>
      </c>
      <c r="D194" s="220">
        <f t="shared" si="210"/>
        <v>2119</v>
      </c>
      <c r="E194" s="220">
        <f t="shared" si="256"/>
        <v>3168</v>
      </c>
      <c r="F194" s="220">
        <f t="shared" si="228"/>
        <v>832</v>
      </c>
      <c r="G194" s="220">
        <f t="shared" si="229"/>
        <v>1076</v>
      </c>
      <c r="H194" s="220">
        <f t="shared" si="230"/>
        <v>1355</v>
      </c>
      <c r="I194" s="220">
        <f t="shared" si="231"/>
        <v>1124</v>
      </c>
      <c r="J194" s="220">
        <f t="shared" si="232"/>
        <v>887</v>
      </c>
      <c r="K194" s="220">
        <f t="shared" si="233"/>
        <v>2336</v>
      </c>
      <c r="L194" s="220">
        <f t="shared" si="234"/>
        <v>2092</v>
      </c>
      <c r="M194" s="220">
        <f t="shared" si="235"/>
        <v>1813</v>
      </c>
      <c r="N194" s="220">
        <f t="shared" si="236"/>
        <v>2044</v>
      </c>
      <c r="O194" s="220">
        <f t="shared" si="236"/>
        <v>2281</v>
      </c>
      <c r="P194" s="220">
        <f t="shared" si="239"/>
        <v>2000</v>
      </c>
      <c r="Q194" s="220">
        <f t="shared" si="240"/>
        <v>2000</v>
      </c>
      <c r="R194" s="220">
        <f t="shared" si="241"/>
        <v>2000</v>
      </c>
      <c r="S194" s="220">
        <f t="shared" si="242"/>
        <v>2000</v>
      </c>
      <c r="T194" s="220">
        <f t="shared" si="243"/>
        <v>2000</v>
      </c>
      <c r="U194" s="220">
        <f t="shared" si="244"/>
        <v>336</v>
      </c>
      <c r="V194" s="220">
        <f t="shared" si="245"/>
        <v>92</v>
      </c>
      <c r="W194" s="220">
        <f t="shared" si="246"/>
        <v>-187</v>
      </c>
      <c r="X194" s="220">
        <f t="shared" si="247"/>
        <v>44</v>
      </c>
      <c r="Y194" s="220">
        <f t="shared" si="248"/>
        <v>281</v>
      </c>
      <c r="Z194" s="220">
        <v>4</v>
      </c>
      <c r="AA194" s="220">
        <v>7</v>
      </c>
      <c r="AB194" s="220">
        <v>5</v>
      </c>
      <c r="AC194" s="220">
        <v>4</v>
      </c>
      <c r="AD194" s="220">
        <v>4</v>
      </c>
      <c r="AE194" s="220">
        <f t="shared" si="249"/>
        <v>-317</v>
      </c>
      <c r="AF194" s="220">
        <f t="shared" si="250"/>
        <v>-491</v>
      </c>
      <c r="AG194" s="220">
        <f t="shared" si="251"/>
        <v>-648</v>
      </c>
      <c r="AH194" s="220">
        <f t="shared" si="252"/>
        <v>-450</v>
      </c>
      <c r="AI194" s="220">
        <f t="shared" si="253"/>
        <v>-282</v>
      </c>
      <c r="AJ194" s="50">
        <f t="shared" si="226"/>
        <v>2.2090000000000067</v>
      </c>
      <c r="AK194" s="257"/>
      <c r="AL194" s="257">
        <f t="shared" si="227"/>
        <v>1.2</v>
      </c>
      <c r="AM194" s="52"/>
      <c r="AN194" s="88"/>
    </row>
    <row r="195" spans="1:40" s="29" customFormat="1" ht="17.25" customHeight="1">
      <c r="A195" s="48">
        <v>224</v>
      </c>
      <c r="B195" s="49">
        <f t="shared" si="237"/>
        <v>45738</v>
      </c>
      <c r="C195" s="220">
        <f t="shared" si="238"/>
        <v>1049</v>
      </c>
      <c r="D195" s="220">
        <f t="shared" si="219"/>
        <v>2145</v>
      </c>
      <c r="E195" s="220">
        <f t="shared" si="256"/>
        <v>3194</v>
      </c>
      <c r="F195" s="220">
        <f t="shared" si="228"/>
        <v>862</v>
      </c>
      <c r="G195" s="220">
        <f t="shared" si="229"/>
        <v>1109</v>
      </c>
      <c r="H195" s="220">
        <f t="shared" si="230"/>
        <v>1385</v>
      </c>
      <c r="I195" s="220">
        <f t="shared" si="231"/>
        <v>1154</v>
      </c>
      <c r="J195" s="220">
        <f t="shared" si="232"/>
        <v>918</v>
      </c>
      <c r="K195" s="220">
        <f t="shared" si="233"/>
        <v>2332</v>
      </c>
      <c r="L195" s="220">
        <f t="shared" si="234"/>
        <v>2085</v>
      </c>
      <c r="M195" s="220">
        <f t="shared" si="235"/>
        <v>1809</v>
      </c>
      <c r="N195" s="220">
        <f t="shared" si="236"/>
        <v>2040</v>
      </c>
      <c r="O195" s="220">
        <f t="shared" si="236"/>
        <v>2276</v>
      </c>
      <c r="P195" s="220">
        <f t="shared" si="239"/>
        <v>2000</v>
      </c>
      <c r="Q195" s="220">
        <f t="shared" si="240"/>
        <v>2000</v>
      </c>
      <c r="R195" s="220">
        <f t="shared" si="241"/>
        <v>2000</v>
      </c>
      <c r="S195" s="220">
        <f t="shared" si="242"/>
        <v>2000</v>
      </c>
      <c r="T195" s="220">
        <f t="shared" si="243"/>
        <v>2000</v>
      </c>
      <c r="U195" s="220">
        <f t="shared" si="244"/>
        <v>332</v>
      </c>
      <c r="V195" s="220">
        <f t="shared" si="245"/>
        <v>85</v>
      </c>
      <c r="W195" s="220">
        <f t="shared" si="246"/>
        <v>-191</v>
      </c>
      <c r="X195" s="220">
        <f t="shared" si="247"/>
        <v>40</v>
      </c>
      <c r="Y195" s="220">
        <f t="shared" si="248"/>
        <v>276</v>
      </c>
      <c r="Z195" s="220">
        <v>4</v>
      </c>
      <c r="AA195" s="220">
        <v>7</v>
      </c>
      <c r="AB195" s="220">
        <v>4</v>
      </c>
      <c r="AC195" s="220">
        <v>4</v>
      </c>
      <c r="AD195" s="220">
        <v>5</v>
      </c>
      <c r="AE195" s="220">
        <f t="shared" si="249"/>
        <v>-321</v>
      </c>
      <c r="AF195" s="220">
        <f t="shared" si="250"/>
        <v>-498</v>
      </c>
      <c r="AG195" s="220">
        <f t="shared" si="251"/>
        <v>-652</v>
      </c>
      <c r="AH195" s="220">
        <f t="shared" si="252"/>
        <v>-454</v>
      </c>
      <c r="AI195" s="220">
        <f t="shared" si="253"/>
        <v>-287</v>
      </c>
      <c r="AJ195" s="50">
        <f t="shared" si="226"/>
        <v>2.2050000000000067</v>
      </c>
      <c r="AK195" s="257"/>
      <c r="AL195" s="257">
        <f t="shared" si="227"/>
        <v>1.2</v>
      </c>
      <c r="AM195" s="52"/>
      <c r="AN195" s="88"/>
    </row>
    <row r="196" spans="1:40" s="29" customFormat="1" ht="17.25" customHeight="1">
      <c r="A196" s="48">
        <v>225</v>
      </c>
      <c r="B196" s="49">
        <f t="shared" si="237"/>
        <v>45739</v>
      </c>
      <c r="C196" s="220">
        <f t="shared" si="238"/>
        <v>1049</v>
      </c>
      <c r="D196" s="220">
        <f t="shared" si="220"/>
        <v>2177</v>
      </c>
      <c r="E196" s="220">
        <f t="shared" si="256"/>
        <v>3226</v>
      </c>
      <c r="F196" s="220">
        <f t="shared" si="228"/>
        <v>900</v>
      </c>
      <c r="G196" s="220">
        <f t="shared" si="229"/>
        <v>1148</v>
      </c>
      <c r="H196" s="220">
        <f t="shared" si="230"/>
        <v>1421</v>
      </c>
      <c r="I196" s="220">
        <f t="shared" si="231"/>
        <v>1190</v>
      </c>
      <c r="J196" s="220">
        <f t="shared" si="232"/>
        <v>954</v>
      </c>
      <c r="K196" s="220">
        <f t="shared" si="233"/>
        <v>2326</v>
      </c>
      <c r="L196" s="220">
        <f t="shared" si="234"/>
        <v>2078</v>
      </c>
      <c r="M196" s="220">
        <f t="shared" si="235"/>
        <v>1805</v>
      </c>
      <c r="N196" s="220">
        <f t="shared" si="236"/>
        <v>2036</v>
      </c>
      <c r="O196" s="220">
        <f t="shared" si="236"/>
        <v>2272</v>
      </c>
      <c r="P196" s="220">
        <f t="shared" si="239"/>
        <v>2000</v>
      </c>
      <c r="Q196" s="220">
        <f t="shared" si="240"/>
        <v>2000</v>
      </c>
      <c r="R196" s="220">
        <f t="shared" si="241"/>
        <v>2000</v>
      </c>
      <c r="S196" s="220">
        <f t="shared" si="242"/>
        <v>2000</v>
      </c>
      <c r="T196" s="220">
        <f t="shared" si="243"/>
        <v>2000</v>
      </c>
      <c r="U196" s="220">
        <f t="shared" si="244"/>
        <v>326</v>
      </c>
      <c r="V196" s="220">
        <f t="shared" si="245"/>
        <v>78</v>
      </c>
      <c r="W196" s="220">
        <f t="shared" si="246"/>
        <v>-195</v>
      </c>
      <c r="X196" s="220">
        <f t="shared" si="247"/>
        <v>36</v>
      </c>
      <c r="Y196" s="220">
        <f t="shared" si="248"/>
        <v>272</v>
      </c>
      <c r="Z196" s="220">
        <v>6</v>
      </c>
      <c r="AA196" s="220">
        <v>7</v>
      </c>
      <c r="AB196" s="220">
        <v>4</v>
      </c>
      <c r="AC196" s="220">
        <v>4</v>
      </c>
      <c r="AD196" s="220">
        <v>4</v>
      </c>
      <c r="AE196" s="220">
        <f t="shared" si="249"/>
        <v>-327</v>
      </c>
      <c r="AF196" s="220">
        <f t="shared" si="250"/>
        <v>-505</v>
      </c>
      <c r="AG196" s="220">
        <f t="shared" si="251"/>
        <v>-656</v>
      </c>
      <c r="AH196" s="220">
        <f t="shared" si="252"/>
        <v>-458</v>
      </c>
      <c r="AI196" s="220">
        <f t="shared" si="253"/>
        <v>-291</v>
      </c>
      <c r="AJ196" s="50">
        <f t="shared" si="226"/>
        <v>2.2010000000000067</v>
      </c>
      <c r="AK196" s="257"/>
      <c r="AL196" s="257">
        <f t="shared" si="227"/>
        <v>1.2</v>
      </c>
      <c r="AM196" s="52"/>
      <c r="AN196" s="88"/>
    </row>
    <row r="197" spans="1:40" s="29" customFormat="1" ht="17.25" customHeight="1">
      <c r="A197" s="48">
        <v>226</v>
      </c>
      <c r="B197" s="49">
        <f t="shared" si="237"/>
        <v>45740</v>
      </c>
      <c r="C197" s="220">
        <f t="shared" si="238"/>
        <v>1049</v>
      </c>
      <c r="D197" s="220">
        <f t="shared" si="221"/>
        <v>2159</v>
      </c>
      <c r="E197" s="220">
        <f t="shared" si="256"/>
        <v>3208</v>
      </c>
      <c r="F197" s="220">
        <f t="shared" si="228"/>
        <v>887</v>
      </c>
      <c r="G197" s="220">
        <f t="shared" si="229"/>
        <v>1136</v>
      </c>
      <c r="H197" s="220">
        <f t="shared" si="230"/>
        <v>1407</v>
      </c>
      <c r="I197" s="220">
        <f t="shared" si="231"/>
        <v>1177</v>
      </c>
      <c r="J197" s="220">
        <f t="shared" si="232"/>
        <v>940</v>
      </c>
      <c r="K197" s="220">
        <f t="shared" si="233"/>
        <v>2321</v>
      </c>
      <c r="L197" s="220">
        <f t="shared" si="234"/>
        <v>2072</v>
      </c>
      <c r="M197" s="220">
        <f t="shared" si="235"/>
        <v>1801</v>
      </c>
      <c r="N197" s="220">
        <f t="shared" si="236"/>
        <v>2031</v>
      </c>
      <c r="O197" s="220">
        <f t="shared" si="236"/>
        <v>2268</v>
      </c>
      <c r="P197" s="220">
        <f t="shared" si="239"/>
        <v>2000</v>
      </c>
      <c r="Q197" s="220">
        <f t="shared" si="240"/>
        <v>2000</v>
      </c>
      <c r="R197" s="220">
        <f t="shared" si="241"/>
        <v>2000</v>
      </c>
      <c r="S197" s="220">
        <f t="shared" si="242"/>
        <v>2000</v>
      </c>
      <c r="T197" s="220">
        <f t="shared" si="243"/>
        <v>2000</v>
      </c>
      <c r="U197" s="220">
        <f t="shared" si="244"/>
        <v>321</v>
      </c>
      <c r="V197" s="220">
        <f t="shared" si="245"/>
        <v>72</v>
      </c>
      <c r="W197" s="220">
        <f t="shared" si="246"/>
        <v>-199</v>
      </c>
      <c r="X197" s="220">
        <f t="shared" si="247"/>
        <v>31</v>
      </c>
      <c r="Y197" s="220">
        <f t="shared" si="248"/>
        <v>268</v>
      </c>
      <c r="Z197" s="220">
        <v>5</v>
      </c>
      <c r="AA197" s="220">
        <v>6</v>
      </c>
      <c r="AB197" s="220">
        <v>4</v>
      </c>
      <c r="AC197" s="220">
        <v>5</v>
      </c>
      <c r="AD197" s="220">
        <v>4</v>
      </c>
      <c r="AE197" s="220">
        <f t="shared" si="249"/>
        <v>-332</v>
      </c>
      <c r="AF197" s="220">
        <f t="shared" si="250"/>
        <v>-511</v>
      </c>
      <c r="AG197" s="220">
        <f t="shared" si="251"/>
        <v>-660</v>
      </c>
      <c r="AH197" s="220">
        <f t="shared" si="252"/>
        <v>-463</v>
      </c>
      <c r="AI197" s="220">
        <f t="shared" si="253"/>
        <v>-295</v>
      </c>
      <c r="AJ197" s="50">
        <f t="shared" si="226"/>
        <v>2.1970000000000067</v>
      </c>
      <c r="AK197" s="257"/>
      <c r="AL197" s="257">
        <f t="shared" si="227"/>
        <v>1.2</v>
      </c>
      <c r="AM197" s="52"/>
      <c r="AN197" s="88"/>
    </row>
    <row r="198" spans="1:40" s="29" customFormat="1" ht="17.25" customHeight="1">
      <c r="A198" s="48">
        <v>227</v>
      </c>
      <c r="B198" s="49">
        <f t="shared" si="237"/>
        <v>45741</v>
      </c>
      <c r="C198" s="220">
        <f t="shared" si="238"/>
        <v>1049</v>
      </c>
      <c r="D198" s="220">
        <f t="shared" si="222"/>
        <v>2133</v>
      </c>
      <c r="E198" s="220">
        <f t="shared" si="256"/>
        <v>3182</v>
      </c>
      <c r="F198" s="220">
        <f t="shared" si="228"/>
        <v>865</v>
      </c>
      <c r="G198" s="220">
        <f t="shared" si="229"/>
        <v>1116</v>
      </c>
      <c r="H198" s="220">
        <f t="shared" si="230"/>
        <v>1385</v>
      </c>
      <c r="I198" s="220">
        <f t="shared" si="231"/>
        <v>1155</v>
      </c>
      <c r="J198" s="220">
        <f t="shared" si="232"/>
        <v>919</v>
      </c>
      <c r="K198" s="220">
        <f t="shared" si="233"/>
        <v>2317</v>
      </c>
      <c r="L198" s="220">
        <f t="shared" si="234"/>
        <v>2066</v>
      </c>
      <c r="M198" s="220">
        <f t="shared" si="235"/>
        <v>1797</v>
      </c>
      <c r="N198" s="220">
        <f t="shared" si="236"/>
        <v>2027</v>
      </c>
      <c r="O198" s="220">
        <f t="shared" si="236"/>
        <v>2263</v>
      </c>
      <c r="P198" s="220">
        <f t="shared" si="239"/>
        <v>2000</v>
      </c>
      <c r="Q198" s="220">
        <f t="shared" si="240"/>
        <v>2000</v>
      </c>
      <c r="R198" s="220">
        <f t="shared" si="241"/>
        <v>2000</v>
      </c>
      <c r="S198" s="220">
        <f t="shared" si="242"/>
        <v>2000</v>
      </c>
      <c r="T198" s="220">
        <f t="shared" si="243"/>
        <v>2000</v>
      </c>
      <c r="U198" s="220">
        <f t="shared" si="244"/>
        <v>317</v>
      </c>
      <c r="V198" s="220">
        <f t="shared" si="245"/>
        <v>66</v>
      </c>
      <c r="W198" s="220">
        <f t="shared" si="246"/>
        <v>-203</v>
      </c>
      <c r="X198" s="220">
        <f t="shared" si="247"/>
        <v>27</v>
      </c>
      <c r="Y198" s="220">
        <f t="shared" si="248"/>
        <v>263</v>
      </c>
      <c r="Z198" s="220">
        <v>4</v>
      </c>
      <c r="AA198" s="220">
        <v>6</v>
      </c>
      <c r="AB198" s="220">
        <v>4</v>
      </c>
      <c r="AC198" s="220">
        <v>4</v>
      </c>
      <c r="AD198" s="220">
        <v>5</v>
      </c>
      <c r="AE198" s="220">
        <f t="shared" si="249"/>
        <v>-336</v>
      </c>
      <c r="AF198" s="220">
        <f t="shared" si="250"/>
        <v>-517</v>
      </c>
      <c r="AG198" s="220">
        <f t="shared" si="251"/>
        <v>-664</v>
      </c>
      <c r="AH198" s="220">
        <f t="shared" si="252"/>
        <v>-467</v>
      </c>
      <c r="AI198" s="220">
        <f t="shared" si="253"/>
        <v>-300</v>
      </c>
      <c r="AJ198" s="50">
        <f t="shared" si="226"/>
        <v>2.1930000000000067</v>
      </c>
      <c r="AK198" s="257"/>
      <c r="AL198" s="257">
        <f t="shared" si="227"/>
        <v>1.2</v>
      </c>
      <c r="AM198" s="52"/>
      <c r="AN198" s="88"/>
    </row>
    <row r="199" spans="1:40" s="29" customFormat="1" ht="17.25" customHeight="1">
      <c r="A199" s="48">
        <v>228</v>
      </c>
      <c r="B199" s="49">
        <f t="shared" si="237"/>
        <v>45742</v>
      </c>
      <c r="C199" s="220">
        <f t="shared" si="238"/>
        <v>1049</v>
      </c>
      <c r="D199" s="220">
        <f t="shared" si="223"/>
        <v>2148</v>
      </c>
      <c r="E199" s="220">
        <f t="shared" si="256"/>
        <v>3197</v>
      </c>
      <c r="F199" s="220">
        <f t="shared" si="228"/>
        <v>884</v>
      </c>
      <c r="G199" s="220">
        <f t="shared" si="229"/>
        <v>1135</v>
      </c>
      <c r="H199" s="220">
        <f t="shared" si="230"/>
        <v>1405</v>
      </c>
      <c r="I199" s="220">
        <f t="shared" si="231"/>
        <v>1174</v>
      </c>
      <c r="J199" s="220">
        <f t="shared" si="232"/>
        <v>938</v>
      </c>
      <c r="K199" s="220">
        <f t="shared" si="233"/>
        <v>2313</v>
      </c>
      <c r="L199" s="220">
        <f t="shared" si="234"/>
        <v>2062</v>
      </c>
      <c r="M199" s="220">
        <f t="shared" si="235"/>
        <v>1792</v>
      </c>
      <c r="N199" s="220">
        <f t="shared" si="236"/>
        <v>2023</v>
      </c>
      <c r="O199" s="220">
        <f t="shared" si="236"/>
        <v>2259</v>
      </c>
      <c r="P199" s="220">
        <f t="shared" si="239"/>
        <v>2000</v>
      </c>
      <c r="Q199" s="220">
        <f t="shared" si="240"/>
        <v>2000</v>
      </c>
      <c r="R199" s="220">
        <f t="shared" si="241"/>
        <v>2000</v>
      </c>
      <c r="S199" s="220">
        <f t="shared" si="242"/>
        <v>2000</v>
      </c>
      <c r="T199" s="220">
        <f t="shared" si="243"/>
        <v>2000</v>
      </c>
      <c r="U199" s="220">
        <f t="shared" si="244"/>
        <v>313</v>
      </c>
      <c r="V199" s="220">
        <f t="shared" si="245"/>
        <v>62</v>
      </c>
      <c r="W199" s="220">
        <f t="shared" si="246"/>
        <v>-208</v>
      </c>
      <c r="X199" s="220">
        <f t="shared" si="247"/>
        <v>23</v>
      </c>
      <c r="Y199" s="220">
        <f t="shared" si="248"/>
        <v>259</v>
      </c>
      <c r="Z199" s="220">
        <v>4</v>
      </c>
      <c r="AA199" s="220">
        <v>4</v>
      </c>
      <c r="AB199" s="220">
        <v>5</v>
      </c>
      <c r="AC199" s="220">
        <v>4</v>
      </c>
      <c r="AD199" s="220">
        <v>4</v>
      </c>
      <c r="AE199" s="220">
        <f t="shared" si="249"/>
        <v>-340</v>
      </c>
      <c r="AF199" s="220">
        <f t="shared" si="250"/>
        <v>-521</v>
      </c>
      <c r="AG199" s="220">
        <f t="shared" si="251"/>
        <v>-669</v>
      </c>
      <c r="AH199" s="220">
        <f t="shared" si="252"/>
        <v>-471</v>
      </c>
      <c r="AI199" s="220">
        <f t="shared" si="253"/>
        <v>-304</v>
      </c>
      <c r="AJ199" s="50">
        <f t="shared" si="226"/>
        <v>2.1880000000000068</v>
      </c>
      <c r="AK199" s="257"/>
      <c r="AL199" s="257">
        <f t="shared" si="227"/>
        <v>1.2</v>
      </c>
      <c r="AM199" s="52"/>
      <c r="AN199" s="88"/>
    </row>
    <row r="200" spans="1:40" s="29" customFormat="1" ht="17.25" customHeight="1">
      <c r="A200" s="48">
        <v>229</v>
      </c>
      <c r="B200" s="49">
        <f t="shared" si="237"/>
        <v>45743</v>
      </c>
      <c r="C200" s="220">
        <f t="shared" si="238"/>
        <v>1049</v>
      </c>
      <c r="D200" s="220">
        <f t="shared" si="224"/>
        <v>2174</v>
      </c>
      <c r="E200" s="220">
        <f t="shared" si="256"/>
        <v>3223</v>
      </c>
      <c r="F200" s="220">
        <f t="shared" si="228"/>
        <v>913</v>
      </c>
      <c r="G200" s="220">
        <f t="shared" si="229"/>
        <v>1164</v>
      </c>
      <c r="H200" s="220">
        <f t="shared" si="230"/>
        <v>1435</v>
      </c>
      <c r="I200" s="220">
        <f t="shared" si="231"/>
        <v>1205</v>
      </c>
      <c r="J200" s="220">
        <f t="shared" si="232"/>
        <v>969</v>
      </c>
      <c r="K200" s="220">
        <f t="shared" si="233"/>
        <v>2310</v>
      </c>
      <c r="L200" s="220">
        <f t="shared" si="234"/>
        <v>2059</v>
      </c>
      <c r="M200" s="220">
        <f t="shared" si="235"/>
        <v>1788</v>
      </c>
      <c r="N200" s="220">
        <f t="shared" si="236"/>
        <v>2018</v>
      </c>
      <c r="O200" s="220">
        <f t="shared" si="236"/>
        <v>2254</v>
      </c>
      <c r="P200" s="220">
        <f t="shared" si="239"/>
        <v>2000</v>
      </c>
      <c r="Q200" s="220">
        <f t="shared" si="240"/>
        <v>2000</v>
      </c>
      <c r="R200" s="220">
        <f t="shared" si="241"/>
        <v>2000</v>
      </c>
      <c r="S200" s="220">
        <f t="shared" si="242"/>
        <v>2000</v>
      </c>
      <c r="T200" s="220">
        <f t="shared" si="243"/>
        <v>2000</v>
      </c>
      <c r="U200" s="220">
        <f t="shared" si="244"/>
        <v>310</v>
      </c>
      <c r="V200" s="220">
        <f t="shared" si="245"/>
        <v>59</v>
      </c>
      <c r="W200" s="220">
        <f t="shared" si="246"/>
        <v>-212</v>
      </c>
      <c r="X200" s="220">
        <f t="shared" si="247"/>
        <v>18</v>
      </c>
      <c r="Y200" s="220">
        <f t="shared" si="248"/>
        <v>254</v>
      </c>
      <c r="Z200" s="220">
        <v>3</v>
      </c>
      <c r="AA200" s="220">
        <v>3</v>
      </c>
      <c r="AB200" s="220">
        <v>4</v>
      </c>
      <c r="AC200" s="220">
        <v>5</v>
      </c>
      <c r="AD200" s="220">
        <v>5</v>
      </c>
      <c r="AE200" s="220">
        <f t="shared" si="249"/>
        <v>-343</v>
      </c>
      <c r="AF200" s="220">
        <f t="shared" si="250"/>
        <v>-524</v>
      </c>
      <c r="AG200" s="220">
        <f t="shared" si="251"/>
        <v>-673</v>
      </c>
      <c r="AH200" s="220">
        <f t="shared" si="252"/>
        <v>-476</v>
      </c>
      <c r="AI200" s="220">
        <f t="shared" si="253"/>
        <v>-309</v>
      </c>
      <c r="AJ200" s="50">
        <f t="shared" si="226"/>
        <v>2.1840000000000068</v>
      </c>
      <c r="AK200" s="257"/>
      <c r="AL200" s="257">
        <f t="shared" si="227"/>
        <v>1.2</v>
      </c>
      <c r="AM200" s="52"/>
      <c r="AN200" s="88"/>
    </row>
    <row r="201" spans="1:40" s="29" customFormat="1" ht="17.25" customHeight="1">
      <c r="A201" s="48">
        <v>230</v>
      </c>
      <c r="B201" s="49">
        <f t="shared" si="237"/>
        <v>45744</v>
      </c>
      <c r="C201" s="220">
        <f t="shared" si="238"/>
        <v>1049</v>
      </c>
      <c r="D201" s="220">
        <f t="shared" ref="D201:D264" si="257">D200-26</f>
        <v>2148</v>
      </c>
      <c r="E201" s="220">
        <f t="shared" si="256"/>
        <v>3197</v>
      </c>
      <c r="F201" s="220">
        <f t="shared" si="228"/>
        <v>892</v>
      </c>
      <c r="G201" s="220">
        <f t="shared" si="229"/>
        <v>1142</v>
      </c>
      <c r="H201" s="220">
        <f t="shared" si="230"/>
        <v>1413</v>
      </c>
      <c r="I201" s="220">
        <f t="shared" si="231"/>
        <v>1183</v>
      </c>
      <c r="J201" s="220">
        <f t="shared" si="232"/>
        <v>946</v>
      </c>
      <c r="K201" s="220">
        <f t="shared" si="233"/>
        <v>2305</v>
      </c>
      <c r="L201" s="220">
        <f t="shared" si="234"/>
        <v>2055</v>
      </c>
      <c r="M201" s="220">
        <f t="shared" si="235"/>
        <v>1784</v>
      </c>
      <c r="N201" s="220">
        <f t="shared" si="236"/>
        <v>2014</v>
      </c>
      <c r="O201" s="220">
        <f t="shared" si="236"/>
        <v>2251</v>
      </c>
      <c r="P201" s="220">
        <f t="shared" si="239"/>
        <v>2000</v>
      </c>
      <c r="Q201" s="220">
        <f t="shared" si="240"/>
        <v>2000</v>
      </c>
      <c r="R201" s="220">
        <f t="shared" si="241"/>
        <v>2000</v>
      </c>
      <c r="S201" s="220">
        <f t="shared" si="242"/>
        <v>2000</v>
      </c>
      <c r="T201" s="220">
        <f t="shared" si="243"/>
        <v>2000</v>
      </c>
      <c r="U201" s="220">
        <f t="shared" si="244"/>
        <v>305</v>
      </c>
      <c r="V201" s="220">
        <f t="shared" si="245"/>
        <v>55</v>
      </c>
      <c r="W201" s="220">
        <f t="shared" si="246"/>
        <v>-216</v>
      </c>
      <c r="X201" s="220">
        <f t="shared" si="247"/>
        <v>14</v>
      </c>
      <c r="Y201" s="220">
        <f t="shared" si="248"/>
        <v>251</v>
      </c>
      <c r="Z201" s="220">
        <v>5</v>
      </c>
      <c r="AA201" s="220">
        <v>4</v>
      </c>
      <c r="AB201" s="220">
        <v>4</v>
      </c>
      <c r="AC201" s="220">
        <v>4</v>
      </c>
      <c r="AD201" s="220">
        <v>3</v>
      </c>
      <c r="AE201" s="220">
        <f t="shared" si="249"/>
        <v>-348</v>
      </c>
      <c r="AF201" s="220">
        <f t="shared" si="250"/>
        <v>-528</v>
      </c>
      <c r="AG201" s="220">
        <f t="shared" si="251"/>
        <v>-677</v>
      </c>
      <c r="AH201" s="220">
        <f t="shared" si="252"/>
        <v>-480</v>
      </c>
      <c r="AI201" s="220">
        <f t="shared" si="253"/>
        <v>-312</v>
      </c>
      <c r="AJ201" s="50">
        <f t="shared" si="226"/>
        <v>2.1800000000000068</v>
      </c>
      <c r="AK201" s="257"/>
      <c r="AL201" s="257">
        <f t="shared" si="227"/>
        <v>1.2</v>
      </c>
      <c r="AM201" s="52"/>
      <c r="AN201" s="88"/>
    </row>
    <row r="202" spans="1:40" s="29" customFormat="1" ht="17.25" customHeight="1">
      <c r="A202" s="48">
        <v>231</v>
      </c>
      <c r="B202" s="49">
        <f t="shared" si="237"/>
        <v>45745</v>
      </c>
      <c r="C202" s="220">
        <f t="shared" si="238"/>
        <v>1049</v>
      </c>
      <c r="D202" s="220">
        <f t="shared" ref="D202:D210" si="258">D201+15</f>
        <v>2163</v>
      </c>
      <c r="E202" s="220">
        <f t="shared" si="256"/>
        <v>3212</v>
      </c>
      <c r="F202" s="220">
        <f t="shared" si="228"/>
        <v>910</v>
      </c>
      <c r="G202" s="220">
        <f t="shared" si="229"/>
        <v>1161</v>
      </c>
      <c r="H202" s="220">
        <f t="shared" si="230"/>
        <v>1433</v>
      </c>
      <c r="I202" s="220">
        <f t="shared" si="231"/>
        <v>1203</v>
      </c>
      <c r="J202" s="220">
        <f t="shared" si="232"/>
        <v>963</v>
      </c>
      <c r="K202" s="220">
        <f t="shared" si="233"/>
        <v>2302</v>
      </c>
      <c r="L202" s="220">
        <f t="shared" si="234"/>
        <v>2051</v>
      </c>
      <c r="M202" s="220">
        <f t="shared" si="235"/>
        <v>1779</v>
      </c>
      <c r="N202" s="220">
        <f t="shared" si="236"/>
        <v>2009</v>
      </c>
      <c r="O202" s="220">
        <f t="shared" si="236"/>
        <v>2249</v>
      </c>
      <c r="P202" s="220">
        <f t="shared" si="239"/>
        <v>2000</v>
      </c>
      <c r="Q202" s="220">
        <f t="shared" si="240"/>
        <v>2000</v>
      </c>
      <c r="R202" s="220">
        <f t="shared" si="241"/>
        <v>2000</v>
      </c>
      <c r="S202" s="220">
        <f t="shared" si="242"/>
        <v>2000</v>
      </c>
      <c r="T202" s="220">
        <f t="shared" si="243"/>
        <v>2000</v>
      </c>
      <c r="U202" s="220">
        <f t="shared" si="244"/>
        <v>302</v>
      </c>
      <c r="V202" s="220">
        <f t="shared" si="245"/>
        <v>51</v>
      </c>
      <c r="W202" s="220">
        <f t="shared" si="246"/>
        <v>-221</v>
      </c>
      <c r="X202" s="220">
        <f t="shared" si="247"/>
        <v>9</v>
      </c>
      <c r="Y202" s="220">
        <f t="shared" si="248"/>
        <v>249</v>
      </c>
      <c r="Z202" s="220">
        <v>3</v>
      </c>
      <c r="AA202" s="220">
        <v>4</v>
      </c>
      <c r="AB202" s="220">
        <v>5</v>
      </c>
      <c r="AC202" s="220">
        <v>5</v>
      </c>
      <c r="AD202" s="220">
        <v>2</v>
      </c>
      <c r="AE202" s="220">
        <f t="shared" si="249"/>
        <v>-351</v>
      </c>
      <c r="AF202" s="220">
        <f t="shared" si="250"/>
        <v>-532</v>
      </c>
      <c r="AG202" s="220">
        <f t="shared" si="251"/>
        <v>-682</v>
      </c>
      <c r="AH202" s="220">
        <f t="shared" si="252"/>
        <v>-485</v>
      </c>
      <c r="AI202" s="220">
        <f t="shared" si="253"/>
        <v>-314</v>
      </c>
      <c r="AJ202" s="50">
        <f t="shared" si="226"/>
        <v>2.1750000000000069</v>
      </c>
      <c r="AK202" s="257"/>
      <c r="AL202" s="257">
        <f t="shared" si="227"/>
        <v>1.2</v>
      </c>
      <c r="AM202" s="52"/>
      <c r="AN202" s="88"/>
    </row>
    <row r="203" spans="1:40" s="29" customFormat="1" ht="17.25" customHeight="1">
      <c r="A203" s="48">
        <v>232</v>
      </c>
      <c r="B203" s="49">
        <f t="shared" si="237"/>
        <v>45746</v>
      </c>
      <c r="C203" s="220">
        <f t="shared" si="238"/>
        <v>1049</v>
      </c>
      <c r="D203" s="220">
        <f t="shared" si="219"/>
        <v>2189</v>
      </c>
      <c r="E203" s="220">
        <f t="shared" ref="E203:E209" si="259">+C203+D203</f>
        <v>3238</v>
      </c>
      <c r="F203" s="220">
        <f t="shared" si="228"/>
        <v>939</v>
      </c>
      <c r="G203" s="220">
        <f t="shared" si="229"/>
        <v>1190</v>
      </c>
      <c r="H203" s="220">
        <f t="shared" si="230"/>
        <v>1463</v>
      </c>
      <c r="I203" s="220">
        <f t="shared" si="231"/>
        <v>1234</v>
      </c>
      <c r="J203" s="220">
        <f t="shared" si="232"/>
        <v>992</v>
      </c>
      <c r="K203" s="220">
        <f t="shared" si="233"/>
        <v>2299</v>
      </c>
      <c r="L203" s="220">
        <f t="shared" si="234"/>
        <v>2048</v>
      </c>
      <c r="M203" s="220">
        <f t="shared" si="235"/>
        <v>1775</v>
      </c>
      <c r="N203" s="220">
        <f t="shared" si="236"/>
        <v>2004</v>
      </c>
      <c r="O203" s="220">
        <f t="shared" si="236"/>
        <v>2246</v>
      </c>
      <c r="P203" s="220">
        <f t="shared" si="239"/>
        <v>2000</v>
      </c>
      <c r="Q203" s="220">
        <f t="shared" si="240"/>
        <v>2000</v>
      </c>
      <c r="R203" s="220">
        <f t="shared" si="241"/>
        <v>2000</v>
      </c>
      <c r="S203" s="220">
        <f t="shared" si="242"/>
        <v>2000</v>
      </c>
      <c r="T203" s="220">
        <f t="shared" si="243"/>
        <v>2000</v>
      </c>
      <c r="U203" s="220">
        <f t="shared" si="244"/>
        <v>299</v>
      </c>
      <c r="V203" s="220">
        <f t="shared" si="245"/>
        <v>48</v>
      </c>
      <c r="W203" s="220">
        <f t="shared" si="246"/>
        <v>-225</v>
      </c>
      <c r="X203" s="220">
        <f t="shared" si="247"/>
        <v>4</v>
      </c>
      <c r="Y203" s="220">
        <f t="shared" si="248"/>
        <v>246</v>
      </c>
      <c r="Z203" s="220">
        <v>3</v>
      </c>
      <c r="AA203" s="220">
        <v>3</v>
      </c>
      <c r="AB203" s="220">
        <v>4</v>
      </c>
      <c r="AC203" s="220">
        <v>5</v>
      </c>
      <c r="AD203" s="220">
        <v>3</v>
      </c>
      <c r="AE203" s="220">
        <f t="shared" si="249"/>
        <v>-354</v>
      </c>
      <c r="AF203" s="220">
        <f t="shared" si="250"/>
        <v>-535</v>
      </c>
      <c r="AG203" s="220">
        <f t="shared" si="251"/>
        <v>-686</v>
      </c>
      <c r="AH203" s="220">
        <f t="shared" si="252"/>
        <v>-490</v>
      </c>
      <c r="AI203" s="220">
        <f t="shared" si="253"/>
        <v>-317</v>
      </c>
      <c r="AJ203" s="50">
        <f t="shared" si="226"/>
        <v>2.1710000000000069</v>
      </c>
      <c r="AK203" s="257"/>
      <c r="AL203" s="257">
        <f t="shared" si="227"/>
        <v>1.2</v>
      </c>
      <c r="AM203" s="52"/>
      <c r="AN203" s="88"/>
    </row>
    <row r="204" spans="1:40" s="29" customFormat="1" ht="17.25" customHeight="1">
      <c r="A204" s="48">
        <v>233</v>
      </c>
      <c r="B204" s="49">
        <f t="shared" si="237"/>
        <v>45747</v>
      </c>
      <c r="C204" s="220">
        <f t="shared" si="238"/>
        <v>1049</v>
      </c>
      <c r="D204" s="220">
        <f t="shared" si="220"/>
        <v>2221</v>
      </c>
      <c r="E204" s="220">
        <f t="shared" si="259"/>
        <v>3270</v>
      </c>
      <c r="F204" s="220">
        <f t="shared" si="228"/>
        <v>974</v>
      </c>
      <c r="G204" s="220">
        <f t="shared" si="229"/>
        <v>1225</v>
      </c>
      <c r="H204" s="220">
        <f t="shared" si="230"/>
        <v>1500</v>
      </c>
      <c r="I204" s="220">
        <f t="shared" si="231"/>
        <v>1269</v>
      </c>
      <c r="J204" s="220">
        <f t="shared" si="232"/>
        <v>1028</v>
      </c>
      <c r="K204" s="220">
        <f t="shared" si="233"/>
        <v>2296</v>
      </c>
      <c r="L204" s="220">
        <f t="shared" si="234"/>
        <v>2045</v>
      </c>
      <c r="M204" s="220">
        <f t="shared" si="235"/>
        <v>1770</v>
      </c>
      <c r="N204" s="220">
        <f t="shared" si="236"/>
        <v>2001</v>
      </c>
      <c r="O204" s="220">
        <f t="shared" si="236"/>
        <v>2242</v>
      </c>
      <c r="P204" s="220">
        <f t="shared" si="239"/>
        <v>2000</v>
      </c>
      <c r="Q204" s="220">
        <f t="shared" si="240"/>
        <v>2000</v>
      </c>
      <c r="R204" s="220">
        <f t="shared" si="241"/>
        <v>2000</v>
      </c>
      <c r="S204" s="220">
        <f t="shared" si="242"/>
        <v>2000</v>
      </c>
      <c r="T204" s="220">
        <f t="shared" si="243"/>
        <v>2000</v>
      </c>
      <c r="U204" s="220">
        <f t="shared" si="244"/>
        <v>296</v>
      </c>
      <c r="V204" s="220">
        <f t="shared" si="245"/>
        <v>45</v>
      </c>
      <c r="W204" s="220">
        <f t="shared" si="246"/>
        <v>-230</v>
      </c>
      <c r="X204" s="220">
        <f t="shared" si="247"/>
        <v>1</v>
      </c>
      <c r="Y204" s="220">
        <f t="shared" si="248"/>
        <v>242</v>
      </c>
      <c r="Z204" s="220">
        <v>3</v>
      </c>
      <c r="AA204" s="220">
        <v>3</v>
      </c>
      <c r="AB204" s="220">
        <v>5</v>
      </c>
      <c r="AC204" s="220">
        <v>3</v>
      </c>
      <c r="AD204" s="220">
        <v>4</v>
      </c>
      <c r="AE204" s="220">
        <f t="shared" si="249"/>
        <v>-357</v>
      </c>
      <c r="AF204" s="220">
        <f t="shared" si="250"/>
        <v>-538</v>
      </c>
      <c r="AG204" s="220">
        <f t="shared" si="251"/>
        <v>-691</v>
      </c>
      <c r="AH204" s="220">
        <f t="shared" si="252"/>
        <v>-493</v>
      </c>
      <c r="AI204" s="220">
        <f t="shared" si="253"/>
        <v>-321</v>
      </c>
      <c r="AJ204" s="50">
        <f t="shared" si="226"/>
        <v>2.166000000000007</v>
      </c>
      <c r="AK204" s="257"/>
      <c r="AL204" s="257">
        <f t="shared" si="227"/>
        <v>1.2</v>
      </c>
      <c r="AM204" s="52"/>
      <c r="AN204" s="88"/>
    </row>
    <row r="205" spans="1:40" s="29" customFormat="1" ht="17.25" customHeight="1">
      <c r="A205" s="48">
        <v>234</v>
      </c>
      <c r="B205" s="49">
        <f t="shared" si="237"/>
        <v>45748</v>
      </c>
      <c r="C205" s="220">
        <f t="shared" si="238"/>
        <v>1049</v>
      </c>
      <c r="D205" s="220">
        <f t="shared" si="221"/>
        <v>2203</v>
      </c>
      <c r="E205" s="220">
        <f t="shared" si="259"/>
        <v>3252</v>
      </c>
      <c r="F205" s="220">
        <f t="shared" si="228"/>
        <v>958</v>
      </c>
      <c r="G205" s="220">
        <f t="shared" si="229"/>
        <v>1211</v>
      </c>
      <c r="H205" s="220">
        <f t="shared" si="230"/>
        <v>1487</v>
      </c>
      <c r="I205" s="220">
        <f t="shared" si="231"/>
        <v>1255</v>
      </c>
      <c r="J205" s="220">
        <f t="shared" si="232"/>
        <v>1014</v>
      </c>
      <c r="K205" s="220">
        <f t="shared" si="233"/>
        <v>2294</v>
      </c>
      <c r="L205" s="220">
        <f t="shared" si="234"/>
        <v>2041</v>
      </c>
      <c r="M205" s="220">
        <f t="shared" si="235"/>
        <v>1765</v>
      </c>
      <c r="N205" s="220">
        <f t="shared" si="236"/>
        <v>1997</v>
      </c>
      <c r="O205" s="220">
        <f t="shared" si="236"/>
        <v>2238</v>
      </c>
      <c r="P205" s="220">
        <f t="shared" si="239"/>
        <v>2000</v>
      </c>
      <c r="Q205" s="220">
        <f t="shared" si="240"/>
        <v>2000</v>
      </c>
      <c r="R205" s="220">
        <f t="shared" si="241"/>
        <v>2000</v>
      </c>
      <c r="S205" s="220">
        <f t="shared" si="242"/>
        <v>2000</v>
      </c>
      <c r="T205" s="220">
        <f t="shared" si="243"/>
        <v>2000</v>
      </c>
      <c r="U205" s="220">
        <f t="shared" si="244"/>
        <v>294</v>
      </c>
      <c r="V205" s="220">
        <f t="shared" si="245"/>
        <v>41</v>
      </c>
      <c r="W205" s="220">
        <f t="shared" si="246"/>
        <v>-235</v>
      </c>
      <c r="X205" s="220">
        <f t="shared" si="247"/>
        <v>-3</v>
      </c>
      <c r="Y205" s="220">
        <f t="shared" si="248"/>
        <v>238</v>
      </c>
      <c r="Z205" s="220">
        <v>2</v>
      </c>
      <c r="AA205" s="220">
        <v>4</v>
      </c>
      <c r="AB205" s="220">
        <v>5</v>
      </c>
      <c r="AC205" s="220">
        <v>4</v>
      </c>
      <c r="AD205" s="220">
        <v>4</v>
      </c>
      <c r="AE205" s="220">
        <f t="shared" si="249"/>
        <v>-359</v>
      </c>
      <c r="AF205" s="220">
        <f t="shared" si="250"/>
        <v>-542</v>
      </c>
      <c r="AG205" s="220">
        <f t="shared" si="251"/>
        <v>-696</v>
      </c>
      <c r="AH205" s="220">
        <f t="shared" si="252"/>
        <v>-497</v>
      </c>
      <c r="AI205" s="220">
        <f t="shared" si="253"/>
        <v>-325</v>
      </c>
      <c r="AJ205" s="50">
        <f t="shared" si="226"/>
        <v>2.1610000000000071</v>
      </c>
      <c r="AK205" s="257"/>
      <c r="AL205" s="257">
        <f t="shared" si="227"/>
        <v>1.2</v>
      </c>
      <c r="AM205" s="52"/>
      <c r="AN205" s="88"/>
    </row>
    <row r="206" spans="1:40" s="29" customFormat="1" ht="17.25" customHeight="1">
      <c r="A206" s="48">
        <v>235</v>
      </c>
      <c r="B206" s="49">
        <f t="shared" si="237"/>
        <v>45749</v>
      </c>
      <c r="C206" s="220">
        <f t="shared" si="238"/>
        <v>1049</v>
      </c>
      <c r="D206" s="220">
        <f t="shared" si="222"/>
        <v>2177</v>
      </c>
      <c r="E206" s="220">
        <f t="shared" si="259"/>
        <v>3226</v>
      </c>
      <c r="F206" s="220">
        <f t="shared" si="228"/>
        <v>936</v>
      </c>
      <c r="G206" s="220">
        <f t="shared" si="229"/>
        <v>1190</v>
      </c>
      <c r="H206" s="220">
        <f t="shared" si="230"/>
        <v>1464</v>
      </c>
      <c r="I206" s="220">
        <f t="shared" si="231"/>
        <v>1233</v>
      </c>
      <c r="J206" s="220">
        <f t="shared" si="232"/>
        <v>991</v>
      </c>
      <c r="K206" s="220">
        <f t="shared" si="233"/>
        <v>2290</v>
      </c>
      <c r="L206" s="220">
        <f t="shared" si="234"/>
        <v>2036</v>
      </c>
      <c r="M206" s="220">
        <f t="shared" si="235"/>
        <v>1762</v>
      </c>
      <c r="N206" s="220">
        <f t="shared" si="236"/>
        <v>1993</v>
      </c>
      <c r="O206" s="220">
        <f t="shared" si="236"/>
        <v>2235</v>
      </c>
      <c r="P206" s="220">
        <f t="shared" si="239"/>
        <v>2000</v>
      </c>
      <c r="Q206" s="220">
        <f t="shared" si="240"/>
        <v>2000</v>
      </c>
      <c r="R206" s="220">
        <f t="shared" si="241"/>
        <v>2000</v>
      </c>
      <c r="S206" s="220">
        <f t="shared" si="242"/>
        <v>2000</v>
      </c>
      <c r="T206" s="220">
        <f t="shared" si="243"/>
        <v>2000</v>
      </c>
      <c r="U206" s="220">
        <f t="shared" si="244"/>
        <v>290</v>
      </c>
      <c r="V206" s="220">
        <f t="shared" si="245"/>
        <v>36</v>
      </c>
      <c r="W206" s="220">
        <f t="shared" si="246"/>
        <v>-238</v>
      </c>
      <c r="X206" s="220">
        <f t="shared" si="247"/>
        <v>-7</v>
      </c>
      <c r="Y206" s="220">
        <f t="shared" si="248"/>
        <v>235</v>
      </c>
      <c r="Z206" s="220">
        <v>4</v>
      </c>
      <c r="AA206" s="220">
        <v>5</v>
      </c>
      <c r="AB206" s="220">
        <v>3</v>
      </c>
      <c r="AC206" s="220">
        <v>4</v>
      </c>
      <c r="AD206" s="220">
        <v>3</v>
      </c>
      <c r="AE206" s="220">
        <f t="shared" si="249"/>
        <v>-363</v>
      </c>
      <c r="AF206" s="220">
        <f t="shared" si="250"/>
        <v>-547</v>
      </c>
      <c r="AG206" s="220">
        <f t="shared" si="251"/>
        <v>-699</v>
      </c>
      <c r="AH206" s="220">
        <f t="shared" si="252"/>
        <v>-501</v>
      </c>
      <c r="AI206" s="220">
        <f t="shared" si="253"/>
        <v>-328</v>
      </c>
      <c r="AJ206" s="50">
        <f t="shared" si="226"/>
        <v>2.158000000000007</v>
      </c>
      <c r="AK206" s="257"/>
      <c r="AL206" s="257">
        <f t="shared" si="227"/>
        <v>1.2</v>
      </c>
      <c r="AM206" s="52"/>
      <c r="AN206" s="88"/>
    </row>
    <row r="207" spans="1:40" s="29" customFormat="1" ht="17.25" customHeight="1">
      <c r="A207" s="48">
        <v>236</v>
      </c>
      <c r="B207" s="49">
        <f t="shared" si="237"/>
        <v>45750</v>
      </c>
      <c r="C207" s="220">
        <f t="shared" si="238"/>
        <v>1049</v>
      </c>
      <c r="D207" s="220">
        <f t="shared" si="223"/>
        <v>2192</v>
      </c>
      <c r="E207" s="220">
        <f t="shared" si="259"/>
        <v>3241</v>
      </c>
      <c r="F207" s="220">
        <f t="shared" si="228"/>
        <v>955</v>
      </c>
      <c r="G207" s="220">
        <f t="shared" si="229"/>
        <v>1208</v>
      </c>
      <c r="H207" s="220">
        <f t="shared" si="230"/>
        <v>1483</v>
      </c>
      <c r="I207" s="220">
        <f t="shared" si="231"/>
        <v>1252</v>
      </c>
      <c r="J207" s="220">
        <f t="shared" si="232"/>
        <v>1009</v>
      </c>
      <c r="K207" s="220">
        <f t="shared" si="233"/>
        <v>2286</v>
      </c>
      <c r="L207" s="220">
        <f t="shared" si="234"/>
        <v>2033</v>
      </c>
      <c r="M207" s="220">
        <f t="shared" si="235"/>
        <v>1758</v>
      </c>
      <c r="N207" s="220">
        <f t="shared" si="236"/>
        <v>1989</v>
      </c>
      <c r="O207" s="220">
        <f t="shared" si="236"/>
        <v>2232</v>
      </c>
      <c r="P207" s="220">
        <f t="shared" si="239"/>
        <v>2000</v>
      </c>
      <c r="Q207" s="220">
        <f t="shared" si="240"/>
        <v>2000</v>
      </c>
      <c r="R207" s="220">
        <f t="shared" si="241"/>
        <v>2000</v>
      </c>
      <c r="S207" s="220">
        <f t="shared" si="242"/>
        <v>2000</v>
      </c>
      <c r="T207" s="220">
        <f t="shared" si="243"/>
        <v>2000</v>
      </c>
      <c r="U207" s="220">
        <f t="shared" si="244"/>
        <v>286</v>
      </c>
      <c r="V207" s="220">
        <f t="shared" si="245"/>
        <v>33</v>
      </c>
      <c r="W207" s="220">
        <f t="shared" si="246"/>
        <v>-242</v>
      </c>
      <c r="X207" s="220">
        <f t="shared" si="247"/>
        <v>-11</v>
      </c>
      <c r="Y207" s="220">
        <f t="shared" si="248"/>
        <v>232</v>
      </c>
      <c r="Z207" s="220">
        <v>4</v>
      </c>
      <c r="AA207" s="220">
        <v>3</v>
      </c>
      <c r="AB207" s="220">
        <v>4</v>
      </c>
      <c r="AC207" s="220">
        <v>4</v>
      </c>
      <c r="AD207" s="220">
        <v>3</v>
      </c>
      <c r="AE207" s="220">
        <f t="shared" si="249"/>
        <v>-367</v>
      </c>
      <c r="AF207" s="220">
        <f t="shared" si="250"/>
        <v>-550</v>
      </c>
      <c r="AG207" s="220">
        <f t="shared" si="251"/>
        <v>-703</v>
      </c>
      <c r="AH207" s="220">
        <f t="shared" si="252"/>
        <v>-505</v>
      </c>
      <c r="AI207" s="220">
        <f t="shared" si="253"/>
        <v>-331</v>
      </c>
      <c r="AJ207" s="50">
        <f t="shared" si="226"/>
        <v>2.154000000000007</v>
      </c>
      <c r="AK207" s="257"/>
      <c r="AL207" s="257">
        <f t="shared" si="227"/>
        <v>1.2</v>
      </c>
      <c r="AM207" s="52"/>
      <c r="AN207" s="88"/>
    </row>
    <row r="208" spans="1:40" s="29" customFormat="1" ht="17.25" customHeight="1">
      <c r="A208" s="48">
        <v>237</v>
      </c>
      <c r="B208" s="49">
        <f t="shared" si="237"/>
        <v>45751</v>
      </c>
      <c r="C208" s="220">
        <f t="shared" si="238"/>
        <v>1049</v>
      </c>
      <c r="D208" s="220">
        <f t="shared" si="224"/>
        <v>2218</v>
      </c>
      <c r="E208" s="220">
        <f t="shared" si="259"/>
        <v>3267</v>
      </c>
      <c r="F208" s="220">
        <f t="shared" si="228"/>
        <v>983</v>
      </c>
      <c r="G208" s="220">
        <f t="shared" si="229"/>
        <v>1237</v>
      </c>
      <c r="H208" s="220">
        <f t="shared" si="230"/>
        <v>1513</v>
      </c>
      <c r="I208" s="220">
        <f t="shared" si="231"/>
        <v>1282</v>
      </c>
      <c r="J208" s="220">
        <f t="shared" si="232"/>
        <v>1039</v>
      </c>
      <c r="K208" s="220">
        <f t="shared" si="233"/>
        <v>2284</v>
      </c>
      <c r="L208" s="220">
        <f t="shared" si="234"/>
        <v>2030</v>
      </c>
      <c r="M208" s="220">
        <f t="shared" si="235"/>
        <v>1754</v>
      </c>
      <c r="N208" s="220">
        <f t="shared" si="236"/>
        <v>1985</v>
      </c>
      <c r="O208" s="220">
        <f t="shared" si="236"/>
        <v>2228</v>
      </c>
      <c r="P208" s="220">
        <f t="shared" si="239"/>
        <v>2000</v>
      </c>
      <c r="Q208" s="220">
        <f t="shared" si="240"/>
        <v>2000</v>
      </c>
      <c r="R208" s="220">
        <f t="shared" si="241"/>
        <v>2000</v>
      </c>
      <c r="S208" s="220">
        <f t="shared" si="242"/>
        <v>2000</v>
      </c>
      <c r="T208" s="220">
        <f t="shared" si="243"/>
        <v>2000</v>
      </c>
      <c r="U208" s="220">
        <f t="shared" si="244"/>
        <v>284</v>
      </c>
      <c r="V208" s="220">
        <f t="shared" si="245"/>
        <v>30</v>
      </c>
      <c r="W208" s="220">
        <f t="shared" si="246"/>
        <v>-246</v>
      </c>
      <c r="X208" s="220">
        <f t="shared" si="247"/>
        <v>-15</v>
      </c>
      <c r="Y208" s="220">
        <f t="shared" si="248"/>
        <v>228</v>
      </c>
      <c r="Z208" s="220">
        <v>2</v>
      </c>
      <c r="AA208" s="220">
        <v>3</v>
      </c>
      <c r="AB208" s="220">
        <v>4</v>
      </c>
      <c r="AC208" s="220">
        <v>4</v>
      </c>
      <c r="AD208" s="220">
        <v>4</v>
      </c>
      <c r="AE208" s="220">
        <f t="shared" si="249"/>
        <v>-369</v>
      </c>
      <c r="AF208" s="220">
        <f t="shared" si="250"/>
        <v>-553</v>
      </c>
      <c r="AG208" s="220">
        <f t="shared" si="251"/>
        <v>-707</v>
      </c>
      <c r="AH208" s="220">
        <f t="shared" si="252"/>
        <v>-509</v>
      </c>
      <c r="AI208" s="220">
        <f t="shared" si="253"/>
        <v>-335</v>
      </c>
      <c r="AJ208" s="50">
        <f t="shared" si="226"/>
        <v>2.150000000000007</v>
      </c>
      <c r="AK208" s="257"/>
      <c r="AL208" s="257">
        <f t="shared" si="227"/>
        <v>1.2</v>
      </c>
      <c r="AM208" s="52"/>
      <c r="AN208" s="88"/>
    </row>
    <row r="209" spans="1:40" s="29" customFormat="1" ht="17.25" customHeight="1">
      <c r="A209" s="48">
        <v>238</v>
      </c>
      <c r="B209" s="49">
        <f t="shared" si="237"/>
        <v>45752</v>
      </c>
      <c r="C209" s="220">
        <f t="shared" si="238"/>
        <v>1049</v>
      </c>
      <c r="D209" s="220">
        <f t="shared" si="257"/>
        <v>2192</v>
      </c>
      <c r="E209" s="220">
        <f t="shared" si="259"/>
        <v>3241</v>
      </c>
      <c r="F209" s="220">
        <f t="shared" si="228"/>
        <v>960</v>
      </c>
      <c r="G209" s="220">
        <f t="shared" si="229"/>
        <v>1215</v>
      </c>
      <c r="H209" s="220">
        <f t="shared" si="230"/>
        <v>1491</v>
      </c>
      <c r="I209" s="220">
        <f t="shared" si="231"/>
        <v>1261</v>
      </c>
      <c r="J209" s="220">
        <f t="shared" si="232"/>
        <v>1017</v>
      </c>
      <c r="K209" s="220">
        <f t="shared" si="233"/>
        <v>2281</v>
      </c>
      <c r="L209" s="220">
        <f t="shared" si="234"/>
        <v>2026</v>
      </c>
      <c r="M209" s="220">
        <f t="shared" si="235"/>
        <v>1750</v>
      </c>
      <c r="N209" s="220">
        <f t="shared" si="236"/>
        <v>1980</v>
      </c>
      <c r="O209" s="220">
        <f t="shared" si="236"/>
        <v>2224</v>
      </c>
      <c r="P209" s="220">
        <f t="shared" si="239"/>
        <v>2000</v>
      </c>
      <c r="Q209" s="220">
        <f t="shared" si="240"/>
        <v>2000</v>
      </c>
      <c r="R209" s="220">
        <f t="shared" si="241"/>
        <v>2000</v>
      </c>
      <c r="S209" s="220">
        <f t="shared" si="242"/>
        <v>2000</v>
      </c>
      <c r="T209" s="220">
        <f t="shared" si="243"/>
        <v>2000</v>
      </c>
      <c r="U209" s="220">
        <f t="shared" si="244"/>
        <v>281</v>
      </c>
      <c r="V209" s="220">
        <f t="shared" si="245"/>
        <v>26</v>
      </c>
      <c r="W209" s="220">
        <f t="shared" si="246"/>
        <v>-250</v>
      </c>
      <c r="X209" s="220">
        <f t="shared" si="247"/>
        <v>-20</v>
      </c>
      <c r="Y209" s="220">
        <f t="shared" si="248"/>
        <v>224</v>
      </c>
      <c r="Z209" s="220">
        <v>3</v>
      </c>
      <c r="AA209" s="220">
        <v>4</v>
      </c>
      <c r="AB209" s="220">
        <v>4</v>
      </c>
      <c r="AC209" s="220">
        <v>5</v>
      </c>
      <c r="AD209" s="220">
        <v>4</v>
      </c>
      <c r="AE209" s="220">
        <f t="shared" si="249"/>
        <v>-372</v>
      </c>
      <c r="AF209" s="220">
        <f t="shared" si="250"/>
        <v>-557</v>
      </c>
      <c r="AG209" s="220">
        <f t="shared" si="251"/>
        <v>-711</v>
      </c>
      <c r="AH209" s="220">
        <f t="shared" si="252"/>
        <v>-514</v>
      </c>
      <c r="AI209" s="220">
        <f t="shared" si="253"/>
        <v>-339</v>
      </c>
      <c r="AJ209" s="50">
        <f t="shared" si="226"/>
        <v>2.146000000000007</v>
      </c>
      <c r="AK209" s="257"/>
      <c r="AL209" s="257">
        <f t="shared" si="227"/>
        <v>1.2</v>
      </c>
      <c r="AM209" s="52"/>
      <c r="AN209" s="88"/>
    </row>
    <row r="210" spans="1:40" s="29" customFormat="1" ht="17.25" customHeight="1">
      <c r="A210" s="48">
        <v>239</v>
      </c>
      <c r="B210" s="49">
        <f t="shared" si="237"/>
        <v>45753</v>
      </c>
      <c r="C210" s="220">
        <f t="shared" si="238"/>
        <v>1049</v>
      </c>
      <c r="D210" s="220">
        <f t="shared" si="258"/>
        <v>2207</v>
      </c>
      <c r="E210" s="220">
        <f t="shared" ref="E210:E217" si="260">+C210+D210</f>
        <v>3256</v>
      </c>
      <c r="F210" s="220">
        <f t="shared" si="228"/>
        <v>978</v>
      </c>
      <c r="G210" s="220">
        <f t="shared" si="229"/>
        <v>1234</v>
      </c>
      <c r="H210" s="220">
        <f t="shared" si="230"/>
        <v>1512</v>
      </c>
      <c r="I210" s="220">
        <f t="shared" si="231"/>
        <v>1280</v>
      </c>
      <c r="J210" s="220">
        <f t="shared" si="232"/>
        <v>1035</v>
      </c>
      <c r="K210" s="220">
        <f t="shared" si="233"/>
        <v>2278</v>
      </c>
      <c r="L210" s="220">
        <f t="shared" si="234"/>
        <v>2022</v>
      </c>
      <c r="M210" s="220">
        <f t="shared" si="235"/>
        <v>1744</v>
      </c>
      <c r="N210" s="220">
        <f t="shared" si="236"/>
        <v>1976</v>
      </c>
      <c r="O210" s="220">
        <f t="shared" si="236"/>
        <v>2221</v>
      </c>
      <c r="P210" s="220">
        <f t="shared" si="239"/>
        <v>2000</v>
      </c>
      <c r="Q210" s="220">
        <f t="shared" si="240"/>
        <v>2000</v>
      </c>
      <c r="R210" s="220">
        <f t="shared" si="241"/>
        <v>2000</v>
      </c>
      <c r="S210" s="220">
        <f t="shared" si="242"/>
        <v>2000</v>
      </c>
      <c r="T210" s="220">
        <f t="shared" si="243"/>
        <v>2000</v>
      </c>
      <c r="U210" s="220">
        <f t="shared" si="244"/>
        <v>278</v>
      </c>
      <c r="V210" s="220">
        <f t="shared" si="245"/>
        <v>22</v>
      </c>
      <c r="W210" s="220">
        <f t="shared" si="246"/>
        <v>-256</v>
      </c>
      <c r="X210" s="220">
        <f t="shared" si="247"/>
        <v>-24</v>
      </c>
      <c r="Y210" s="220">
        <f t="shared" si="248"/>
        <v>221</v>
      </c>
      <c r="Z210" s="220">
        <v>3</v>
      </c>
      <c r="AA210" s="220">
        <v>4</v>
      </c>
      <c r="AB210" s="220">
        <v>6</v>
      </c>
      <c r="AC210" s="220">
        <v>4</v>
      </c>
      <c r="AD210" s="220">
        <v>3</v>
      </c>
      <c r="AE210" s="220">
        <f t="shared" si="249"/>
        <v>-375</v>
      </c>
      <c r="AF210" s="220">
        <f t="shared" si="250"/>
        <v>-561</v>
      </c>
      <c r="AG210" s="220">
        <f t="shared" si="251"/>
        <v>-717</v>
      </c>
      <c r="AH210" s="220">
        <f t="shared" si="252"/>
        <v>-518</v>
      </c>
      <c r="AI210" s="220">
        <f t="shared" si="253"/>
        <v>-342</v>
      </c>
      <c r="AJ210" s="50">
        <f t="shared" si="226"/>
        <v>2.1400000000000072</v>
      </c>
      <c r="AK210" s="257"/>
      <c r="AL210" s="257">
        <f t="shared" si="227"/>
        <v>1.2</v>
      </c>
      <c r="AM210" s="52"/>
      <c r="AN210" s="88"/>
    </row>
    <row r="211" spans="1:40" s="29" customFormat="1" ht="17.25" customHeight="1">
      <c r="A211" s="48">
        <v>240</v>
      </c>
      <c r="B211" s="49">
        <f t="shared" si="237"/>
        <v>45754</v>
      </c>
      <c r="C211" s="220">
        <f t="shared" si="238"/>
        <v>1049</v>
      </c>
      <c r="D211" s="220">
        <f t="shared" ref="D211" si="261">D210+26</f>
        <v>2233</v>
      </c>
      <c r="E211" s="220">
        <f t="shared" si="260"/>
        <v>3282</v>
      </c>
      <c r="F211" s="220">
        <f t="shared" si="228"/>
        <v>1006</v>
      </c>
      <c r="G211" s="220">
        <f t="shared" si="229"/>
        <v>1263</v>
      </c>
      <c r="H211" s="220">
        <f t="shared" si="230"/>
        <v>1543</v>
      </c>
      <c r="I211" s="220">
        <f t="shared" si="231"/>
        <v>1310</v>
      </c>
      <c r="J211" s="220">
        <f t="shared" si="232"/>
        <v>1066</v>
      </c>
      <c r="K211" s="220">
        <f t="shared" si="233"/>
        <v>2276</v>
      </c>
      <c r="L211" s="220">
        <f t="shared" si="234"/>
        <v>2019</v>
      </c>
      <c r="M211" s="220">
        <f t="shared" si="235"/>
        <v>1739</v>
      </c>
      <c r="N211" s="220">
        <f t="shared" si="236"/>
        <v>1972</v>
      </c>
      <c r="O211" s="220">
        <f t="shared" si="236"/>
        <v>2216</v>
      </c>
      <c r="P211" s="220">
        <f t="shared" si="239"/>
        <v>2000</v>
      </c>
      <c r="Q211" s="220">
        <f t="shared" si="240"/>
        <v>2000</v>
      </c>
      <c r="R211" s="220">
        <f t="shared" si="241"/>
        <v>2000</v>
      </c>
      <c r="S211" s="220">
        <f t="shared" si="242"/>
        <v>2000</v>
      </c>
      <c r="T211" s="220">
        <f t="shared" si="243"/>
        <v>2000</v>
      </c>
      <c r="U211" s="220">
        <f t="shared" si="244"/>
        <v>276</v>
      </c>
      <c r="V211" s="220">
        <f t="shared" si="245"/>
        <v>19</v>
      </c>
      <c r="W211" s="220">
        <f t="shared" si="246"/>
        <v>-261</v>
      </c>
      <c r="X211" s="220">
        <f t="shared" si="247"/>
        <v>-28</v>
      </c>
      <c r="Y211" s="220">
        <f t="shared" si="248"/>
        <v>216</v>
      </c>
      <c r="Z211" s="220">
        <v>2</v>
      </c>
      <c r="AA211" s="220">
        <v>3</v>
      </c>
      <c r="AB211" s="220">
        <v>5</v>
      </c>
      <c r="AC211" s="220">
        <v>4</v>
      </c>
      <c r="AD211" s="220">
        <v>5</v>
      </c>
      <c r="AE211" s="220">
        <f t="shared" si="249"/>
        <v>-377</v>
      </c>
      <c r="AF211" s="220">
        <f t="shared" si="250"/>
        <v>-564</v>
      </c>
      <c r="AG211" s="220">
        <f t="shared" si="251"/>
        <v>-722</v>
      </c>
      <c r="AH211" s="220">
        <f t="shared" si="252"/>
        <v>-522</v>
      </c>
      <c r="AI211" s="220">
        <f t="shared" si="253"/>
        <v>-347</v>
      </c>
      <c r="AJ211" s="50">
        <f t="shared" si="226"/>
        <v>2.1350000000000073</v>
      </c>
      <c r="AK211" s="257"/>
      <c r="AL211" s="257">
        <f t="shared" si="227"/>
        <v>1.2</v>
      </c>
      <c r="AM211" s="52"/>
      <c r="AN211" s="88"/>
    </row>
    <row r="212" spans="1:40" s="29" customFormat="1" ht="17.25" customHeight="1">
      <c r="A212" s="48">
        <v>241</v>
      </c>
      <c r="B212" s="49">
        <f t="shared" si="237"/>
        <v>45755</v>
      </c>
      <c r="C212" s="220">
        <f t="shared" si="238"/>
        <v>1049</v>
      </c>
      <c r="D212" s="220">
        <f t="shared" ref="D212" si="262">D211+32</f>
        <v>2265</v>
      </c>
      <c r="E212" s="220">
        <f t="shared" si="260"/>
        <v>3314</v>
      </c>
      <c r="F212" s="220">
        <f t="shared" si="228"/>
        <v>1040</v>
      </c>
      <c r="G212" s="220">
        <f t="shared" si="229"/>
        <v>1298</v>
      </c>
      <c r="H212" s="220">
        <f t="shared" si="230"/>
        <v>1579</v>
      </c>
      <c r="I212" s="220">
        <f t="shared" si="231"/>
        <v>1347</v>
      </c>
      <c r="J212" s="220">
        <f t="shared" si="232"/>
        <v>1101</v>
      </c>
      <c r="K212" s="220">
        <f t="shared" si="233"/>
        <v>2274</v>
      </c>
      <c r="L212" s="220">
        <f t="shared" si="234"/>
        <v>2016</v>
      </c>
      <c r="M212" s="220">
        <f t="shared" si="235"/>
        <v>1735</v>
      </c>
      <c r="N212" s="220">
        <f t="shared" si="236"/>
        <v>1967</v>
      </c>
      <c r="O212" s="220">
        <f t="shared" si="236"/>
        <v>2213</v>
      </c>
      <c r="P212" s="220">
        <f t="shared" si="239"/>
        <v>2000</v>
      </c>
      <c r="Q212" s="220">
        <f t="shared" si="240"/>
        <v>2000</v>
      </c>
      <c r="R212" s="220">
        <f t="shared" si="241"/>
        <v>2000</v>
      </c>
      <c r="S212" s="220">
        <f t="shared" si="242"/>
        <v>2000</v>
      </c>
      <c r="T212" s="220">
        <f t="shared" si="243"/>
        <v>2000</v>
      </c>
      <c r="U212" s="220">
        <f t="shared" si="244"/>
        <v>274</v>
      </c>
      <c r="V212" s="220">
        <f t="shared" si="245"/>
        <v>16</v>
      </c>
      <c r="W212" s="220">
        <f t="shared" si="246"/>
        <v>-265</v>
      </c>
      <c r="X212" s="220">
        <f t="shared" si="247"/>
        <v>-33</v>
      </c>
      <c r="Y212" s="220">
        <f t="shared" si="248"/>
        <v>213</v>
      </c>
      <c r="Z212" s="220">
        <v>2</v>
      </c>
      <c r="AA212" s="220">
        <v>3</v>
      </c>
      <c r="AB212" s="220">
        <v>4</v>
      </c>
      <c r="AC212" s="220">
        <v>5</v>
      </c>
      <c r="AD212" s="220">
        <v>3</v>
      </c>
      <c r="AE212" s="220">
        <f t="shared" si="249"/>
        <v>-379</v>
      </c>
      <c r="AF212" s="220">
        <f t="shared" si="250"/>
        <v>-567</v>
      </c>
      <c r="AG212" s="220">
        <f t="shared" si="251"/>
        <v>-726</v>
      </c>
      <c r="AH212" s="220">
        <f t="shared" si="252"/>
        <v>-527</v>
      </c>
      <c r="AI212" s="220">
        <f t="shared" si="253"/>
        <v>-350</v>
      </c>
      <c r="AJ212" s="50">
        <f t="shared" si="226"/>
        <v>2.1310000000000073</v>
      </c>
      <c r="AK212" s="257"/>
      <c r="AL212" s="257">
        <f t="shared" si="227"/>
        <v>1.2</v>
      </c>
      <c r="AM212" s="52"/>
      <c r="AN212" s="88"/>
    </row>
    <row r="213" spans="1:40" s="29" customFormat="1" ht="17.25" customHeight="1">
      <c r="A213" s="48">
        <v>242</v>
      </c>
      <c r="B213" s="49">
        <f t="shared" si="237"/>
        <v>45756</v>
      </c>
      <c r="C213" s="220">
        <f t="shared" si="238"/>
        <v>1049</v>
      </c>
      <c r="D213" s="220">
        <f t="shared" ref="D213" si="263">D212-18</f>
        <v>2247</v>
      </c>
      <c r="E213" s="220">
        <f t="shared" si="260"/>
        <v>3296</v>
      </c>
      <c r="F213" s="220">
        <f t="shared" si="228"/>
        <v>1025</v>
      </c>
      <c r="G213" s="220">
        <f t="shared" si="229"/>
        <v>1284</v>
      </c>
      <c r="H213" s="220">
        <f t="shared" si="230"/>
        <v>1565</v>
      </c>
      <c r="I213" s="220">
        <f t="shared" si="231"/>
        <v>1333</v>
      </c>
      <c r="J213" s="220">
        <f t="shared" si="232"/>
        <v>1086</v>
      </c>
      <c r="K213" s="220">
        <f t="shared" si="233"/>
        <v>2271</v>
      </c>
      <c r="L213" s="220">
        <f t="shared" si="234"/>
        <v>2012</v>
      </c>
      <c r="M213" s="220">
        <f t="shared" si="235"/>
        <v>1731</v>
      </c>
      <c r="N213" s="220">
        <f t="shared" si="236"/>
        <v>1963</v>
      </c>
      <c r="O213" s="220">
        <f t="shared" si="236"/>
        <v>2210</v>
      </c>
      <c r="P213" s="220">
        <f t="shared" si="239"/>
        <v>2000</v>
      </c>
      <c r="Q213" s="220">
        <f t="shared" si="240"/>
        <v>2000</v>
      </c>
      <c r="R213" s="220">
        <f t="shared" si="241"/>
        <v>2000</v>
      </c>
      <c r="S213" s="220">
        <f t="shared" si="242"/>
        <v>2000</v>
      </c>
      <c r="T213" s="220">
        <f t="shared" si="243"/>
        <v>2000</v>
      </c>
      <c r="U213" s="220">
        <f t="shared" si="244"/>
        <v>271</v>
      </c>
      <c r="V213" s="220">
        <f t="shared" si="245"/>
        <v>12</v>
      </c>
      <c r="W213" s="220">
        <f t="shared" si="246"/>
        <v>-269</v>
      </c>
      <c r="X213" s="220">
        <f t="shared" si="247"/>
        <v>-37</v>
      </c>
      <c r="Y213" s="220">
        <f t="shared" si="248"/>
        <v>210</v>
      </c>
      <c r="Z213" s="220">
        <v>3</v>
      </c>
      <c r="AA213" s="220">
        <v>4</v>
      </c>
      <c r="AB213" s="220">
        <v>4</v>
      </c>
      <c r="AC213" s="220">
        <v>4</v>
      </c>
      <c r="AD213" s="220">
        <v>3</v>
      </c>
      <c r="AE213" s="220">
        <f t="shared" si="249"/>
        <v>-382</v>
      </c>
      <c r="AF213" s="220">
        <f t="shared" si="250"/>
        <v>-571</v>
      </c>
      <c r="AG213" s="220">
        <f t="shared" si="251"/>
        <v>-730</v>
      </c>
      <c r="AH213" s="220">
        <f t="shared" si="252"/>
        <v>-531</v>
      </c>
      <c r="AI213" s="220">
        <f t="shared" si="253"/>
        <v>-353</v>
      </c>
      <c r="AJ213" s="50">
        <f t="shared" si="226"/>
        <v>2.1270000000000073</v>
      </c>
      <c r="AK213" s="257"/>
      <c r="AL213" s="257">
        <f t="shared" si="227"/>
        <v>1.2</v>
      </c>
      <c r="AM213" s="52"/>
      <c r="AN213" s="88"/>
    </row>
    <row r="214" spans="1:40" s="29" customFormat="1" ht="17.25" customHeight="1">
      <c r="A214" s="48">
        <v>243</v>
      </c>
      <c r="B214" s="49">
        <f t="shared" si="237"/>
        <v>45757</v>
      </c>
      <c r="C214" s="220">
        <f t="shared" si="238"/>
        <v>1049</v>
      </c>
      <c r="D214" s="220">
        <f t="shared" ref="D214" si="264">D213-26</f>
        <v>2221</v>
      </c>
      <c r="E214" s="220">
        <f t="shared" si="260"/>
        <v>3270</v>
      </c>
      <c r="F214" s="220">
        <f t="shared" si="228"/>
        <v>1002</v>
      </c>
      <c r="G214" s="220">
        <f t="shared" si="229"/>
        <v>1263</v>
      </c>
      <c r="H214" s="220">
        <f t="shared" si="230"/>
        <v>1542</v>
      </c>
      <c r="I214" s="220">
        <f t="shared" si="231"/>
        <v>1311</v>
      </c>
      <c r="J214" s="220">
        <f t="shared" si="232"/>
        <v>1063</v>
      </c>
      <c r="K214" s="220">
        <f t="shared" si="233"/>
        <v>2268</v>
      </c>
      <c r="L214" s="220">
        <f t="shared" si="234"/>
        <v>2007</v>
      </c>
      <c r="M214" s="220">
        <f t="shared" si="235"/>
        <v>1728</v>
      </c>
      <c r="N214" s="220">
        <f t="shared" si="236"/>
        <v>1959</v>
      </c>
      <c r="O214" s="220">
        <f t="shared" si="236"/>
        <v>2207</v>
      </c>
      <c r="P214" s="220">
        <f t="shared" si="239"/>
        <v>2000</v>
      </c>
      <c r="Q214" s="220">
        <f t="shared" si="240"/>
        <v>2000</v>
      </c>
      <c r="R214" s="220">
        <f t="shared" si="241"/>
        <v>2000</v>
      </c>
      <c r="S214" s="220">
        <f t="shared" si="242"/>
        <v>2000</v>
      </c>
      <c r="T214" s="220">
        <f t="shared" si="243"/>
        <v>2000</v>
      </c>
      <c r="U214" s="220">
        <f t="shared" si="244"/>
        <v>268</v>
      </c>
      <c r="V214" s="220">
        <f t="shared" si="245"/>
        <v>7</v>
      </c>
      <c r="W214" s="220">
        <f t="shared" si="246"/>
        <v>-272</v>
      </c>
      <c r="X214" s="220">
        <f t="shared" si="247"/>
        <v>-41</v>
      </c>
      <c r="Y214" s="220">
        <f t="shared" si="248"/>
        <v>207</v>
      </c>
      <c r="Z214" s="220">
        <v>3</v>
      </c>
      <c r="AA214" s="220">
        <v>5</v>
      </c>
      <c r="AB214" s="220">
        <v>3</v>
      </c>
      <c r="AC214" s="220">
        <v>4</v>
      </c>
      <c r="AD214" s="220">
        <v>3</v>
      </c>
      <c r="AE214" s="220">
        <f t="shared" si="249"/>
        <v>-385</v>
      </c>
      <c r="AF214" s="220">
        <f t="shared" si="250"/>
        <v>-576</v>
      </c>
      <c r="AG214" s="220">
        <f t="shared" si="251"/>
        <v>-733</v>
      </c>
      <c r="AH214" s="220">
        <f t="shared" si="252"/>
        <v>-535</v>
      </c>
      <c r="AI214" s="220">
        <f t="shared" si="253"/>
        <v>-356</v>
      </c>
      <c r="AJ214" s="50">
        <f t="shared" si="226"/>
        <v>2.1240000000000072</v>
      </c>
      <c r="AK214" s="257"/>
      <c r="AL214" s="257">
        <f t="shared" si="227"/>
        <v>1.2</v>
      </c>
      <c r="AM214" s="52"/>
      <c r="AN214" s="88"/>
    </row>
    <row r="215" spans="1:40" s="29" customFormat="1" ht="17.25" customHeight="1">
      <c r="A215" s="48">
        <v>244</v>
      </c>
      <c r="B215" s="49">
        <f t="shared" si="237"/>
        <v>45758</v>
      </c>
      <c r="C215" s="220">
        <f t="shared" si="238"/>
        <v>1049</v>
      </c>
      <c r="D215" s="220">
        <f t="shared" ref="D215" si="265">D214+15</f>
        <v>2236</v>
      </c>
      <c r="E215" s="220">
        <f t="shared" si="260"/>
        <v>3285</v>
      </c>
      <c r="F215" s="220">
        <f t="shared" si="228"/>
        <v>1021</v>
      </c>
      <c r="G215" s="220">
        <f t="shared" si="229"/>
        <v>1281</v>
      </c>
      <c r="H215" s="220">
        <f t="shared" si="230"/>
        <v>1562</v>
      </c>
      <c r="I215" s="220">
        <f t="shared" si="231"/>
        <v>1331</v>
      </c>
      <c r="J215" s="220">
        <f t="shared" si="232"/>
        <v>1081</v>
      </c>
      <c r="K215" s="220">
        <f t="shared" si="233"/>
        <v>2264</v>
      </c>
      <c r="L215" s="220">
        <f t="shared" si="234"/>
        <v>2004</v>
      </c>
      <c r="M215" s="220">
        <f t="shared" si="235"/>
        <v>1723</v>
      </c>
      <c r="N215" s="220">
        <f t="shared" si="236"/>
        <v>1954</v>
      </c>
      <c r="O215" s="220">
        <f t="shared" si="236"/>
        <v>2204</v>
      </c>
      <c r="P215" s="220">
        <f t="shared" si="239"/>
        <v>2000</v>
      </c>
      <c r="Q215" s="220">
        <f t="shared" si="240"/>
        <v>2000</v>
      </c>
      <c r="R215" s="220">
        <f t="shared" si="241"/>
        <v>2000</v>
      </c>
      <c r="S215" s="220">
        <f t="shared" si="242"/>
        <v>2000</v>
      </c>
      <c r="T215" s="220">
        <f t="shared" si="243"/>
        <v>2000</v>
      </c>
      <c r="U215" s="220">
        <f t="shared" si="244"/>
        <v>264</v>
      </c>
      <c r="V215" s="220">
        <f t="shared" si="245"/>
        <v>4</v>
      </c>
      <c r="W215" s="220">
        <f t="shared" si="246"/>
        <v>-277</v>
      </c>
      <c r="X215" s="220">
        <f t="shared" si="247"/>
        <v>-46</v>
      </c>
      <c r="Y215" s="220">
        <f t="shared" si="248"/>
        <v>204</v>
      </c>
      <c r="Z215" s="220">
        <v>4</v>
      </c>
      <c r="AA215" s="220">
        <v>3</v>
      </c>
      <c r="AB215" s="220">
        <v>5</v>
      </c>
      <c r="AC215" s="220">
        <v>5</v>
      </c>
      <c r="AD215" s="220">
        <v>3</v>
      </c>
      <c r="AE215" s="220">
        <f t="shared" si="249"/>
        <v>-389</v>
      </c>
      <c r="AF215" s="220">
        <f t="shared" si="250"/>
        <v>-579</v>
      </c>
      <c r="AG215" s="220">
        <f t="shared" si="251"/>
        <v>-738</v>
      </c>
      <c r="AH215" s="220">
        <f t="shared" si="252"/>
        <v>-540</v>
      </c>
      <c r="AI215" s="220">
        <f t="shared" si="253"/>
        <v>-359</v>
      </c>
      <c r="AJ215" s="50">
        <f t="shared" si="226"/>
        <v>2.1190000000000073</v>
      </c>
      <c r="AK215" s="257"/>
      <c r="AL215" s="257">
        <f t="shared" si="227"/>
        <v>1.2</v>
      </c>
      <c r="AM215" s="52"/>
      <c r="AN215" s="88"/>
    </row>
    <row r="216" spans="1:40" s="29" customFormat="1" ht="17.25" customHeight="1">
      <c r="A216" s="48">
        <v>245</v>
      </c>
      <c r="B216" s="49">
        <f t="shared" si="237"/>
        <v>45759</v>
      </c>
      <c r="C216" s="220">
        <f t="shared" si="238"/>
        <v>1049</v>
      </c>
      <c r="D216" s="220">
        <f t="shared" ref="D216" si="266">D215+26</f>
        <v>2262</v>
      </c>
      <c r="E216" s="220">
        <f t="shared" si="260"/>
        <v>3311</v>
      </c>
      <c r="F216" s="220">
        <f t="shared" si="228"/>
        <v>1049</v>
      </c>
      <c r="G216" s="220">
        <f t="shared" si="229"/>
        <v>1311</v>
      </c>
      <c r="H216" s="220">
        <f t="shared" si="230"/>
        <v>1591</v>
      </c>
      <c r="I216" s="220">
        <f t="shared" si="231"/>
        <v>1361</v>
      </c>
      <c r="J216" s="220">
        <f t="shared" si="232"/>
        <v>1110</v>
      </c>
      <c r="K216" s="220">
        <f t="shared" si="233"/>
        <v>2262</v>
      </c>
      <c r="L216" s="220">
        <f t="shared" si="234"/>
        <v>2000</v>
      </c>
      <c r="M216" s="220">
        <f t="shared" si="235"/>
        <v>1720</v>
      </c>
      <c r="N216" s="220">
        <f t="shared" si="236"/>
        <v>1950</v>
      </c>
      <c r="O216" s="220">
        <f t="shared" si="236"/>
        <v>2201</v>
      </c>
      <c r="P216" s="220">
        <f t="shared" si="239"/>
        <v>2000</v>
      </c>
      <c r="Q216" s="220">
        <f t="shared" si="240"/>
        <v>2000</v>
      </c>
      <c r="R216" s="220">
        <f t="shared" si="241"/>
        <v>2000</v>
      </c>
      <c r="S216" s="220">
        <f t="shared" si="242"/>
        <v>2000</v>
      </c>
      <c r="T216" s="220">
        <f t="shared" si="243"/>
        <v>2000</v>
      </c>
      <c r="U216" s="220">
        <f t="shared" si="244"/>
        <v>262</v>
      </c>
      <c r="V216" s="220">
        <f t="shared" si="245"/>
        <v>0</v>
      </c>
      <c r="W216" s="220">
        <f t="shared" si="246"/>
        <v>-280</v>
      </c>
      <c r="X216" s="220">
        <f t="shared" si="247"/>
        <v>-50</v>
      </c>
      <c r="Y216" s="220">
        <f t="shared" si="248"/>
        <v>201</v>
      </c>
      <c r="Z216" s="220">
        <v>2</v>
      </c>
      <c r="AA216" s="220">
        <v>4</v>
      </c>
      <c r="AB216" s="220">
        <v>3</v>
      </c>
      <c r="AC216" s="220">
        <v>4</v>
      </c>
      <c r="AD216" s="220">
        <v>3</v>
      </c>
      <c r="AE216" s="220">
        <f t="shared" si="249"/>
        <v>-391</v>
      </c>
      <c r="AF216" s="220">
        <f t="shared" si="250"/>
        <v>-583</v>
      </c>
      <c r="AG216" s="220">
        <f t="shared" si="251"/>
        <v>-741</v>
      </c>
      <c r="AH216" s="220">
        <f t="shared" si="252"/>
        <v>-544</v>
      </c>
      <c r="AI216" s="220">
        <f t="shared" si="253"/>
        <v>-362</v>
      </c>
      <c r="AJ216" s="50">
        <f t="shared" si="226"/>
        <v>2.1160000000000072</v>
      </c>
      <c r="AK216" s="257"/>
      <c r="AL216" s="257">
        <f t="shared" si="227"/>
        <v>1.2</v>
      </c>
      <c r="AM216" s="52"/>
      <c r="AN216" s="88"/>
    </row>
    <row r="217" spans="1:40" s="29" customFormat="1" ht="17.25" customHeight="1">
      <c r="A217" s="48">
        <v>246</v>
      </c>
      <c r="B217" s="49">
        <f t="shared" si="237"/>
        <v>45760</v>
      </c>
      <c r="C217" s="220">
        <f t="shared" si="238"/>
        <v>1049</v>
      </c>
      <c r="D217" s="220">
        <f t="shared" si="257"/>
        <v>2236</v>
      </c>
      <c r="E217" s="220">
        <f t="shared" si="260"/>
        <v>3285</v>
      </c>
      <c r="F217" s="220">
        <f t="shared" si="228"/>
        <v>1026</v>
      </c>
      <c r="G217" s="220">
        <f t="shared" si="229"/>
        <v>1287</v>
      </c>
      <c r="H217" s="220">
        <f t="shared" si="230"/>
        <v>1568</v>
      </c>
      <c r="I217" s="220">
        <f t="shared" si="231"/>
        <v>1340</v>
      </c>
      <c r="J217" s="220">
        <f t="shared" si="232"/>
        <v>1088</v>
      </c>
      <c r="K217" s="220">
        <f t="shared" si="233"/>
        <v>2259</v>
      </c>
      <c r="L217" s="220">
        <f t="shared" si="234"/>
        <v>1998</v>
      </c>
      <c r="M217" s="220">
        <f t="shared" si="235"/>
        <v>1717</v>
      </c>
      <c r="N217" s="220">
        <f t="shared" si="236"/>
        <v>1945</v>
      </c>
      <c r="O217" s="220">
        <f t="shared" si="236"/>
        <v>2197</v>
      </c>
      <c r="P217" s="220">
        <f t="shared" si="239"/>
        <v>2000</v>
      </c>
      <c r="Q217" s="220">
        <f t="shared" si="240"/>
        <v>2000</v>
      </c>
      <c r="R217" s="220">
        <f t="shared" si="241"/>
        <v>2000</v>
      </c>
      <c r="S217" s="220">
        <f t="shared" si="242"/>
        <v>2000</v>
      </c>
      <c r="T217" s="220">
        <f t="shared" si="243"/>
        <v>2000</v>
      </c>
      <c r="U217" s="220">
        <f t="shared" si="244"/>
        <v>259</v>
      </c>
      <c r="V217" s="220">
        <f t="shared" si="245"/>
        <v>-2</v>
      </c>
      <c r="W217" s="220">
        <f t="shared" si="246"/>
        <v>-283</v>
      </c>
      <c r="X217" s="220">
        <f t="shared" si="247"/>
        <v>-55</v>
      </c>
      <c r="Y217" s="220">
        <f t="shared" si="248"/>
        <v>197</v>
      </c>
      <c r="Z217" s="220">
        <v>3</v>
      </c>
      <c r="AA217" s="220">
        <v>2</v>
      </c>
      <c r="AB217" s="220">
        <v>3</v>
      </c>
      <c r="AC217" s="220">
        <v>5</v>
      </c>
      <c r="AD217" s="220">
        <v>4</v>
      </c>
      <c r="AE217" s="220">
        <f t="shared" si="249"/>
        <v>-394</v>
      </c>
      <c r="AF217" s="220">
        <f t="shared" si="250"/>
        <v>-585</v>
      </c>
      <c r="AG217" s="220">
        <f t="shared" si="251"/>
        <v>-744</v>
      </c>
      <c r="AH217" s="220">
        <f t="shared" si="252"/>
        <v>-549</v>
      </c>
      <c r="AI217" s="220">
        <f t="shared" si="253"/>
        <v>-366</v>
      </c>
      <c r="AJ217" s="50">
        <f t="shared" si="226"/>
        <v>2.1130000000000071</v>
      </c>
      <c r="AK217" s="257"/>
      <c r="AL217" s="257">
        <f t="shared" si="227"/>
        <v>1.2</v>
      </c>
      <c r="AM217" s="52"/>
      <c r="AN217" s="88"/>
    </row>
    <row r="218" spans="1:40" s="29" customFormat="1" ht="17.25" customHeight="1">
      <c r="A218" s="48">
        <v>247</v>
      </c>
      <c r="B218" s="49">
        <f t="shared" si="237"/>
        <v>45761</v>
      </c>
      <c r="C218" s="220">
        <f t="shared" si="238"/>
        <v>1049</v>
      </c>
      <c r="D218" s="220">
        <f t="shared" si="257"/>
        <v>2210</v>
      </c>
      <c r="E218" s="220">
        <f t="shared" ref="E218:E242" si="267">+C218+D218</f>
        <v>3259</v>
      </c>
      <c r="F218" s="220">
        <f t="shared" ref="F218:F242" si="268">E218-K218</f>
        <v>1003</v>
      </c>
      <c r="G218" s="220">
        <f t="shared" ref="G218:G242" si="269">E218-L218</f>
        <v>1264</v>
      </c>
      <c r="H218" s="220">
        <f t="shared" ref="H218:H242" si="270">E218-M218</f>
        <v>1545</v>
      </c>
      <c r="I218" s="220">
        <f t="shared" ref="I218:I242" si="271">E218-N218</f>
        <v>1317</v>
      </c>
      <c r="J218" s="220">
        <f t="shared" ref="J218:J242" si="272">E218-O218</f>
        <v>1066</v>
      </c>
      <c r="K218" s="220">
        <f t="shared" ref="K218:K242" si="273">P218+U218</f>
        <v>2256</v>
      </c>
      <c r="L218" s="220">
        <f t="shared" ref="L218:L242" si="274">Q218+V218</f>
        <v>1995</v>
      </c>
      <c r="M218" s="220">
        <f t="shared" ref="M218:M242" si="275">R218+W218</f>
        <v>1714</v>
      </c>
      <c r="N218" s="220">
        <f t="shared" ref="N218:N242" si="276">S218+X218</f>
        <v>1942</v>
      </c>
      <c r="O218" s="220">
        <f t="shared" ref="O218:O242" si="277">T218+Y218</f>
        <v>2193</v>
      </c>
      <c r="P218" s="220">
        <f t="shared" si="239"/>
        <v>2000</v>
      </c>
      <c r="Q218" s="220">
        <f t="shared" si="240"/>
        <v>2000</v>
      </c>
      <c r="R218" s="220">
        <f t="shared" si="241"/>
        <v>2000</v>
      </c>
      <c r="S218" s="220">
        <f t="shared" si="242"/>
        <v>2000</v>
      </c>
      <c r="T218" s="220">
        <f t="shared" si="243"/>
        <v>2000</v>
      </c>
      <c r="U218" s="220">
        <f t="shared" ref="U218:U242" si="278">U217-Z218</f>
        <v>256</v>
      </c>
      <c r="V218" s="220">
        <f t="shared" ref="V218:V242" si="279">V217-AA218</f>
        <v>-5</v>
      </c>
      <c r="W218" s="220">
        <f t="shared" ref="W218:W242" si="280">W217-AB218</f>
        <v>-286</v>
      </c>
      <c r="X218" s="220">
        <f t="shared" ref="X218:X242" si="281">X217-AC218</f>
        <v>-58</v>
      </c>
      <c r="Y218" s="220">
        <f t="shared" ref="Y218:Y242" si="282">Y217-AD218</f>
        <v>193</v>
      </c>
      <c r="Z218" s="220">
        <v>3</v>
      </c>
      <c r="AA218" s="220">
        <v>3</v>
      </c>
      <c r="AB218" s="220">
        <v>3</v>
      </c>
      <c r="AC218" s="220">
        <v>3</v>
      </c>
      <c r="AD218" s="220">
        <v>4</v>
      </c>
      <c r="AE218" s="220">
        <f t="shared" ref="AE218:AE242" si="283">AE217-Z218</f>
        <v>-397</v>
      </c>
      <c r="AF218" s="220">
        <f t="shared" ref="AF218:AF242" si="284">AF217-AA218</f>
        <v>-588</v>
      </c>
      <c r="AG218" s="220">
        <f t="shared" ref="AG218:AG242" si="285">AG217-AB218</f>
        <v>-747</v>
      </c>
      <c r="AH218" s="220">
        <f t="shared" ref="AH218:AH242" si="286">AH217-AC218</f>
        <v>-552</v>
      </c>
      <c r="AI218" s="220">
        <f t="shared" ref="AI218:AI242" si="287">AI217-AD218</f>
        <v>-370</v>
      </c>
      <c r="AJ218" s="50">
        <f t="shared" si="226"/>
        <v>2.110000000000007</v>
      </c>
      <c r="AK218" s="257"/>
      <c r="AL218" s="257">
        <f t="shared" si="227"/>
        <v>1.2</v>
      </c>
      <c r="AM218" s="52"/>
      <c r="AN218" s="88"/>
    </row>
    <row r="219" spans="1:40" s="29" customFormat="1" ht="17.25" customHeight="1">
      <c r="A219" s="48">
        <v>248</v>
      </c>
      <c r="B219" s="49">
        <f t="shared" si="237"/>
        <v>45762</v>
      </c>
      <c r="C219" s="220">
        <f t="shared" si="238"/>
        <v>1049</v>
      </c>
      <c r="D219" s="220">
        <f t="shared" si="257"/>
        <v>2184</v>
      </c>
      <c r="E219" s="220">
        <f t="shared" si="267"/>
        <v>3233</v>
      </c>
      <c r="F219" s="220">
        <f t="shared" si="268"/>
        <v>979</v>
      </c>
      <c r="G219" s="220">
        <f t="shared" si="269"/>
        <v>1241</v>
      </c>
      <c r="H219" s="220">
        <f t="shared" si="270"/>
        <v>1521</v>
      </c>
      <c r="I219" s="220">
        <f t="shared" si="271"/>
        <v>1294</v>
      </c>
      <c r="J219" s="220">
        <f t="shared" si="272"/>
        <v>1044</v>
      </c>
      <c r="K219" s="220">
        <f t="shared" si="273"/>
        <v>2254</v>
      </c>
      <c r="L219" s="220">
        <f t="shared" si="274"/>
        <v>1992</v>
      </c>
      <c r="M219" s="220">
        <f t="shared" si="275"/>
        <v>1712</v>
      </c>
      <c r="N219" s="220">
        <f t="shared" si="276"/>
        <v>1939</v>
      </c>
      <c r="O219" s="220">
        <f t="shared" si="277"/>
        <v>2189</v>
      </c>
      <c r="P219" s="220">
        <f t="shared" si="239"/>
        <v>2000</v>
      </c>
      <c r="Q219" s="220">
        <f t="shared" si="240"/>
        <v>2000</v>
      </c>
      <c r="R219" s="220">
        <f t="shared" si="241"/>
        <v>2000</v>
      </c>
      <c r="S219" s="220">
        <f t="shared" si="242"/>
        <v>2000</v>
      </c>
      <c r="T219" s="220">
        <f t="shared" si="243"/>
        <v>2000</v>
      </c>
      <c r="U219" s="220">
        <f t="shared" si="278"/>
        <v>254</v>
      </c>
      <c r="V219" s="220">
        <f t="shared" si="279"/>
        <v>-8</v>
      </c>
      <c r="W219" s="220">
        <f t="shared" si="280"/>
        <v>-288</v>
      </c>
      <c r="X219" s="220">
        <f t="shared" si="281"/>
        <v>-61</v>
      </c>
      <c r="Y219" s="220">
        <f t="shared" si="282"/>
        <v>189</v>
      </c>
      <c r="Z219" s="220">
        <v>2</v>
      </c>
      <c r="AA219" s="220">
        <v>3</v>
      </c>
      <c r="AB219" s="220">
        <v>2</v>
      </c>
      <c r="AC219" s="220">
        <v>3</v>
      </c>
      <c r="AD219" s="220">
        <v>4</v>
      </c>
      <c r="AE219" s="220">
        <f t="shared" si="283"/>
        <v>-399</v>
      </c>
      <c r="AF219" s="220">
        <f t="shared" si="284"/>
        <v>-591</v>
      </c>
      <c r="AG219" s="220">
        <f t="shared" si="285"/>
        <v>-749</v>
      </c>
      <c r="AH219" s="220">
        <f t="shared" si="286"/>
        <v>-555</v>
      </c>
      <c r="AI219" s="220">
        <f t="shared" si="287"/>
        <v>-374</v>
      </c>
      <c r="AJ219" s="50">
        <f t="shared" si="226"/>
        <v>2.1080000000000072</v>
      </c>
      <c r="AK219" s="257"/>
      <c r="AL219" s="257">
        <f t="shared" si="227"/>
        <v>1.2</v>
      </c>
      <c r="AM219" s="52"/>
      <c r="AN219" s="88"/>
    </row>
    <row r="220" spans="1:40" s="29" customFormat="1" ht="17.25" customHeight="1">
      <c r="A220" s="48">
        <v>249</v>
      </c>
      <c r="B220" s="49">
        <f t="shared" si="237"/>
        <v>45763</v>
      </c>
      <c r="C220" s="220">
        <f t="shared" si="238"/>
        <v>1049</v>
      </c>
      <c r="D220" s="220">
        <f t="shared" si="257"/>
        <v>2158</v>
      </c>
      <c r="E220" s="220">
        <f t="shared" si="267"/>
        <v>3207</v>
      </c>
      <c r="F220" s="220">
        <f t="shared" si="268"/>
        <v>955</v>
      </c>
      <c r="G220" s="220">
        <f t="shared" si="269"/>
        <v>1217</v>
      </c>
      <c r="H220" s="220">
        <f t="shared" si="270"/>
        <v>1501</v>
      </c>
      <c r="I220" s="220">
        <f t="shared" si="271"/>
        <v>1272</v>
      </c>
      <c r="J220" s="220">
        <f t="shared" si="272"/>
        <v>1023</v>
      </c>
      <c r="K220" s="220">
        <f t="shared" si="273"/>
        <v>2252</v>
      </c>
      <c r="L220" s="220">
        <f t="shared" si="274"/>
        <v>1990</v>
      </c>
      <c r="M220" s="220">
        <f t="shared" si="275"/>
        <v>1706</v>
      </c>
      <c r="N220" s="220">
        <f t="shared" si="276"/>
        <v>1935</v>
      </c>
      <c r="O220" s="220">
        <f t="shared" si="277"/>
        <v>2184</v>
      </c>
      <c r="P220" s="220">
        <f t="shared" si="239"/>
        <v>2000</v>
      </c>
      <c r="Q220" s="220">
        <f t="shared" si="240"/>
        <v>2000</v>
      </c>
      <c r="R220" s="220">
        <f t="shared" si="241"/>
        <v>2000</v>
      </c>
      <c r="S220" s="220">
        <f t="shared" si="242"/>
        <v>2000</v>
      </c>
      <c r="T220" s="220">
        <f t="shared" si="243"/>
        <v>2000</v>
      </c>
      <c r="U220" s="220">
        <f t="shared" si="278"/>
        <v>252</v>
      </c>
      <c r="V220" s="220">
        <f t="shared" si="279"/>
        <v>-10</v>
      </c>
      <c r="W220" s="220">
        <f t="shared" si="280"/>
        <v>-294</v>
      </c>
      <c r="X220" s="220">
        <f t="shared" si="281"/>
        <v>-65</v>
      </c>
      <c r="Y220" s="220">
        <f t="shared" si="282"/>
        <v>184</v>
      </c>
      <c r="Z220" s="220">
        <v>2</v>
      </c>
      <c r="AA220" s="220">
        <v>2</v>
      </c>
      <c r="AB220" s="220">
        <v>6</v>
      </c>
      <c r="AC220" s="220">
        <v>4</v>
      </c>
      <c r="AD220" s="220">
        <v>5</v>
      </c>
      <c r="AE220" s="220">
        <f t="shared" si="283"/>
        <v>-401</v>
      </c>
      <c r="AF220" s="220">
        <f t="shared" si="284"/>
        <v>-593</v>
      </c>
      <c r="AG220" s="220">
        <f t="shared" si="285"/>
        <v>-755</v>
      </c>
      <c r="AH220" s="220">
        <f t="shared" si="286"/>
        <v>-559</v>
      </c>
      <c r="AI220" s="220">
        <f t="shared" si="287"/>
        <v>-379</v>
      </c>
      <c r="AJ220" s="50">
        <f t="shared" si="226"/>
        <v>2.1020000000000074</v>
      </c>
      <c r="AK220" s="257"/>
      <c r="AL220" s="257">
        <f t="shared" si="227"/>
        <v>1.2</v>
      </c>
      <c r="AM220" s="52"/>
      <c r="AN220" s="88"/>
    </row>
    <row r="221" spans="1:40" s="29" customFormat="1" ht="17.25" customHeight="1">
      <c r="A221" s="48">
        <v>250</v>
      </c>
      <c r="B221" s="49">
        <f t="shared" si="237"/>
        <v>45764</v>
      </c>
      <c r="C221" s="220">
        <f t="shared" si="238"/>
        <v>1049</v>
      </c>
      <c r="D221" s="220">
        <f t="shared" si="257"/>
        <v>2132</v>
      </c>
      <c r="E221" s="220">
        <f t="shared" si="267"/>
        <v>3181</v>
      </c>
      <c r="F221" s="220">
        <f t="shared" si="268"/>
        <v>932</v>
      </c>
      <c r="G221" s="220">
        <f t="shared" si="269"/>
        <v>1193</v>
      </c>
      <c r="H221" s="220">
        <f t="shared" si="270"/>
        <v>1477</v>
      </c>
      <c r="I221" s="220">
        <f t="shared" si="271"/>
        <v>1250</v>
      </c>
      <c r="J221" s="220">
        <f t="shared" si="272"/>
        <v>1000</v>
      </c>
      <c r="K221" s="220">
        <f t="shared" si="273"/>
        <v>2249</v>
      </c>
      <c r="L221" s="220">
        <f t="shared" si="274"/>
        <v>1988</v>
      </c>
      <c r="M221" s="220">
        <f t="shared" si="275"/>
        <v>1704</v>
      </c>
      <c r="N221" s="220">
        <f t="shared" si="276"/>
        <v>1931</v>
      </c>
      <c r="O221" s="220">
        <f t="shared" si="277"/>
        <v>2181</v>
      </c>
      <c r="P221" s="220">
        <f t="shared" si="239"/>
        <v>2000</v>
      </c>
      <c r="Q221" s="220">
        <f t="shared" si="240"/>
        <v>2000</v>
      </c>
      <c r="R221" s="220">
        <f t="shared" si="241"/>
        <v>2000</v>
      </c>
      <c r="S221" s="220">
        <f t="shared" si="242"/>
        <v>2000</v>
      </c>
      <c r="T221" s="220">
        <f t="shared" si="243"/>
        <v>2000</v>
      </c>
      <c r="U221" s="220">
        <f t="shared" si="278"/>
        <v>249</v>
      </c>
      <c r="V221" s="220">
        <f t="shared" si="279"/>
        <v>-12</v>
      </c>
      <c r="W221" s="220">
        <f t="shared" si="280"/>
        <v>-296</v>
      </c>
      <c r="X221" s="220">
        <f t="shared" si="281"/>
        <v>-69</v>
      </c>
      <c r="Y221" s="220">
        <f t="shared" si="282"/>
        <v>181</v>
      </c>
      <c r="Z221" s="220">
        <v>3</v>
      </c>
      <c r="AA221" s="220">
        <v>2</v>
      </c>
      <c r="AB221" s="220">
        <v>2</v>
      </c>
      <c r="AC221" s="220">
        <v>4</v>
      </c>
      <c r="AD221" s="220">
        <v>3</v>
      </c>
      <c r="AE221" s="220">
        <f t="shared" si="283"/>
        <v>-404</v>
      </c>
      <c r="AF221" s="220">
        <f t="shared" si="284"/>
        <v>-595</v>
      </c>
      <c r="AG221" s="220">
        <f t="shared" si="285"/>
        <v>-757</v>
      </c>
      <c r="AH221" s="220">
        <f t="shared" si="286"/>
        <v>-563</v>
      </c>
      <c r="AI221" s="220">
        <f t="shared" si="287"/>
        <v>-382</v>
      </c>
      <c r="AJ221" s="50">
        <f t="shared" si="226"/>
        <v>2.1000000000000076</v>
      </c>
      <c r="AK221" s="257"/>
      <c r="AL221" s="257">
        <f t="shared" si="227"/>
        <v>1.2</v>
      </c>
      <c r="AM221" s="52"/>
      <c r="AN221" s="88"/>
    </row>
    <row r="222" spans="1:40" s="29" customFormat="1" ht="17.25" customHeight="1">
      <c r="A222" s="48">
        <v>251</v>
      </c>
      <c r="B222" s="49">
        <f t="shared" si="237"/>
        <v>45765</v>
      </c>
      <c r="C222" s="220">
        <f t="shared" si="238"/>
        <v>1049</v>
      </c>
      <c r="D222" s="220">
        <f t="shared" si="257"/>
        <v>2106</v>
      </c>
      <c r="E222" s="220">
        <f t="shared" si="267"/>
        <v>3155</v>
      </c>
      <c r="F222" s="220">
        <f t="shared" si="268"/>
        <v>909</v>
      </c>
      <c r="G222" s="220">
        <f t="shared" si="269"/>
        <v>1170</v>
      </c>
      <c r="H222" s="220">
        <f t="shared" si="270"/>
        <v>1456</v>
      </c>
      <c r="I222" s="220">
        <f t="shared" si="271"/>
        <v>1228</v>
      </c>
      <c r="J222" s="220">
        <f t="shared" si="272"/>
        <v>978</v>
      </c>
      <c r="K222" s="220">
        <f t="shared" si="273"/>
        <v>2246</v>
      </c>
      <c r="L222" s="220">
        <f t="shared" si="274"/>
        <v>1985</v>
      </c>
      <c r="M222" s="220">
        <f t="shared" si="275"/>
        <v>1699</v>
      </c>
      <c r="N222" s="220">
        <f t="shared" si="276"/>
        <v>1927</v>
      </c>
      <c r="O222" s="220">
        <f t="shared" si="277"/>
        <v>2177</v>
      </c>
      <c r="P222" s="220">
        <f t="shared" si="239"/>
        <v>2000</v>
      </c>
      <c r="Q222" s="220">
        <f t="shared" si="240"/>
        <v>2000</v>
      </c>
      <c r="R222" s="220">
        <f t="shared" si="241"/>
        <v>2000</v>
      </c>
      <c r="S222" s="220">
        <f t="shared" si="242"/>
        <v>2000</v>
      </c>
      <c r="T222" s="220">
        <f t="shared" si="243"/>
        <v>2000</v>
      </c>
      <c r="U222" s="220">
        <f t="shared" si="278"/>
        <v>246</v>
      </c>
      <c r="V222" s="220">
        <f t="shared" si="279"/>
        <v>-15</v>
      </c>
      <c r="W222" s="220">
        <f t="shared" si="280"/>
        <v>-301</v>
      </c>
      <c r="X222" s="220">
        <f t="shared" si="281"/>
        <v>-73</v>
      </c>
      <c r="Y222" s="220">
        <f t="shared" si="282"/>
        <v>177</v>
      </c>
      <c r="Z222" s="220">
        <v>3</v>
      </c>
      <c r="AA222" s="220">
        <v>3</v>
      </c>
      <c r="AB222" s="220">
        <v>5</v>
      </c>
      <c r="AC222" s="220">
        <v>4</v>
      </c>
      <c r="AD222" s="220">
        <v>4</v>
      </c>
      <c r="AE222" s="220">
        <f t="shared" si="283"/>
        <v>-407</v>
      </c>
      <c r="AF222" s="220">
        <f t="shared" si="284"/>
        <v>-598</v>
      </c>
      <c r="AG222" s="220">
        <f t="shared" si="285"/>
        <v>-762</v>
      </c>
      <c r="AH222" s="220">
        <f t="shared" si="286"/>
        <v>-567</v>
      </c>
      <c r="AI222" s="220">
        <f t="shared" si="287"/>
        <v>-386</v>
      </c>
      <c r="AJ222" s="50">
        <f t="shared" si="226"/>
        <v>2.0950000000000077</v>
      </c>
      <c r="AK222" s="257"/>
      <c r="AL222" s="257">
        <f t="shared" si="227"/>
        <v>1.2</v>
      </c>
      <c r="AM222" s="52"/>
      <c r="AN222" s="88"/>
    </row>
    <row r="223" spans="1:40" s="29" customFormat="1" ht="17.25" customHeight="1">
      <c r="A223" s="48">
        <v>252</v>
      </c>
      <c r="B223" s="49">
        <f t="shared" si="237"/>
        <v>45766</v>
      </c>
      <c r="C223" s="220">
        <f t="shared" si="238"/>
        <v>1049</v>
      </c>
      <c r="D223" s="220">
        <f t="shared" si="257"/>
        <v>2080</v>
      </c>
      <c r="E223" s="220">
        <f t="shared" si="267"/>
        <v>3129</v>
      </c>
      <c r="F223" s="220">
        <f t="shared" si="268"/>
        <v>887</v>
      </c>
      <c r="G223" s="220">
        <f t="shared" si="269"/>
        <v>1147</v>
      </c>
      <c r="H223" s="220">
        <f t="shared" si="270"/>
        <v>1433</v>
      </c>
      <c r="I223" s="220">
        <f t="shared" si="271"/>
        <v>1207</v>
      </c>
      <c r="J223" s="220">
        <f t="shared" si="272"/>
        <v>953</v>
      </c>
      <c r="K223" s="220">
        <f t="shared" si="273"/>
        <v>2242</v>
      </c>
      <c r="L223" s="220">
        <f t="shared" si="274"/>
        <v>1982</v>
      </c>
      <c r="M223" s="220">
        <f t="shared" si="275"/>
        <v>1696</v>
      </c>
      <c r="N223" s="220">
        <f t="shared" si="276"/>
        <v>1922</v>
      </c>
      <c r="O223" s="220">
        <f t="shared" si="277"/>
        <v>2176</v>
      </c>
      <c r="P223" s="220">
        <f t="shared" si="239"/>
        <v>2000</v>
      </c>
      <c r="Q223" s="220">
        <f t="shared" si="240"/>
        <v>2000</v>
      </c>
      <c r="R223" s="220">
        <f t="shared" si="241"/>
        <v>2000</v>
      </c>
      <c r="S223" s="220">
        <f t="shared" si="242"/>
        <v>2000</v>
      </c>
      <c r="T223" s="220">
        <f t="shared" si="243"/>
        <v>2000</v>
      </c>
      <c r="U223" s="220">
        <f t="shared" si="278"/>
        <v>242</v>
      </c>
      <c r="V223" s="220">
        <f t="shared" si="279"/>
        <v>-18</v>
      </c>
      <c r="W223" s="220">
        <f t="shared" si="280"/>
        <v>-304</v>
      </c>
      <c r="X223" s="220">
        <f t="shared" si="281"/>
        <v>-78</v>
      </c>
      <c r="Y223" s="220">
        <f t="shared" si="282"/>
        <v>176</v>
      </c>
      <c r="Z223" s="220">
        <v>4</v>
      </c>
      <c r="AA223" s="220">
        <v>3</v>
      </c>
      <c r="AB223" s="220">
        <v>3</v>
      </c>
      <c r="AC223" s="220">
        <v>5</v>
      </c>
      <c r="AD223" s="220">
        <v>1</v>
      </c>
      <c r="AE223" s="220">
        <f t="shared" si="283"/>
        <v>-411</v>
      </c>
      <c r="AF223" s="220">
        <f t="shared" si="284"/>
        <v>-601</v>
      </c>
      <c r="AG223" s="220">
        <f t="shared" si="285"/>
        <v>-765</v>
      </c>
      <c r="AH223" s="220">
        <f t="shared" si="286"/>
        <v>-572</v>
      </c>
      <c r="AI223" s="220">
        <f t="shared" si="287"/>
        <v>-387</v>
      </c>
      <c r="AJ223" s="50">
        <f t="shared" ref="AJ223:AJ245" si="288">AJ222-AB223/1000+AK224</f>
        <v>2.0920000000000076</v>
      </c>
      <c r="AK223" s="257"/>
      <c r="AL223" s="257">
        <f t="shared" ref="AL223:AL245" si="289">AL222+AK224</f>
        <v>1.2</v>
      </c>
      <c r="AM223" s="52"/>
      <c r="AN223" s="88"/>
    </row>
    <row r="224" spans="1:40" s="29" customFormat="1" ht="17.25" customHeight="1">
      <c r="A224" s="48">
        <v>253</v>
      </c>
      <c r="B224" s="49">
        <f t="shared" si="237"/>
        <v>45767</v>
      </c>
      <c r="C224" s="220">
        <f t="shared" si="238"/>
        <v>1049</v>
      </c>
      <c r="D224" s="220">
        <f t="shared" si="257"/>
        <v>2054</v>
      </c>
      <c r="E224" s="220">
        <f t="shared" si="267"/>
        <v>3103</v>
      </c>
      <c r="F224" s="220">
        <f t="shared" si="268"/>
        <v>865</v>
      </c>
      <c r="G224" s="220">
        <f t="shared" si="269"/>
        <v>1123</v>
      </c>
      <c r="H224" s="220">
        <f t="shared" si="270"/>
        <v>1410</v>
      </c>
      <c r="I224" s="220">
        <f t="shared" si="271"/>
        <v>1184</v>
      </c>
      <c r="J224" s="220">
        <f t="shared" si="272"/>
        <v>930</v>
      </c>
      <c r="K224" s="220">
        <f t="shared" si="273"/>
        <v>2238</v>
      </c>
      <c r="L224" s="220">
        <f t="shared" si="274"/>
        <v>1980</v>
      </c>
      <c r="M224" s="220">
        <f t="shared" si="275"/>
        <v>1693</v>
      </c>
      <c r="N224" s="220">
        <f t="shared" si="276"/>
        <v>1919</v>
      </c>
      <c r="O224" s="220">
        <f t="shared" si="277"/>
        <v>2173</v>
      </c>
      <c r="P224" s="220">
        <f t="shared" si="239"/>
        <v>2000</v>
      </c>
      <c r="Q224" s="220">
        <f t="shared" si="240"/>
        <v>2000</v>
      </c>
      <c r="R224" s="220">
        <f t="shared" si="241"/>
        <v>2000</v>
      </c>
      <c r="S224" s="220">
        <f t="shared" si="242"/>
        <v>2000</v>
      </c>
      <c r="T224" s="220">
        <f t="shared" si="243"/>
        <v>2000</v>
      </c>
      <c r="U224" s="220">
        <f t="shared" si="278"/>
        <v>238</v>
      </c>
      <c r="V224" s="220">
        <f t="shared" si="279"/>
        <v>-20</v>
      </c>
      <c r="W224" s="220">
        <f t="shared" si="280"/>
        <v>-307</v>
      </c>
      <c r="X224" s="220">
        <f t="shared" si="281"/>
        <v>-81</v>
      </c>
      <c r="Y224" s="220">
        <f t="shared" si="282"/>
        <v>173</v>
      </c>
      <c r="Z224" s="220">
        <v>4</v>
      </c>
      <c r="AA224" s="220">
        <v>2</v>
      </c>
      <c r="AB224" s="220">
        <v>3</v>
      </c>
      <c r="AC224" s="220">
        <v>3</v>
      </c>
      <c r="AD224" s="220">
        <v>3</v>
      </c>
      <c r="AE224" s="220">
        <f t="shared" si="283"/>
        <v>-415</v>
      </c>
      <c r="AF224" s="220">
        <f t="shared" si="284"/>
        <v>-603</v>
      </c>
      <c r="AG224" s="220">
        <f t="shared" si="285"/>
        <v>-768</v>
      </c>
      <c r="AH224" s="220">
        <f t="shared" si="286"/>
        <v>-575</v>
      </c>
      <c r="AI224" s="220">
        <f t="shared" si="287"/>
        <v>-390</v>
      </c>
      <c r="AJ224" s="50">
        <f t="shared" si="288"/>
        <v>2.0890000000000075</v>
      </c>
      <c r="AK224" s="257"/>
      <c r="AL224" s="257">
        <f t="shared" si="289"/>
        <v>1.2</v>
      </c>
      <c r="AM224" s="52"/>
      <c r="AN224" s="88"/>
    </row>
    <row r="225" spans="1:40" s="29" customFormat="1" ht="17.25" customHeight="1">
      <c r="A225" s="48">
        <v>254</v>
      </c>
      <c r="B225" s="49">
        <f t="shared" si="237"/>
        <v>45768</v>
      </c>
      <c r="C225" s="220">
        <f t="shared" si="238"/>
        <v>1049</v>
      </c>
      <c r="D225" s="220">
        <f t="shared" si="257"/>
        <v>2028</v>
      </c>
      <c r="E225" s="220">
        <f t="shared" si="267"/>
        <v>3077</v>
      </c>
      <c r="F225" s="220">
        <f t="shared" si="268"/>
        <v>842</v>
      </c>
      <c r="G225" s="220">
        <f t="shared" si="269"/>
        <v>1099</v>
      </c>
      <c r="H225" s="220">
        <f t="shared" si="270"/>
        <v>1388</v>
      </c>
      <c r="I225" s="220">
        <f t="shared" si="271"/>
        <v>1162</v>
      </c>
      <c r="J225" s="220">
        <f t="shared" si="272"/>
        <v>906</v>
      </c>
      <c r="K225" s="220">
        <f t="shared" si="273"/>
        <v>2235</v>
      </c>
      <c r="L225" s="220">
        <f t="shared" si="274"/>
        <v>1978</v>
      </c>
      <c r="M225" s="220">
        <f t="shared" si="275"/>
        <v>1689</v>
      </c>
      <c r="N225" s="220">
        <f t="shared" si="276"/>
        <v>1915</v>
      </c>
      <c r="O225" s="220">
        <f t="shared" si="277"/>
        <v>2171</v>
      </c>
      <c r="P225" s="220">
        <f t="shared" si="239"/>
        <v>2000</v>
      </c>
      <c r="Q225" s="220">
        <f t="shared" si="240"/>
        <v>2000</v>
      </c>
      <c r="R225" s="220">
        <f t="shared" si="241"/>
        <v>2000</v>
      </c>
      <c r="S225" s="220">
        <f t="shared" si="242"/>
        <v>2000</v>
      </c>
      <c r="T225" s="220">
        <f t="shared" si="243"/>
        <v>2000</v>
      </c>
      <c r="U225" s="220">
        <f t="shared" si="278"/>
        <v>235</v>
      </c>
      <c r="V225" s="220">
        <f t="shared" si="279"/>
        <v>-22</v>
      </c>
      <c r="W225" s="220">
        <f t="shared" si="280"/>
        <v>-311</v>
      </c>
      <c r="X225" s="220">
        <f t="shared" si="281"/>
        <v>-85</v>
      </c>
      <c r="Y225" s="220">
        <f t="shared" si="282"/>
        <v>171</v>
      </c>
      <c r="Z225" s="220">
        <v>3</v>
      </c>
      <c r="AA225" s="220">
        <v>2</v>
      </c>
      <c r="AB225" s="220">
        <v>4</v>
      </c>
      <c r="AC225" s="220">
        <v>4</v>
      </c>
      <c r="AD225" s="220">
        <v>2</v>
      </c>
      <c r="AE225" s="220">
        <f t="shared" si="283"/>
        <v>-418</v>
      </c>
      <c r="AF225" s="220">
        <f t="shared" si="284"/>
        <v>-605</v>
      </c>
      <c r="AG225" s="220">
        <f t="shared" si="285"/>
        <v>-772</v>
      </c>
      <c r="AH225" s="220">
        <f t="shared" si="286"/>
        <v>-579</v>
      </c>
      <c r="AI225" s="220">
        <f t="shared" si="287"/>
        <v>-392</v>
      </c>
      <c r="AJ225" s="50">
        <f t="shared" si="288"/>
        <v>2.0850000000000075</v>
      </c>
      <c r="AK225" s="257"/>
      <c r="AL225" s="257">
        <f t="shared" si="289"/>
        <v>1.2</v>
      </c>
      <c r="AM225" s="52"/>
      <c r="AN225" s="88"/>
    </row>
    <row r="226" spans="1:40" s="29" customFormat="1" ht="17.25" customHeight="1">
      <c r="A226" s="48">
        <v>255</v>
      </c>
      <c r="B226" s="49">
        <f t="shared" si="237"/>
        <v>45769</v>
      </c>
      <c r="C226" s="220">
        <f t="shared" si="238"/>
        <v>1049</v>
      </c>
      <c r="D226" s="220">
        <f t="shared" si="257"/>
        <v>2002</v>
      </c>
      <c r="E226" s="220">
        <f t="shared" si="267"/>
        <v>3051</v>
      </c>
      <c r="F226" s="220">
        <f t="shared" si="268"/>
        <v>819</v>
      </c>
      <c r="G226" s="220">
        <f t="shared" si="269"/>
        <v>1076</v>
      </c>
      <c r="H226" s="220">
        <f t="shared" si="270"/>
        <v>1366</v>
      </c>
      <c r="I226" s="220">
        <f t="shared" si="271"/>
        <v>1140</v>
      </c>
      <c r="J226" s="220">
        <f t="shared" si="272"/>
        <v>883</v>
      </c>
      <c r="K226" s="220">
        <f t="shared" si="273"/>
        <v>2232</v>
      </c>
      <c r="L226" s="220">
        <f t="shared" si="274"/>
        <v>1975</v>
      </c>
      <c r="M226" s="220">
        <f t="shared" si="275"/>
        <v>1685</v>
      </c>
      <c r="N226" s="220">
        <f t="shared" si="276"/>
        <v>1911</v>
      </c>
      <c r="O226" s="220">
        <f t="shared" si="277"/>
        <v>2168</v>
      </c>
      <c r="P226" s="220">
        <f t="shared" si="239"/>
        <v>2000</v>
      </c>
      <c r="Q226" s="220">
        <f t="shared" si="240"/>
        <v>2000</v>
      </c>
      <c r="R226" s="220">
        <f t="shared" si="241"/>
        <v>2000</v>
      </c>
      <c r="S226" s="220">
        <f t="shared" si="242"/>
        <v>2000</v>
      </c>
      <c r="T226" s="220">
        <f t="shared" si="243"/>
        <v>2000</v>
      </c>
      <c r="U226" s="220">
        <f t="shared" si="278"/>
        <v>232</v>
      </c>
      <c r="V226" s="220">
        <f t="shared" si="279"/>
        <v>-25</v>
      </c>
      <c r="W226" s="220">
        <f t="shared" si="280"/>
        <v>-315</v>
      </c>
      <c r="X226" s="220">
        <f t="shared" si="281"/>
        <v>-89</v>
      </c>
      <c r="Y226" s="220">
        <f t="shared" si="282"/>
        <v>168</v>
      </c>
      <c r="Z226" s="220">
        <v>3</v>
      </c>
      <c r="AA226" s="220">
        <v>3</v>
      </c>
      <c r="AB226" s="220">
        <v>4</v>
      </c>
      <c r="AC226" s="220">
        <v>4</v>
      </c>
      <c r="AD226" s="220">
        <v>3</v>
      </c>
      <c r="AE226" s="220">
        <f t="shared" si="283"/>
        <v>-421</v>
      </c>
      <c r="AF226" s="220">
        <f t="shared" si="284"/>
        <v>-608</v>
      </c>
      <c r="AG226" s="220">
        <f t="shared" si="285"/>
        <v>-776</v>
      </c>
      <c r="AH226" s="220">
        <f t="shared" si="286"/>
        <v>-583</v>
      </c>
      <c r="AI226" s="220">
        <f t="shared" si="287"/>
        <v>-395</v>
      </c>
      <c r="AJ226" s="50">
        <f t="shared" si="288"/>
        <v>2.0810000000000075</v>
      </c>
      <c r="AK226" s="257"/>
      <c r="AL226" s="257">
        <f t="shared" si="289"/>
        <v>1.2</v>
      </c>
      <c r="AM226" s="52"/>
      <c r="AN226" s="88"/>
    </row>
    <row r="227" spans="1:40" s="29" customFormat="1" ht="17.25" customHeight="1">
      <c r="A227" s="48">
        <v>256</v>
      </c>
      <c r="B227" s="49">
        <f t="shared" si="237"/>
        <v>45770</v>
      </c>
      <c r="C227" s="220">
        <f t="shared" si="238"/>
        <v>1049</v>
      </c>
      <c r="D227" s="220">
        <f t="shared" si="257"/>
        <v>1976</v>
      </c>
      <c r="E227" s="220">
        <f t="shared" si="267"/>
        <v>3025</v>
      </c>
      <c r="F227" s="220">
        <f t="shared" si="268"/>
        <v>797</v>
      </c>
      <c r="G227" s="220">
        <f t="shared" si="269"/>
        <v>1053</v>
      </c>
      <c r="H227" s="220">
        <f t="shared" si="270"/>
        <v>1343</v>
      </c>
      <c r="I227" s="220">
        <f t="shared" si="271"/>
        <v>1117</v>
      </c>
      <c r="J227" s="220">
        <f t="shared" si="272"/>
        <v>860</v>
      </c>
      <c r="K227" s="220">
        <f t="shared" si="273"/>
        <v>2228</v>
      </c>
      <c r="L227" s="220">
        <f t="shared" si="274"/>
        <v>1972</v>
      </c>
      <c r="M227" s="220">
        <f t="shared" si="275"/>
        <v>1682</v>
      </c>
      <c r="N227" s="220">
        <f t="shared" si="276"/>
        <v>1908</v>
      </c>
      <c r="O227" s="220">
        <f t="shared" si="277"/>
        <v>2165</v>
      </c>
      <c r="P227" s="220">
        <f t="shared" si="239"/>
        <v>2000</v>
      </c>
      <c r="Q227" s="220">
        <f t="shared" si="240"/>
        <v>2000</v>
      </c>
      <c r="R227" s="220">
        <f t="shared" si="241"/>
        <v>2000</v>
      </c>
      <c r="S227" s="220">
        <f t="shared" si="242"/>
        <v>2000</v>
      </c>
      <c r="T227" s="220">
        <f t="shared" si="243"/>
        <v>2000</v>
      </c>
      <c r="U227" s="220">
        <f t="shared" si="278"/>
        <v>228</v>
      </c>
      <c r="V227" s="220">
        <f t="shared" si="279"/>
        <v>-28</v>
      </c>
      <c r="W227" s="220">
        <f t="shared" si="280"/>
        <v>-318</v>
      </c>
      <c r="X227" s="220">
        <f t="shared" si="281"/>
        <v>-92</v>
      </c>
      <c r="Y227" s="220">
        <f t="shared" si="282"/>
        <v>165</v>
      </c>
      <c r="Z227" s="220">
        <v>4</v>
      </c>
      <c r="AA227" s="220">
        <v>3</v>
      </c>
      <c r="AB227" s="220">
        <v>3</v>
      </c>
      <c r="AC227" s="220">
        <v>3</v>
      </c>
      <c r="AD227" s="220">
        <v>3</v>
      </c>
      <c r="AE227" s="220">
        <f t="shared" si="283"/>
        <v>-425</v>
      </c>
      <c r="AF227" s="220">
        <f t="shared" si="284"/>
        <v>-611</v>
      </c>
      <c r="AG227" s="220">
        <f t="shared" si="285"/>
        <v>-779</v>
      </c>
      <c r="AH227" s="220">
        <f t="shared" si="286"/>
        <v>-586</v>
      </c>
      <c r="AI227" s="220">
        <f t="shared" si="287"/>
        <v>-398</v>
      </c>
      <c r="AJ227" s="50">
        <f t="shared" si="288"/>
        <v>2.0780000000000074</v>
      </c>
      <c r="AK227" s="257"/>
      <c r="AL227" s="257">
        <f t="shared" si="289"/>
        <v>1.2</v>
      </c>
      <c r="AM227" s="52"/>
      <c r="AN227" s="88"/>
    </row>
    <row r="228" spans="1:40" s="29" customFormat="1" ht="17.25" customHeight="1">
      <c r="A228" s="48">
        <v>257</v>
      </c>
      <c r="B228" s="49">
        <f t="shared" si="237"/>
        <v>45771</v>
      </c>
      <c r="C228" s="220">
        <f t="shared" si="238"/>
        <v>1049</v>
      </c>
      <c r="D228" s="220">
        <f t="shared" si="257"/>
        <v>1950</v>
      </c>
      <c r="E228" s="220">
        <f t="shared" si="267"/>
        <v>2999</v>
      </c>
      <c r="F228" s="220">
        <f t="shared" si="268"/>
        <v>776</v>
      </c>
      <c r="G228" s="220">
        <f t="shared" si="269"/>
        <v>1029</v>
      </c>
      <c r="H228" s="220">
        <f t="shared" si="270"/>
        <v>1322</v>
      </c>
      <c r="I228" s="220">
        <f t="shared" si="271"/>
        <v>1093</v>
      </c>
      <c r="J228" s="220">
        <f t="shared" si="272"/>
        <v>836</v>
      </c>
      <c r="K228" s="220">
        <f t="shared" si="273"/>
        <v>2223</v>
      </c>
      <c r="L228" s="220">
        <f t="shared" si="274"/>
        <v>1970</v>
      </c>
      <c r="M228" s="220">
        <f t="shared" si="275"/>
        <v>1677</v>
      </c>
      <c r="N228" s="220">
        <f t="shared" si="276"/>
        <v>1906</v>
      </c>
      <c r="O228" s="220">
        <f t="shared" si="277"/>
        <v>2163</v>
      </c>
      <c r="P228" s="220">
        <f t="shared" si="239"/>
        <v>2000</v>
      </c>
      <c r="Q228" s="220">
        <f t="shared" si="240"/>
        <v>2000</v>
      </c>
      <c r="R228" s="220">
        <f t="shared" si="241"/>
        <v>2000</v>
      </c>
      <c r="S228" s="220">
        <f t="shared" si="242"/>
        <v>2000</v>
      </c>
      <c r="T228" s="220">
        <f t="shared" si="243"/>
        <v>2000</v>
      </c>
      <c r="U228" s="220">
        <f t="shared" si="278"/>
        <v>223</v>
      </c>
      <c r="V228" s="220">
        <f t="shared" si="279"/>
        <v>-30</v>
      </c>
      <c r="W228" s="220">
        <f t="shared" si="280"/>
        <v>-323</v>
      </c>
      <c r="X228" s="220">
        <f t="shared" si="281"/>
        <v>-94</v>
      </c>
      <c r="Y228" s="220">
        <f t="shared" si="282"/>
        <v>163</v>
      </c>
      <c r="Z228" s="220">
        <v>5</v>
      </c>
      <c r="AA228" s="220">
        <v>2</v>
      </c>
      <c r="AB228" s="220">
        <v>5</v>
      </c>
      <c r="AC228" s="220">
        <v>2</v>
      </c>
      <c r="AD228" s="220">
        <v>2</v>
      </c>
      <c r="AE228" s="220">
        <f t="shared" si="283"/>
        <v>-430</v>
      </c>
      <c r="AF228" s="220">
        <f t="shared" si="284"/>
        <v>-613</v>
      </c>
      <c r="AG228" s="220">
        <f t="shared" si="285"/>
        <v>-784</v>
      </c>
      <c r="AH228" s="220">
        <f t="shared" si="286"/>
        <v>-588</v>
      </c>
      <c r="AI228" s="220">
        <f t="shared" si="287"/>
        <v>-400</v>
      </c>
      <c r="AJ228" s="50">
        <f t="shared" si="288"/>
        <v>2.0730000000000075</v>
      </c>
      <c r="AK228" s="257"/>
      <c r="AL228" s="257">
        <f t="shared" si="289"/>
        <v>1.2</v>
      </c>
      <c r="AM228" s="52"/>
      <c r="AN228" s="88"/>
    </row>
    <row r="229" spans="1:40" s="29" customFormat="1" ht="17.25" customHeight="1">
      <c r="A229" s="48">
        <v>258</v>
      </c>
      <c r="B229" s="49">
        <f t="shared" si="237"/>
        <v>45772</v>
      </c>
      <c r="C229" s="220">
        <f t="shared" si="238"/>
        <v>1049</v>
      </c>
      <c r="D229" s="220">
        <f t="shared" si="257"/>
        <v>1924</v>
      </c>
      <c r="E229" s="220">
        <f t="shared" si="267"/>
        <v>2973</v>
      </c>
      <c r="F229" s="220">
        <f t="shared" si="268"/>
        <v>753</v>
      </c>
      <c r="G229" s="220">
        <f t="shared" si="269"/>
        <v>1005</v>
      </c>
      <c r="H229" s="220">
        <f t="shared" si="270"/>
        <v>1299</v>
      </c>
      <c r="I229" s="220">
        <f t="shared" si="271"/>
        <v>1072</v>
      </c>
      <c r="J229" s="220">
        <f t="shared" si="272"/>
        <v>813</v>
      </c>
      <c r="K229" s="220">
        <f t="shared" si="273"/>
        <v>2220</v>
      </c>
      <c r="L229" s="220">
        <f t="shared" si="274"/>
        <v>1968</v>
      </c>
      <c r="M229" s="220">
        <f t="shared" si="275"/>
        <v>1674</v>
      </c>
      <c r="N229" s="220">
        <f t="shared" si="276"/>
        <v>1901</v>
      </c>
      <c r="O229" s="220">
        <f t="shared" si="277"/>
        <v>2160</v>
      </c>
      <c r="P229" s="220">
        <f t="shared" si="239"/>
        <v>2000</v>
      </c>
      <c r="Q229" s="220">
        <f t="shared" si="240"/>
        <v>2000</v>
      </c>
      <c r="R229" s="220">
        <f t="shared" si="241"/>
        <v>2000</v>
      </c>
      <c r="S229" s="220">
        <f t="shared" si="242"/>
        <v>2000</v>
      </c>
      <c r="T229" s="220">
        <f t="shared" si="243"/>
        <v>2000</v>
      </c>
      <c r="U229" s="220">
        <f t="shared" si="278"/>
        <v>220</v>
      </c>
      <c r="V229" s="220">
        <f t="shared" si="279"/>
        <v>-32</v>
      </c>
      <c r="W229" s="220">
        <f t="shared" si="280"/>
        <v>-326</v>
      </c>
      <c r="X229" s="220">
        <f t="shared" si="281"/>
        <v>-99</v>
      </c>
      <c r="Y229" s="220">
        <f t="shared" si="282"/>
        <v>160</v>
      </c>
      <c r="Z229" s="220">
        <v>3</v>
      </c>
      <c r="AA229" s="220">
        <v>2</v>
      </c>
      <c r="AB229" s="220">
        <v>3</v>
      </c>
      <c r="AC229" s="220">
        <v>5</v>
      </c>
      <c r="AD229" s="220">
        <v>3</v>
      </c>
      <c r="AE229" s="220">
        <f t="shared" si="283"/>
        <v>-433</v>
      </c>
      <c r="AF229" s="220">
        <f t="shared" si="284"/>
        <v>-615</v>
      </c>
      <c r="AG229" s="220">
        <f t="shared" si="285"/>
        <v>-787</v>
      </c>
      <c r="AH229" s="220">
        <f t="shared" si="286"/>
        <v>-593</v>
      </c>
      <c r="AI229" s="220">
        <f t="shared" si="287"/>
        <v>-403</v>
      </c>
      <c r="AJ229" s="50">
        <f t="shared" si="288"/>
        <v>2.0700000000000074</v>
      </c>
      <c r="AK229" s="257"/>
      <c r="AL229" s="257">
        <f t="shared" si="289"/>
        <v>1.2</v>
      </c>
      <c r="AM229" s="52"/>
      <c r="AN229" s="88"/>
    </row>
    <row r="230" spans="1:40" s="29" customFormat="1" ht="17.25" customHeight="1">
      <c r="A230" s="48">
        <v>259</v>
      </c>
      <c r="B230" s="49">
        <f t="shared" ref="B230:B265" si="290">B229+1</f>
        <v>45773</v>
      </c>
      <c r="C230" s="220">
        <f t="shared" ref="C230:C265" si="291">+C229</f>
        <v>1049</v>
      </c>
      <c r="D230" s="220">
        <f t="shared" si="257"/>
        <v>1898</v>
      </c>
      <c r="E230" s="220">
        <f t="shared" si="267"/>
        <v>2947</v>
      </c>
      <c r="F230" s="220">
        <f t="shared" si="268"/>
        <v>730</v>
      </c>
      <c r="G230" s="220">
        <f t="shared" si="269"/>
        <v>982</v>
      </c>
      <c r="H230" s="220">
        <f t="shared" si="270"/>
        <v>1276</v>
      </c>
      <c r="I230" s="220">
        <f t="shared" si="271"/>
        <v>1049</v>
      </c>
      <c r="J230" s="220">
        <f t="shared" si="272"/>
        <v>789</v>
      </c>
      <c r="K230" s="220">
        <f t="shared" si="273"/>
        <v>2217</v>
      </c>
      <c r="L230" s="220">
        <f t="shared" si="274"/>
        <v>1965</v>
      </c>
      <c r="M230" s="220">
        <f t="shared" si="275"/>
        <v>1671</v>
      </c>
      <c r="N230" s="220">
        <f t="shared" si="276"/>
        <v>1898</v>
      </c>
      <c r="O230" s="220">
        <f t="shared" si="277"/>
        <v>2158</v>
      </c>
      <c r="P230" s="220">
        <f t="shared" ref="P230:T245" si="292">+P229</f>
        <v>2000</v>
      </c>
      <c r="Q230" s="220">
        <f t="shared" si="292"/>
        <v>2000</v>
      </c>
      <c r="R230" s="220">
        <f t="shared" si="292"/>
        <v>2000</v>
      </c>
      <c r="S230" s="220">
        <f t="shared" si="292"/>
        <v>2000</v>
      </c>
      <c r="T230" s="220">
        <f t="shared" si="292"/>
        <v>2000</v>
      </c>
      <c r="U230" s="220">
        <f t="shared" si="278"/>
        <v>217</v>
      </c>
      <c r="V230" s="220">
        <f t="shared" si="279"/>
        <v>-35</v>
      </c>
      <c r="W230" s="220">
        <f t="shared" si="280"/>
        <v>-329</v>
      </c>
      <c r="X230" s="220">
        <f t="shared" si="281"/>
        <v>-102</v>
      </c>
      <c r="Y230" s="220">
        <f t="shared" si="282"/>
        <v>158</v>
      </c>
      <c r="Z230" s="220">
        <v>3</v>
      </c>
      <c r="AA230" s="220">
        <v>3</v>
      </c>
      <c r="AB230" s="220">
        <v>3</v>
      </c>
      <c r="AC230" s="220">
        <v>3</v>
      </c>
      <c r="AD230" s="220">
        <v>2</v>
      </c>
      <c r="AE230" s="220">
        <f t="shared" si="283"/>
        <v>-436</v>
      </c>
      <c r="AF230" s="220">
        <f t="shared" si="284"/>
        <v>-618</v>
      </c>
      <c r="AG230" s="220">
        <f t="shared" si="285"/>
        <v>-790</v>
      </c>
      <c r="AH230" s="220">
        <f t="shared" si="286"/>
        <v>-596</v>
      </c>
      <c r="AI230" s="220">
        <f t="shared" si="287"/>
        <v>-405</v>
      </c>
      <c r="AJ230" s="50">
        <f t="shared" si="288"/>
        <v>2.0670000000000073</v>
      </c>
      <c r="AK230" s="257"/>
      <c r="AL230" s="257">
        <f t="shared" si="289"/>
        <v>1.2</v>
      </c>
      <c r="AM230" s="52"/>
      <c r="AN230" s="88"/>
    </row>
    <row r="231" spans="1:40" s="29" customFormat="1" ht="17.25" customHeight="1">
      <c r="A231" s="48">
        <v>260</v>
      </c>
      <c r="B231" s="49">
        <f t="shared" si="290"/>
        <v>45774</v>
      </c>
      <c r="C231" s="220">
        <f t="shared" si="291"/>
        <v>1049</v>
      </c>
      <c r="D231" s="220">
        <f t="shared" si="257"/>
        <v>1872</v>
      </c>
      <c r="E231" s="220">
        <f t="shared" si="267"/>
        <v>2921</v>
      </c>
      <c r="F231" s="220">
        <f t="shared" si="268"/>
        <v>708</v>
      </c>
      <c r="G231" s="220">
        <f t="shared" si="269"/>
        <v>959</v>
      </c>
      <c r="H231" s="220">
        <f t="shared" si="270"/>
        <v>1255</v>
      </c>
      <c r="I231" s="220">
        <f t="shared" si="271"/>
        <v>1025</v>
      </c>
      <c r="J231" s="220">
        <f t="shared" si="272"/>
        <v>766</v>
      </c>
      <c r="K231" s="220">
        <f t="shared" si="273"/>
        <v>2213</v>
      </c>
      <c r="L231" s="220">
        <f t="shared" si="274"/>
        <v>1962</v>
      </c>
      <c r="M231" s="220">
        <f t="shared" si="275"/>
        <v>1666</v>
      </c>
      <c r="N231" s="220">
        <f t="shared" si="276"/>
        <v>1896</v>
      </c>
      <c r="O231" s="220">
        <f t="shared" si="277"/>
        <v>2155</v>
      </c>
      <c r="P231" s="220">
        <f t="shared" si="292"/>
        <v>2000</v>
      </c>
      <c r="Q231" s="220">
        <f t="shared" si="292"/>
        <v>2000</v>
      </c>
      <c r="R231" s="220">
        <f t="shared" si="292"/>
        <v>2000</v>
      </c>
      <c r="S231" s="220">
        <f t="shared" si="292"/>
        <v>2000</v>
      </c>
      <c r="T231" s="220">
        <f t="shared" si="292"/>
        <v>2000</v>
      </c>
      <c r="U231" s="220">
        <f t="shared" si="278"/>
        <v>213</v>
      </c>
      <c r="V231" s="220">
        <f t="shared" si="279"/>
        <v>-38</v>
      </c>
      <c r="W231" s="220">
        <f t="shared" si="280"/>
        <v>-334</v>
      </c>
      <c r="X231" s="220">
        <f t="shared" si="281"/>
        <v>-104</v>
      </c>
      <c r="Y231" s="220">
        <f t="shared" si="282"/>
        <v>155</v>
      </c>
      <c r="Z231" s="220">
        <v>4</v>
      </c>
      <c r="AA231" s="220">
        <v>3</v>
      </c>
      <c r="AB231" s="220">
        <v>5</v>
      </c>
      <c r="AC231" s="220">
        <v>2</v>
      </c>
      <c r="AD231" s="220">
        <v>3</v>
      </c>
      <c r="AE231" s="220">
        <f t="shared" si="283"/>
        <v>-440</v>
      </c>
      <c r="AF231" s="220">
        <f t="shared" si="284"/>
        <v>-621</v>
      </c>
      <c r="AG231" s="220">
        <f t="shared" si="285"/>
        <v>-795</v>
      </c>
      <c r="AH231" s="220">
        <f t="shared" si="286"/>
        <v>-598</v>
      </c>
      <c r="AI231" s="220">
        <f t="shared" si="287"/>
        <v>-408</v>
      </c>
      <c r="AJ231" s="50">
        <f t="shared" si="288"/>
        <v>2.0620000000000074</v>
      </c>
      <c r="AK231" s="257"/>
      <c r="AL231" s="257">
        <f t="shared" si="289"/>
        <v>1.2</v>
      </c>
      <c r="AM231" s="52"/>
      <c r="AN231" s="88"/>
    </row>
    <row r="232" spans="1:40" s="29" customFormat="1" ht="17.25" customHeight="1">
      <c r="A232" s="48">
        <v>261</v>
      </c>
      <c r="B232" s="49">
        <f t="shared" si="290"/>
        <v>45775</v>
      </c>
      <c r="C232" s="220">
        <f t="shared" si="291"/>
        <v>1049</v>
      </c>
      <c r="D232" s="220">
        <f t="shared" si="257"/>
        <v>1846</v>
      </c>
      <c r="E232" s="220">
        <f t="shared" si="267"/>
        <v>2895</v>
      </c>
      <c r="F232" s="220">
        <f t="shared" si="268"/>
        <v>686</v>
      </c>
      <c r="G232" s="220">
        <f t="shared" si="269"/>
        <v>935</v>
      </c>
      <c r="H232" s="220">
        <f t="shared" si="270"/>
        <v>1232</v>
      </c>
      <c r="I232" s="220">
        <f t="shared" si="271"/>
        <v>1002</v>
      </c>
      <c r="J232" s="220">
        <f t="shared" si="272"/>
        <v>742</v>
      </c>
      <c r="K232" s="220">
        <f t="shared" si="273"/>
        <v>2209</v>
      </c>
      <c r="L232" s="220">
        <f t="shared" si="274"/>
        <v>1960</v>
      </c>
      <c r="M232" s="220">
        <f t="shared" si="275"/>
        <v>1663</v>
      </c>
      <c r="N232" s="220">
        <f t="shared" si="276"/>
        <v>1893</v>
      </c>
      <c r="O232" s="220">
        <f t="shared" si="277"/>
        <v>2153</v>
      </c>
      <c r="P232" s="220">
        <f t="shared" si="292"/>
        <v>2000</v>
      </c>
      <c r="Q232" s="220">
        <f t="shared" si="292"/>
        <v>2000</v>
      </c>
      <c r="R232" s="220">
        <f t="shared" si="292"/>
        <v>2000</v>
      </c>
      <c r="S232" s="220">
        <f t="shared" si="292"/>
        <v>2000</v>
      </c>
      <c r="T232" s="220">
        <f t="shared" si="292"/>
        <v>2000</v>
      </c>
      <c r="U232" s="220">
        <f t="shared" si="278"/>
        <v>209</v>
      </c>
      <c r="V232" s="220">
        <f t="shared" si="279"/>
        <v>-40</v>
      </c>
      <c r="W232" s="220">
        <f t="shared" si="280"/>
        <v>-337</v>
      </c>
      <c r="X232" s="220">
        <f t="shared" si="281"/>
        <v>-107</v>
      </c>
      <c r="Y232" s="220">
        <f t="shared" si="282"/>
        <v>153</v>
      </c>
      <c r="Z232" s="220">
        <v>4</v>
      </c>
      <c r="AA232" s="220">
        <v>2</v>
      </c>
      <c r="AB232" s="220">
        <v>3</v>
      </c>
      <c r="AC232" s="220">
        <v>3</v>
      </c>
      <c r="AD232" s="220">
        <v>2</v>
      </c>
      <c r="AE232" s="220">
        <f t="shared" si="283"/>
        <v>-444</v>
      </c>
      <c r="AF232" s="220">
        <f t="shared" si="284"/>
        <v>-623</v>
      </c>
      <c r="AG232" s="220">
        <f t="shared" si="285"/>
        <v>-798</v>
      </c>
      <c r="AH232" s="220">
        <f t="shared" si="286"/>
        <v>-601</v>
      </c>
      <c r="AI232" s="220">
        <f t="shared" si="287"/>
        <v>-410</v>
      </c>
      <c r="AJ232" s="50">
        <f t="shared" si="288"/>
        <v>2.0590000000000073</v>
      </c>
      <c r="AK232" s="257"/>
      <c r="AL232" s="257">
        <f t="shared" si="289"/>
        <v>1.2</v>
      </c>
      <c r="AM232" s="52"/>
      <c r="AN232" s="88"/>
    </row>
    <row r="233" spans="1:40" s="29" customFormat="1" ht="17.25" customHeight="1">
      <c r="A233" s="48">
        <v>262</v>
      </c>
      <c r="B233" s="49">
        <f t="shared" si="290"/>
        <v>45776</v>
      </c>
      <c r="C233" s="220">
        <f t="shared" si="291"/>
        <v>1049</v>
      </c>
      <c r="D233" s="220">
        <f t="shared" si="257"/>
        <v>1820</v>
      </c>
      <c r="E233" s="220">
        <f t="shared" si="267"/>
        <v>2869</v>
      </c>
      <c r="F233" s="220">
        <f t="shared" si="268"/>
        <v>663</v>
      </c>
      <c r="G233" s="220">
        <f t="shared" si="269"/>
        <v>911</v>
      </c>
      <c r="H233" s="220">
        <f t="shared" si="270"/>
        <v>1212</v>
      </c>
      <c r="I233" s="220">
        <f t="shared" si="271"/>
        <v>978</v>
      </c>
      <c r="J233" s="220">
        <f t="shared" si="272"/>
        <v>719</v>
      </c>
      <c r="K233" s="220">
        <f t="shared" si="273"/>
        <v>2206</v>
      </c>
      <c r="L233" s="220">
        <f t="shared" si="274"/>
        <v>1958</v>
      </c>
      <c r="M233" s="220">
        <f t="shared" si="275"/>
        <v>1657</v>
      </c>
      <c r="N233" s="220">
        <f t="shared" si="276"/>
        <v>1891</v>
      </c>
      <c r="O233" s="220">
        <f t="shared" si="277"/>
        <v>2150</v>
      </c>
      <c r="P233" s="220">
        <f t="shared" si="292"/>
        <v>2000</v>
      </c>
      <c r="Q233" s="220">
        <f t="shared" si="292"/>
        <v>2000</v>
      </c>
      <c r="R233" s="220">
        <f t="shared" si="292"/>
        <v>2000</v>
      </c>
      <c r="S233" s="220">
        <f t="shared" si="292"/>
        <v>2000</v>
      </c>
      <c r="T233" s="220">
        <f t="shared" si="292"/>
        <v>2000</v>
      </c>
      <c r="U233" s="220">
        <f t="shared" si="278"/>
        <v>206</v>
      </c>
      <c r="V233" s="220">
        <f t="shared" si="279"/>
        <v>-42</v>
      </c>
      <c r="W233" s="220">
        <f t="shared" si="280"/>
        <v>-343</v>
      </c>
      <c r="X233" s="220">
        <f t="shared" si="281"/>
        <v>-109</v>
      </c>
      <c r="Y233" s="220">
        <f t="shared" si="282"/>
        <v>150</v>
      </c>
      <c r="Z233" s="220">
        <v>3</v>
      </c>
      <c r="AA233" s="220">
        <v>2</v>
      </c>
      <c r="AB233" s="220">
        <v>6</v>
      </c>
      <c r="AC233" s="220">
        <v>2</v>
      </c>
      <c r="AD233" s="220">
        <v>3</v>
      </c>
      <c r="AE233" s="220">
        <f t="shared" si="283"/>
        <v>-447</v>
      </c>
      <c r="AF233" s="220">
        <f t="shared" si="284"/>
        <v>-625</v>
      </c>
      <c r="AG233" s="220">
        <f t="shared" si="285"/>
        <v>-804</v>
      </c>
      <c r="AH233" s="220">
        <f t="shared" si="286"/>
        <v>-603</v>
      </c>
      <c r="AI233" s="220">
        <f t="shared" si="287"/>
        <v>-413</v>
      </c>
      <c r="AJ233" s="50">
        <f t="shared" si="288"/>
        <v>2.0530000000000075</v>
      </c>
      <c r="AK233" s="257"/>
      <c r="AL233" s="257">
        <f t="shared" si="289"/>
        <v>1.2</v>
      </c>
      <c r="AM233" s="52"/>
      <c r="AN233" s="88"/>
    </row>
    <row r="234" spans="1:40" s="29" customFormat="1" ht="17.25" customHeight="1">
      <c r="A234" s="48">
        <v>263</v>
      </c>
      <c r="B234" s="49">
        <f t="shared" si="290"/>
        <v>45777</v>
      </c>
      <c r="C234" s="220">
        <f t="shared" si="291"/>
        <v>1049</v>
      </c>
      <c r="D234" s="220">
        <f t="shared" si="257"/>
        <v>1794</v>
      </c>
      <c r="E234" s="220">
        <f t="shared" si="267"/>
        <v>2843</v>
      </c>
      <c r="F234" s="220">
        <f t="shared" si="268"/>
        <v>641</v>
      </c>
      <c r="G234" s="220">
        <f t="shared" si="269"/>
        <v>887</v>
      </c>
      <c r="H234" s="220">
        <f t="shared" si="270"/>
        <v>1189</v>
      </c>
      <c r="I234" s="220">
        <f t="shared" si="271"/>
        <v>955</v>
      </c>
      <c r="J234" s="220">
        <f t="shared" si="272"/>
        <v>694</v>
      </c>
      <c r="K234" s="220">
        <f t="shared" si="273"/>
        <v>2202</v>
      </c>
      <c r="L234" s="220">
        <f t="shared" si="274"/>
        <v>1956</v>
      </c>
      <c r="M234" s="220">
        <f t="shared" si="275"/>
        <v>1654</v>
      </c>
      <c r="N234" s="220">
        <f t="shared" si="276"/>
        <v>1888</v>
      </c>
      <c r="O234" s="220">
        <f t="shared" si="277"/>
        <v>2149</v>
      </c>
      <c r="P234" s="220">
        <f t="shared" si="292"/>
        <v>2000</v>
      </c>
      <c r="Q234" s="220">
        <f t="shared" si="292"/>
        <v>2000</v>
      </c>
      <c r="R234" s="220">
        <f t="shared" si="292"/>
        <v>2000</v>
      </c>
      <c r="S234" s="220">
        <f t="shared" si="292"/>
        <v>2000</v>
      </c>
      <c r="T234" s="220">
        <f t="shared" si="292"/>
        <v>2000</v>
      </c>
      <c r="U234" s="220">
        <f t="shared" si="278"/>
        <v>202</v>
      </c>
      <c r="V234" s="220">
        <f t="shared" si="279"/>
        <v>-44</v>
      </c>
      <c r="W234" s="220">
        <f t="shared" si="280"/>
        <v>-346</v>
      </c>
      <c r="X234" s="220">
        <f t="shared" si="281"/>
        <v>-112</v>
      </c>
      <c r="Y234" s="220">
        <f t="shared" si="282"/>
        <v>149</v>
      </c>
      <c r="Z234" s="220">
        <v>4</v>
      </c>
      <c r="AA234" s="220">
        <v>2</v>
      </c>
      <c r="AB234" s="220">
        <v>3</v>
      </c>
      <c r="AC234" s="220">
        <v>3</v>
      </c>
      <c r="AD234" s="220">
        <v>1</v>
      </c>
      <c r="AE234" s="220">
        <f t="shared" si="283"/>
        <v>-451</v>
      </c>
      <c r="AF234" s="220">
        <f t="shared" si="284"/>
        <v>-627</v>
      </c>
      <c r="AG234" s="220">
        <f t="shared" si="285"/>
        <v>-807</v>
      </c>
      <c r="AH234" s="220">
        <f t="shared" si="286"/>
        <v>-606</v>
      </c>
      <c r="AI234" s="220">
        <f t="shared" si="287"/>
        <v>-414</v>
      </c>
      <c r="AJ234" s="50">
        <f t="shared" si="288"/>
        <v>2.0500000000000074</v>
      </c>
      <c r="AK234" s="257"/>
      <c r="AL234" s="257">
        <f t="shared" si="289"/>
        <v>1.2</v>
      </c>
      <c r="AM234" s="52"/>
      <c r="AN234" s="88"/>
    </row>
    <row r="235" spans="1:40" s="29" customFormat="1" ht="17.25" customHeight="1">
      <c r="A235" s="48">
        <v>264</v>
      </c>
      <c r="B235" s="49">
        <f t="shared" si="290"/>
        <v>45778</v>
      </c>
      <c r="C235" s="220">
        <f t="shared" si="291"/>
        <v>1049</v>
      </c>
      <c r="D235" s="220">
        <f t="shared" si="257"/>
        <v>1768</v>
      </c>
      <c r="E235" s="220">
        <f t="shared" si="267"/>
        <v>2817</v>
      </c>
      <c r="F235" s="220">
        <f t="shared" si="268"/>
        <v>618</v>
      </c>
      <c r="G235" s="220">
        <f t="shared" si="269"/>
        <v>863</v>
      </c>
      <c r="H235" s="220">
        <f t="shared" si="270"/>
        <v>1167</v>
      </c>
      <c r="I235" s="220">
        <f t="shared" si="271"/>
        <v>931</v>
      </c>
      <c r="J235" s="220">
        <f t="shared" si="272"/>
        <v>670</v>
      </c>
      <c r="K235" s="220">
        <f t="shared" si="273"/>
        <v>2199</v>
      </c>
      <c r="L235" s="220">
        <f t="shared" si="274"/>
        <v>1954</v>
      </c>
      <c r="M235" s="220">
        <f t="shared" si="275"/>
        <v>1650</v>
      </c>
      <c r="N235" s="220">
        <f t="shared" si="276"/>
        <v>1886</v>
      </c>
      <c r="O235" s="220">
        <f t="shared" si="277"/>
        <v>2147</v>
      </c>
      <c r="P235" s="220">
        <f t="shared" si="292"/>
        <v>2000</v>
      </c>
      <c r="Q235" s="220">
        <f t="shared" si="292"/>
        <v>2000</v>
      </c>
      <c r="R235" s="220">
        <f t="shared" si="292"/>
        <v>2000</v>
      </c>
      <c r="S235" s="220">
        <f t="shared" si="292"/>
        <v>2000</v>
      </c>
      <c r="T235" s="220">
        <f t="shared" si="292"/>
        <v>2000</v>
      </c>
      <c r="U235" s="220">
        <f t="shared" si="278"/>
        <v>199</v>
      </c>
      <c r="V235" s="220">
        <f t="shared" si="279"/>
        <v>-46</v>
      </c>
      <c r="W235" s="220">
        <f t="shared" si="280"/>
        <v>-350</v>
      </c>
      <c r="X235" s="220">
        <f t="shared" si="281"/>
        <v>-114</v>
      </c>
      <c r="Y235" s="220">
        <f t="shared" si="282"/>
        <v>147</v>
      </c>
      <c r="Z235" s="220">
        <v>3</v>
      </c>
      <c r="AA235" s="220">
        <v>2</v>
      </c>
      <c r="AB235" s="220">
        <v>4</v>
      </c>
      <c r="AC235" s="220">
        <v>2</v>
      </c>
      <c r="AD235" s="220">
        <v>2</v>
      </c>
      <c r="AE235" s="220">
        <f t="shared" si="283"/>
        <v>-454</v>
      </c>
      <c r="AF235" s="220">
        <f t="shared" si="284"/>
        <v>-629</v>
      </c>
      <c r="AG235" s="220">
        <f t="shared" si="285"/>
        <v>-811</v>
      </c>
      <c r="AH235" s="220">
        <f t="shared" si="286"/>
        <v>-608</v>
      </c>
      <c r="AI235" s="220">
        <f t="shared" si="287"/>
        <v>-416</v>
      </c>
      <c r="AJ235" s="50">
        <f t="shared" si="288"/>
        <v>2.0460000000000074</v>
      </c>
      <c r="AK235" s="257"/>
      <c r="AL235" s="257">
        <f t="shared" si="289"/>
        <v>1.2</v>
      </c>
      <c r="AM235" s="52"/>
      <c r="AN235" s="88"/>
    </row>
    <row r="236" spans="1:40" s="29" customFormat="1" ht="17.25" customHeight="1">
      <c r="A236" s="48">
        <v>265</v>
      </c>
      <c r="B236" s="49">
        <f t="shared" si="290"/>
        <v>45779</v>
      </c>
      <c r="C236" s="220">
        <f t="shared" si="291"/>
        <v>1049</v>
      </c>
      <c r="D236" s="220">
        <f t="shared" si="257"/>
        <v>1742</v>
      </c>
      <c r="E236" s="220">
        <f t="shared" si="267"/>
        <v>2791</v>
      </c>
      <c r="F236" s="220">
        <f t="shared" si="268"/>
        <v>595</v>
      </c>
      <c r="G236" s="220">
        <f t="shared" si="269"/>
        <v>840</v>
      </c>
      <c r="H236" s="220">
        <f t="shared" si="270"/>
        <v>1144</v>
      </c>
      <c r="I236" s="220">
        <f t="shared" si="271"/>
        <v>908</v>
      </c>
      <c r="J236" s="220">
        <f t="shared" si="272"/>
        <v>647</v>
      </c>
      <c r="K236" s="220">
        <f t="shared" si="273"/>
        <v>2196</v>
      </c>
      <c r="L236" s="220">
        <f t="shared" si="274"/>
        <v>1951</v>
      </c>
      <c r="M236" s="220">
        <f t="shared" si="275"/>
        <v>1647</v>
      </c>
      <c r="N236" s="220">
        <f t="shared" si="276"/>
        <v>1883</v>
      </c>
      <c r="O236" s="220">
        <f t="shared" si="277"/>
        <v>2144</v>
      </c>
      <c r="P236" s="220">
        <f t="shared" si="292"/>
        <v>2000</v>
      </c>
      <c r="Q236" s="220">
        <f t="shared" si="292"/>
        <v>2000</v>
      </c>
      <c r="R236" s="220">
        <f t="shared" si="292"/>
        <v>2000</v>
      </c>
      <c r="S236" s="220">
        <f t="shared" si="292"/>
        <v>2000</v>
      </c>
      <c r="T236" s="220">
        <f t="shared" si="292"/>
        <v>2000</v>
      </c>
      <c r="U236" s="220">
        <f t="shared" si="278"/>
        <v>196</v>
      </c>
      <c r="V236" s="220">
        <f t="shared" si="279"/>
        <v>-49</v>
      </c>
      <c r="W236" s="220">
        <f t="shared" si="280"/>
        <v>-353</v>
      </c>
      <c r="X236" s="220">
        <f t="shared" si="281"/>
        <v>-117</v>
      </c>
      <c r="Y236" s="220">
        <f t="shared" si="282"/>
        <v>144</v>
      </c>
      <c r="Z236" s="220">
        <v>3</v>
      </c>
      <c r="AA236" s="220">
        <v>3</v>
      </c>
      <c r="AB236" s="220">
        <v>3</v>
      </c>
      <c r="AC236" s="220">
        <v>3</v>
      </c>
      <c r="AD236" s="220">
        <v>3</v>
      </c>
      <c r="AE236" s="220">
        <f t="shared" si="283"/>
        <v>-457</v>
      </c>
      <c r="AF236" s="220">
        <f t="shared" si="284"/>
        <v>-632</v>
      </c>
      <c r="AG236" s="220">
        <f t="shared" si="285"/>
        <v>-814</v>
      </c>
      <c r="AH236" s="220">
        <f t="shared" si="286"/>
        <v>-611</v>
      </c>
      <c r="AI236" s="220">
        <f t="shared" si="287"/>
        <v>-419</v>
      </c>
      <c r="AJ236" s="50">
        <f t="shared" si="288"/>
        <v>2.0430000000000073</v>
      </c>
      <c r="AK236" s="257"/>
      <c r="AL236" s="257">
        <f t="shared" si="289"/>
        <v>1.2</v>
      </c>
      <c r="AM236" s="52"/>
      <c r="AN236" s="88"/>
    </row>
    <row r="237" spans="1:40" s="29" customFormat="1" ht="17.25" customHeight="1">
      <c r="A237" s="48">
        <v>266</v>
      </c>
      <c r="B237" s="49">
        <f t="shared" si="290"/>
        <v>45780</v>
      </c>
      <c r="C237" s="220">
        <f t="shared" si="291"/>
        <v>1049</v>
      </c>
      <c r="D237" s="220">
        <f t="shared" si="257"/>
        <v>1716</v>
      </c>
      <c r="E237" s="220">
        <f t="shared" si="267"/>
        <v>2765</v>
      </c>
      <c r="F237" s="220">
        <f t="shared" si="268"/>
        <v>572</v>
      </c>
      <c r="G237" s="220">
        <f t="shared" si="269"/>
        <v>816</v>
      </c>
      <c r="H237" s="220">
        <f t="shared" si="270"/>
        <v>1122</v>
      </c>
      <c r="I237" s="220">
        <f t="shared" si="271"/>
        <v>887</v>
      </c>
      <c r="J237" s="220">
        <f t="shared" si="272"/>
        <v>624</v>
      </c>
      <c r="K237" s="220">
        <f t="shared" si="273"/>
        <v>2193</v>
      </c>
      <c r="L237" s="220">
        <f t="shared" si="274"/>
        <v>1949</v>
      </c>
      <c r="M237" s="220">
        <f t="shared" si="275"/>
        <v>1643</v>
      </c>
      <c r="N237" s="220">
        <f t="shared" si="276"/>
        <v>1878</v>
      </c>
      <c r="O237" s="220">
        <f t="shared" si="277"/>
        <v>2141</v>
      </c>
      <c r="P237" s="220">
        <f t="shared" si="292"/>
        <v>2000</v>
      </c>
      <c r="Q237" s="220">
        <f t="shared" si="292"/>
        <v>2000</v>
      </c>
      <c r="R237" s="220">
        <f t="shared" si="292"/>
        <v>2000</v>
      </c>
      <c r="S237" s="220">
        <f t="shared" si="292"/>
        <v>2000</v>
      </c>
      <c r="T237" s="220">
        <f t="shared" si="292"/>
        <v>2000</v>
      </c>
      <c r="U237" s="220">
        <f t="shared" si="278"/>
        <v>193</v>
      </c>
      <c r="V237" s="220">
        <f t="shared" si="279"/>
        <v>-51</v>
      </c>
      <c r="W237" s="220">
        <f t="shared" si="280"/>
        <v>-357</v>
      </c>
      <c r="X237" s="220">
        <f t="shared" si="281"/>
        <v>-122</v>
      </c>
      <c r="Y237" s="220">
        <f t="shared" si="282"/>
        <v>141</v>
      </c>
      <c r="Z237" s="220">
        <v>3</v>
      </c>
      <c r="AA237" s="220">
        <v>2</v>
      </c>
      <c r="AB237" s="220">
        <v>4</v>
      </c>
      <c r="AC237" s="220">
        <v>5</v>
      </c>
      <c r="AD237" s="220">
        <v>3</v>
      </c>
      <c r="AE237" s="220">
        <f t="shared" si="283"/>
        <v>-460</v>
      </c>
      <c r="AF237" s="220">
        <f t="shared" si="284"/>
        <v>-634</v>
      </c>
      <c r="AG237" s="220">
        <f t="shared" si="285"/>
        <v>-818</v>
      </c>
      <c r="AH237" s="220">
        <f t="shared" si="286"/>
        <v>-616</v>
      </c>
      <c r="AI237" s="220">
        <f t="shared" si="287"/>
        <v>-422</v>
      </c>
      <c r="AJ237" s="50">
        <f t="shared" si="288"/>
        <v>2.0390000000000073</v>
      </c>
      <c r="AK237" s="257"/>
      <c r="AL237" s="257">
        <f t="shared" si="289"/>
        <v>1.2</v>
      </c>
      <c r="AM237" s="52"/>
      <c r="AN237" s="88"/>
    </row>
    <row r="238" spans="1:40" s="29" customFormat="1" ht="17.25" customHeight="1">
      <c r="A238" s="48">
        <v>267</v>
      </c>
      <c r="B238" s="49">
        <f t="shared" si="290"/>
        <v>45781</v>
      </c>
      <c r="C238" s="220">
        <f t="shared" si="291"/>
        <v>1049</v>
      </c>
      <c r="D238" s="220">
        <f t="shared" si="257"/>
        <v>1690</v>
      </c>
      <c r="E238" s="220">
        <f t="shared" si="267"/>
        <v>2739</v>
      </c>
      <c r="F238" s="220">
        <f t="shared" si="268"/>
        <v>550</v>
      </c>
      <c r="G238" s="220">
        <f t="shared" si="269"/>
        <v>793</v>
      </c>
      <c r="H238" s="220">
        <f t="shared" si="270"/>
        <v>1101</v>
      </c>
      <c r="I238" s="220">
        <f t="shared" si="271"/>
        <v>863</v>
      </c>
      <c r="J238" s="220">
        <f t="shared" si="272"/>
        <v>600</v>
      </c>
      <c r="K238" s="220">
        <f t="shared" si="273"/>
        <v>2189</v>
      </c>
      <c r="L238" s="220">
        <f t="shared" si="274"/>
        <v>1946</v>
      </c>
      <c r="M238" s="220">
        <f t="shared" si="275"/>
        <v>1638</v>
      </c>
      <c r="N238" s="220">
        <f t="shared" si="276"/>
        <v>1876</v>
      </c>
      <c r="O238" s="220">
        <f t="shared" si="277"/>
        <v>2139</v>
      </c>
      <c r="P238" s="220">
        <f t="shared" si="292"/>
        <v>2000</v>
      </c>
      <c r="Q238" s="220">
        <f t="shared" si="292"/>
        <v>2000</v>
      </c>
      <c r="R238" s="220">
        <f t="shared" si="292"/>
        <v>2000</v>
      </c>
      <c r="S238" s="220">
        <f t="shared" si="292"/>
        <v>2000</v>
      </c>
      <c r="T238" s="220">
        <f t="shared" si="292"/>
        <v>2000</v>
      </c>
      <c r="U238" s="220">
        <f t="shared" si="278"/>
        <v>189</v>
      </c>
      <c r="V238" s="220">
        <f t="shared" si="279"/>
        <v>-54</v>
      </c>
      <c r="W238" s="220">
        <f t="shared" si="280"/>
        <v>-362</v>
      </c>
      <c r="X238" s="220">
        <f t="shared" si="281"/>
        <v>-124</v>
      </c>
      <c r="Y238" s="220">
        <f t="shared" si="282"/>
        <v>139</v>
      </c>
      <c r="Z238" s="220">
        <v>4</v>
      </c>
      <c r="AA238" s="220">
        <v>3</v>
      </c>
      <c r="AB238" s="220">
        <v>5</v>
      </c>
      <c r="AC238" s="220">
        <v>2</v>
      </c>
      <c r="AD238" s="220">
        <v>2</v>
      </c>
      <c r="AE238" s="220">
        <f t="shared" si="283"/>
        <v>-464</v>
      </c>
      <c r="AF238" s="220">
        <f t="shared" si="284"/>
        <v>-637</v>
      </c>
      <c r="AG238" s="220">
        <f t="shared" si="285"/>
        <v>-823</v>
      </c>
      <c r="AH238" s="220">
        <f t="shared" si="286"/>
        <v>-618</v>
      </c>
      <c r="AI238" s="220">
        <f t="shared" si="287"/>
        <v>-424</v>
      </c>
      <c r="AJ238" s="50">
        <f t="shared" si="288"/>
        <v>2.0340000000000074</v>
      </c>
      <c r="AK238" s="257"/>
      <c r="AL238" s="257">
        <f t="shared" si="289"/>
        <v>1.2</v>
      </c>
      <c r="AM238" s="52"/>
      <c r="AN238" s="88"/>
    </row>
    <row r="239" spans="1:40" s="29" customFormat="1" ht="17.25" customHeight="1">
      <c r="A239" s="48">
        <v>268</v>
      </c>
      <c r="B239" s="49">
        <f t="shared" si="290"/>
        <v>45782</v>
      </c>
      <c r="C239" s="220">
        <f t="shared" si="291"/>
        <v>1049</v>
      </c>
      <c r="D239" s="220">
        <f t="shared" si="257"/>
        <v>1664</v>
      </c>
      <c r="E239" s="220">
        <f t="shared" si="267"/>
        <v>2713</v>
      </c>
      <c r="F239" s="220">
        <f t="shared" si="268"/>
        <v>526</v>
      </c>
      <c r="G239" s="220">
        <f t="shared" si="269"/>
        <v>769</v>
      </c>
      <c r="H239" s="220">
        <f t="shared" si="270"/>
        <v>1078</v>
      </c>
      <c r="I239" s="220">
        <f t="shared" si="271"/>
        <v>840</v>
      </c>
      <c r="J239" s="220">
        <f t="shared" si="272"/>
        <v>576</v>
      </c>
      <c r="K239" s="220">
        <f t="shared" si="273"/>
        <v>2187</v>
      </c>
      <c r="L239" s="220">
        <f t="shared" si="274"/>
        <v>1944</v>
      </c>
      <c r="M239" s="220">
        <f t="shared" si="275"/>
        <v>1635</v>
      </c>
      <c r="N239" s="220">
        <f t="shared" si="276"/>
        <v>1873</v>
      </c>
      <c r="O239" s="220">
        <f t="shared" si="277"/>
        <v>2137</v>
      </c>
      <c r="P239" s="220">
        <f t="shared" si="292"/>
        <v>2000</v>
      </c>
      <c r="Q239" s="220">
        <f t="shared" si="292"/>
        <v>2000</v>
      </c>
      <c r="R239" s="220">
        <f t="shared" si="292"/>
        <v>2000</v>
      </c>
      <c r="S239" s="220">
        <f t="shared" si="292"/>
        <v>2000</v>
      </c>
      <c r="T239" s="220">
        <f t="shared" si="292"/>
        <v>2000</v>
      </c>
      <c r="U239" s="220">
        <f t="shared" si="278"/>
        <v>187</v>
      </c>
      <c r="V239" s="220">
        <f t="shared" si="279"/>
        <v>-56</v>
      </c>
      <c r="W239" s="220">
        <f t="shared" si="280"/>
        <v>-365</v>
      </c>
      <c r="X239" s="220">
        <f t="shared" si="281"/>
        <v>-127</v>
      </c>
      <c r="Y239" s="220">
        <f t="shared" si="282"/>
        <v>137</v>
      </c>
      <c r="Z239" s="220">
        <v>2</v>
      </c>
      <c r="AA239" s="220">
        <v>2</v>
      </c>
      <c r="AB239" s="220">
        <v>3</v>
      </c>
      <c r="AC239" s="220">
        <v>3</v>
      </c>
      <c r="AD239" s="220">
        <v>2</v>
      </c>
      <c r="AE239" s="220">
        <f t="shared" si="283"/>
        <v>-466</v>
      </c>
      <c r="AF239" s="220">
        <f t="shared" si="284"/>
        <v>-639</v>
      </c>
      <c r="AG239" s="220">
        <f t="shared" si="285"/>
        <v>-826</v>
      </c>
      <c r="AH239" s="220">
        <f t="shared" si="286"/>
        <v>-621</v>
      </c>
      <c r="AI239" s="220">
        <f t="shared" si="287"/>
        <v>-426</v>
      </c>
      <c r="AJ239" s="50">
        <f t="shared" si="288"/>
        <v>2.0310000000000072</v>
      </c>
      <c r="AK239" s="257"/>
      <c r="AL239" s="257">
        <f t="shared" si="289"/>
        <v>1.2</v>
      </c>
      <c r="AM239" s="52"/>
      <c r="AN239" s="88"/>
    </row>
    <row r="240" spans="1:40" s="29" customFormat="1" ht="17.25" customHeight="1">
      <c r="A240" s="48">
        <v>269</v>
      </c>
      <c r="B240" s="49">
        <f t="shared" si="290"/>
        <v>45783</v>
      </c>
      <c r="C240" s="220">
        <f t="shared" si="291"/>
        <v>1049</v>
      </c>
      <c r="D240" s="220">
        <f t="shared" si="257"/>
        <v>1638</v>
      </c>
      <c r="E240" s="220">
        <f t="shared" si="267"/>
        <v>2687</v>
      </c>
      <c r="F240" s="220">
        <f t="shared" si="268"/>
        <v>503</v>
      </c>
      <c r="G240" s="220">
        <f t="shared" si="269"/>
        <v>745</v>
      </c>
      <c r="H240" s="220">
        <f t="shared" si="270"/>
        <v>1055</v>
      </c>
      <c r="I240" s="220">
        <f t="shared" si="271"/>
        <v>817</v>
      </c>
      <c r="J240" s="220">
        <f t="shared" si="272"/>
        <v>551</v>
      </c>
      <c r="K240" s="220">
        <f t="shared" si="273"/>
        <v>2184</v>
      </c>
      <c r="L240" s="220">
        <f t="shared" si="274"/>
        <v>1942</v>
      </c>
      <c r="M240" s="220">
        <f t="shared" si="275"/>
        <v>1632</v>
      </c>
      <c r="N240" s="220">
        <f t="shared" si="276"/>
        <v>1870</v>
      </c>
      <c r="O240" s="220">
        <f t="shared" si="277"/>
        <v>2136</v>
      </c>
      <c r="P240" s="220">
        <f t="shared" si="292"/>
        <v>2000</v>
      </c>
      <c r="Q240" s="220">
        <f t="shared" si="292"/>
        <v>2000</v>
      </c>
      <c r="R240" s="220">
        <f t="shared" si="292"/>
        <v>2000</v>
      </c>
      <c r="S240" s="220">
        <f t="shared" si="292"/>
        <v>2000</v>
      </c>
      <c r="T240" s="220">
        <f t="shared" si="292"/>
        <v>2000</v>
      </c>
      <c r="U240" s="220">
        <f t="shared" si="278"/>
        <v>184</v>
      </c>
      <c r="V240" s="220">
        <f t="shared" si="279"/>
        <v>-58</v>
      </c>
      <c r="W240" s="220">
        <f t="shared" si="280"/>
        <v>-368</v>
      </c>
      <c r="X240" s="220">
        <f t="shared" si="281"/>
        <v>-130</v>
      </c>
      <c r="Y240" s="220">
        <f t="shared" si="282"/>
        <v>136</v>
      </c>
      <c r="Z240" s="220">
        <v>3</v>
      </c>
      <c r="AA240" s="220">
        <v>2</v>
      </c>
      <c r="AB240" s="220">
        <v>3</v>
      </c>
      <c r="AC240" s="220">
        <v>3</v>
      </c>
      <c r="AD240" s="220">
        <v>1</v>
      </c>
      <c r="AE240" s="220">
        <f t="shared" si="283"/>
        <v>-469</v>
      </c>
      <c r="AF240" s="220">
        <f t="shared" si="284"/>
        <v>-641</v>
      </c>
      <c r="AG240" s="220">
        <f t="shared" si="285"/>
        <v>-829</v>
      </c>
      <c r="AH240" s="220">
        <f t="shared" si="286"/>
        <v>-624</v>
      </c>
      <c r="AI240" s="220">
        <f t="shared" si="287"/>
        <v>-427</v>
      </c>
      <c r="AJ240" s="50">
        <f t="shared" si="288"/>
        <v>2.0280000000000071</v>
      </c>
      <c r="AK240" s="257"/>
      <c r="AL240" s="257">
        <f t="shared" si="289"/>
        <v>1.2</v>
      </c>
      <c r="AM240" s="52"/>
      <c r="AN240" s="88"/>
    </row>
    <row r="241" spans="1:40" s="29" customFormat="1" ht="17.25" customHeight="1">
      <c r="A241" s="48">
        <v>270</v>
      </c>
      <c r="B241" s="49">
        <f t="shared" si="290"/>
        <v>45784</v>
      </c>
      <c r="C241" s="220">
        <f t="shared" si="291"/>
        <v>1049</v>
      </c>
      <c r="D241" s="220">
        <f t="shared" si="257"/>
        <v>1612</v>
      </c>
      <c r="E241" s="220">
        <f t="shared" si="267"/>
        <v>2661</v>
      </c>
      <c r="F241" s="220">
        <f t="shared" si="268"/>
        <v>480</v>
      </c>
      <c r="G241" s="220">
        <f t="shared" si="269"/>
        <v>722</v>
      </c>
      <c r="H241" s="220">
        <f t="shared" si="270"/>
        <v>1033</v>
      </c>
      <c r="I241" s="220">
        <f t="shared" si="271"/>
        <v>793</v>
      </c>
      <c r="J241" s="220">
        <f t="shared" si="272"/>
        <v>528</v>
      </c>
      <c r="K241" s="220">
        <f t="shared" si="273"/>
        <v>2181</v>
      </c>
      <c r="L241" s="220">
        <f t="shared" si="274"/>
        <v>1939</v>
      </c>
      <c r="M241" s="220">
        <f t="shared" si="275"/>
        <v>1628</v>
      </c>
      <c r="N241" s="220">
        <f t="shared" si="276"/>
        <v>1868</v>
      </c>
      <c r="O241" s="220">
        <f t="shared" si="277"/>
        <v>2133</v>
      </c>
      <c r="P241" s="220">
        <f t="shared" si="292"/>
        <v>2000</v>
      </c>
      <c r="Q241" s="220">
        <f t="shared" si="292"/>
        <v>2000</v>
      </c>
      <c r="R241" s="220">
        <f t="shared" si="292"/>
        <v>2000</v>
      </c>
      <c r="S241" s="220">
        <f t="shared" si="292"/>
        <v>2000</v>
      </c>
      <c r="T241" s="220">
        <f t="shared" si="292"/>
        <v>2000</v>
      </c>
      <c r="U241" s="220">
        <f t="shared" si="278"/>
        <v>181</v>
      </c>
      <c r="V241" s="220">
        <f t="shared" si="279"/>
        <v>-61</v>
      </c>
      <c r="W241" s="220">
        <f t="shared" si="280"/>
        <v>-372</v>
      </c>
      <c r="X241" s="220">
        <f t="shared" si="281"/>
        <v>-132</v>
      </c>
      <c r="Y241" s="220">
        <f t="shared" si="282"/>
        <v>133</v>
      </c>
      <c r="Z241" s="220">
        <v>3</v>
      </c>
      <c r="AA241" s="220">
        <v>3</v>
      </c>
      <c r="AB241" s="220">
        <v>4</v>
      </c>
      <c r="AC241" s="220">
        <v>2</v>
      </c>
      <c r="AD241" s="220">
        <v>3</v>
      </c>
      <c r="AE241" s="220">
        <f t="shared" si="283"/>
        <v>-472</v>
      </c>
      <c r="AF241" s="220">
        <f t="shared" si="284"/>
        <v>-644</v>
      </c>
      <c r="AG241" s="220">
        <f t="shared" si="285"/>
        <v>-833</v>
      </c>
      <c r="AH241" s="220">
        <f t="shared" si="286"/>
        <v>-626</v>
      </c>
      <c r="AI241" s="220">
        <f t="shared" si="287"/>
        <v>-430</v>
      </c>
      <c r="AJ241" s="50">
        <f t="shared" si="288"/>
        <v>2.0240000000000071</v>
      </c>
      <c r="AK241" s="257"/>
      <c r="AL241" s="257">
        <f t="shared" si="289"/>
        <v>1.2</v>
      </c>
      <c r="AM241" s="52"/>
      <c r="AN241" s="88"/>
    </row>
    <row r="242" spans="1:40" s="29" customFormat="1" ht="17.25" customHeight="1">
      <c r="A242" s="48">
        <v>271</v>
      </c>
      <c r="B242" s="49">
        <f t="shared" si="290"/>
        <v>45785</v>
      </c>
      <c r="C242" s="220">
        <f t="shared" si="291"/>
        <v>1049</v>
      </c>
      <c r="D242" s="220">
        <f t="shared" si="257"/>
        <v>1586</v>
      </c>
      <c r="E242" s="220">
        <f t="shared" si="267"/>
        <v>2635</v>
      </c>
      <c r="F242" s="220">
        <f t="shared" si="268"/>
        <v>458</v>
      </c>
      <c r="G242" s="220">
        <f t="shared" si="269"/>
        <v>699</v>
      </c>
      <c r="H242" s="220">
        <f t="shared" si="270"/>
        <v>1012</v>
      </c>
      <c r="I242" s="220">
        <f t="shared" si="271"/>
        <v>770</v>
      </c>
      <c r="J242" s="220">
        <f t="shared" si="272"/>
        <v>504</v>
      </c>
      <c r="K242" s="220">
        <f t="shared" si="273"/>
        <v>2177</v>
      </c>
      <c r="L242" s="220">
        <f t="shared" si="274"/>
        <v>1936</v>
      </c>
      <c r="M242" s="220">
        <f t="shared" si="275"/>
        <v>1623</v>
      </c>
      <c r="N242" s="220">
        <f t="shared" si="276"/>
        <v>1865</v>
      </c>
      <c r="O242" s="220">
        <f t="shared" si="277"/>
        <v>2131</v>
      </c>
      <c r="P242" s="220">
        <f t="shared" si="292"/>
        <v>2000</v>
      </c>
      <c r="Q242" s="220">
        <f t="shared" si="292"/>
        <v>2000</v>
      </c>
      <c r="R242" s="220">
        <f t="shared" si="292"/>
        <v>2000</v>
      </c>
      <c r="S242" s="220">
        <f t="shared" si="292"/>
        <v>2000</v>
      </c>
      <c r="T242" s="220">
        <f t="shared" si="292"/>
        <v>2000</v>
      </c>
      <c r="U242" s="220">
        <f t="shared" si="278"/>
        <v>177</v>
      </c>
      <c r="V242" s="220">
        <f t="shared" si="279"/>
        <v>-64</v>
      </c>
      <c r="W242" s="220">
        <f t="shared" si="280"/>
        <v>-377</v>
      </c>
      <c r="X242" s="220">
        <f t="shared" si="281"/>
        <v>-135</v>
      </c>
      <c r="Y242" s="220">
        <f t="shared" si="282"/>
        <v>131</v>
      </c>
      <c r="Z242" s="220">
        <v>4</v>
      </c>
      <c r="AA242" s="220">
        <v>3</v>
      </c>
      <c r="AB242" s="220">
        <v>5</v>
      </c>
      <c r="AC242" s="220">
        <v>3</v>
      </c>
      <c r="AD242" s="220">
        <v>2</v>
      </c>
      <c r="AE242" s="220">
        <f t="shared" si="283"/>
        <v>-476</v>
      </c>
      <c r="AF242" s="220">
        <f t="shared" si="284"/>
        <v>-647</v>
      </c>
      <c r="AG242" s="220">
        <f t="shared" si="285"/>
        <v>-838</v>
      </c>
      <c r="AH242" s="220">
        <f t="shared" si="286"/>
        <v>-629</v>
      </c>
      <c r="AI242" s="220">
        <f t="shared" si="287"/>
        <v>-432</v>
      </c>
      <c r="AJ242" s="50">
        <f t="shared" si="288"/>
        <v>2.0190000000000072</v>
      </c>
      <c r="AK242" s="257"/>
      <c r="AL242" s="257">
        <f t="shared" si="289"/>
        <v>1.2</v>
      </c>
      <c r="AM242" s="52"/>
      <c r="AN242" s="88"/>
    </row>
    <row r="243" spans="1:40" s="29" customFormat="1" ht="17.25" customHeight="1">
      <c r="A243" s="48">
        <v>272</v>
      </c>
      <c r="B243" s="49">
        <f t="shared" si="290"/>
        <v>45786</v>
      </c>
      <c r="C243" s="220">
        <f t="shared" si="291"/>
        <v>1049</v>
      </c>
      <c r="D243" s="220">
        <f t="shared" si="257"/>
        <v>1560</v>
      </c>
      <c r="E243" s="220">
        <f t="shared" ref="E243:E247" si="293">+C243+D243</f>
        <v>2609</v>
      </c>
      <c r="F243" s="220">
        <f t="shared" ref="F243:F247" si="294">E243-K243</f>
        <v>436</v>
      </c>
      <c r="G243" s="220">
        <f t="shared" ref="G243:G247" si="295">E243-L243</f>
        <v>677</v>
      </c>
      <c r="H243" s="220">
        <f t="shared" ref="H243:H247" si="296">E243-M243</f>
        <v>992</v>
      </c>
      <c r="I243" s="220">
        <f t="shared" ref="I243:I247" si="297">E243-N243</f>
        <v>747</v>
      </c>
      <c r="J243" s="220">
        <f t="shared" ref="J243:J247" si="298">E243-O243</f>
        <v>481</v>
      </c>
      <c r="K243" s="220">
        <f t="shared" ref="K243:K247" si="299">P243+U243</f>
        <v>2173</v>
      </c>
      <c r="L243" s="220">
        <f t="shared" ref="L243:L247" si="300">Q243+V243</f>
        <v>1932</v>
      </c>
      <c r="M243" s="220">
        <f t="shared" ref="M243:M247" si="301">R243+W243</f>
        <v>1617</v>
      </c>
      <c r="N243" s="220">
        <f t="shared" ref="N243:N247" si="302">S243+X243</f>
        <v>1862</v>
      </c>
      <c r="O243" s="220">
        <f t="shared" ref="O243:O247" si="303">T243+Y243</f>
        <v>2128</v>
      </c>
      <c r="P243" s="220">
        <f t="shared" si="292"/>
        <v>2000</v>
      </c>
      <c r="Q243" s="220">
        <f t="shared" si="292"/>
        <v>2000</v>
      </c>
      <c r="R243" s="220">
        <f t="shared" si="292"/>
        <v>2000</v>
      </c>
      <c r="S243" s="220">
        <f t="shared" si="292"/>
        <v>2000</v>
      </c>
      <c r="T243" s="220">
        <f t="shared" si="292"/>
        <v>2000</v>
      </c>
      <c r="U243" s="220">
        <f t="shared" ref="U243:U246" si="304">U242-Z243</f>
        <v>173</v>
      </c>
      <c r="V243" s="220">
        <f t="shared" ref="V243:V246" si="305">V242-AA243</f>
        <v>-68</v>
      </c>
      <c r="W243" s="220">
        <f t="shared" ref="W243:W246" si="306">W242-AB243</f>
        <v>-383</v>
      </c>
      <c r="X243" s="220">
        <f t="shared" ref="X243:X246" si="307">X242-AC243</f>
        <v>-138</v>
      </c>
      <c r="Y243" s="220">
        <f t="shared" ref="Y243:Y246" si="308">Y242-AD243</f>
        <v>128</v>
      </c>
      <c r="Z243" s="220">
        <v>4</v>
      </c>
      <c r="AA243" s="220">
        <v>4</v>
      </c>
      <c r="AB243" s="220">
        <v>6</v>
      </c>
      <c r="AC243" s="220">
        <v>3</v>
      </c>
      <c r="AD243" s="220">
        <v>3</v>
      </c>
      <c r="AE243" s="220">
        <f t="shared" ref="AE243:AE246" si="309">AE242-Z243</f>
        <v>-480</v>
      </c>
      <c r="AF243" s="220">
        <f t="shared" ref="AF243:AF246" si="310">AF242-AA243</f>
        <v>-651</v>
      </c>
      <c r="AG243" s="220">
        <f t="shared" ref="AG243:AG246" si="311">AG242-AB243</f>
        <v>-844</v>
      </c>
      <c r="AH243" s="220">
        <f t="shared" ref="AH243:AH246" si="312">AH242-AC243</f>
        <v>-632</v>
      </c>
      <c r="AI243" s="220">
        <f t="shared" ref="AI243:AI246" si="313">AI242-AD243</f>
        <v>-435</v>
      </c>
      <c r="AJ243" s="50">
        <f t="shared" si="288"/>
        <v>2.0130000000000075</v>
      </c>
      <c r="AK243" s="257"/>
      <c r="AL243" s="257">
        <f t="shared" si="289"/>
        <v>1.2</v>
      </c>
      <c r="AM243" s="52"/>
      <c r="AN243" s="88"/>
    </row>
    <row r="244" spans="1:40" s="29" customFormat="1" ht="17.25" customHeight="1">
      <c r="A244" s="48">
        <v>273</v>
      </c>
      <c r="B244" s="49">
        <f t="shared" si="290"/>
        <v>45787</v>
      </c>
      <c r="C244" s="220">
        <f t="shared" si="291"/>
        <v>1049</v>
      </c>
      <c r="D244" s="220">
        <f t="shared" si="257"/>
        <v>1534</v>
      </c>
      <c r="E244" s="220">
        <f t="shared" si="293"/>
        <v>2583</v>
      </c>
      <c r="F244" s="220">
        <f t="shared" si="294"/>
        <v>413</v>
      </c>
      <c r="G244" s="220">
        <f t="shared" si="295"/>
        <v>654</v>
      </c>
      <c r="H244" s="220">
        <f t="shared" si="296"/>
        <v>971</v>
      </c>
      <c r="I244" s="220">
        <f t="shared" si="297"/>
        <v>724</v>
      </c>
      <c r="J244" s="220">
        <f t="shared" si="298"/>
        <v>458</v>
      </c>
      <c r="K244" s="220">
        <f t="shared" si="299"/>
        <v>2170</v>
      </c>
      <c r="L244" s="220">
        <f t="shared" si="300"/>
        <v>1929</v>
      </c>
      <c r="M244" s="220">
        <f t="shared" si="301"/>
        <v>1612</v>
      </c>
      <c r="N244" s="220">
        <f t="shared" si="302"/>
        <v>1859</v>
      </c>
      <c r="O244" s="220">
        <f t="shared" si="303"/>
        <v>2125</v>
      </c>
      <c r="P244" s="220">
        <f t="shared" si="292"/>
        <v>2000</v>
      </c>
      <c r="Q244" s="220">
        <f t="shared" si="292"/>
        <v>2000</v>
      </c>
      <c r="R244" s="220">
        <f t="shared" si="292"/>
        <v>2000</v>
      </c>
      <c r="S244" s="220">
        <f t="shared" si="292"/>
        <v>2000</v>
      </c>
      <c r="T244" s="220">
        <f t="shared" si="292"/>
        <v>2000</v>
      </c>
      <c r="U244" s="220">
        <f t="shared" si="304"/>
        <v>170</v>
      </c>
      <c r="V244" s="220">
        <f t="shared" si="305"/>
        <v>-71</v>
      </c>
      <c r="W244" s="220">
        <f t="shared" si="306"/>
        <v>-388</v>
      </c>
      <c r="X244" s="220">
        <f t="shared" si="307"/>
        <v>-141</v>
      </c>
      <c r="Y244" s="220">
        <f t="shared" si="308"/>
        <v>125</v>
      </c>
      <c r="Z244" s="220">
        <v>3</v>
      </c>
      <c r="AA244" s="220">
        <v>3</v>
      </c>
      <c r="AB244" s="220">
        <v>5</v>
      </c>
      <c r="AC244" s="220">
        <v>3</v>
      </c>
      <c r="AD244" s="220">
        <v>3</v>
      </c>
      <c r="AE244" s="220">
        <f t="shared" si="309"/>
        <v>-483</v>
      </c>
      <c r="AF244" s="220">
        <f t="shared" si="310"/>
        <v>-654</v>
      </c>
      <c r="AG244" s="220">
        <f t="shared" si="311"/>
        <v>-849</v>
      </c>
      <c r="AH244" s="220">
        <f t="shared" si="312"/>
        <v>-635</v>
      </c>
      <c r="AI244" s="220">
        <f t="shared" si="313"/>
        <v>-438</v>
      </c>
      <c r="AJ244" s="50">
        <f t="shared" si="288"/>
        <v>2.0080000000000076</v>
      </c>
      <c r="AK244" s="257"/>
      <c r="AL244" s="257">
        <f t="shared" si="289"/>
        <v>1.2</v>
      </c>
      <c r="AM244" s="52"/>
      <c r="AN244" s="88"/>
    </row>
    <row r="245" spans="1:40" s="29" customFormat="1" ht="17.25" customHeight="1">
      <c r="A245" s="48">
        <v>274</v>
      </c>
      <c r="B245" s="49">
        <f t="shared" si="290"/>
        <v>45788</v>
      </c>
      <c r="C245" s="220">
        <f t="shared" si="291"/>
        <v>1049</v>
      </c>
      <c r="D245" s="220">
        <f t="shared" si="257"/>
        <v>1508</v>
      </c>
      <c r="E245" s="220">
        <f t="shared" si="293"/>
        <v>2557</v>
      </c>
      <c r="F245" s="220">
        <f t="shared" si="294"/>
        <v>389</v>
      </c>
      <c r="G245" s="220">
        <f t="shared" si="295"/>
        <v>631</v>
      </c>
      <c r="H245" s="220">
        <f t="shared" si="296"/>
        <v>949</v>
      </c>
      <c r="I245" s="220">
        <f t="shared" si="297"/>
        <v>700</v>
      </c>
      <c r="J245" s="220">
        <f t="shared" si="298"/>
        <v>433</v>
      </c>
      <c r="K245" s="220">
        <f t="shared" si="299"/>
        <v>2168</v>
      </c>
      <c r="L245" s="220">
        <f t="shared" si="300"/>
        <v>1926</v>
      </c>
      <c r="M245" s="220">
        <f t="shared" si="301"/>
        <v>1608</v>
      </c>
      <c r="N245" s="220">
        <f t="shared" si="302"/>
        <v>1857</v>
      </c>
      <c r="O245" s="220">
        <f t="shared" si="303"/>
        <v>2124</v>
      </c>
      <c r="P245" s="220">
        <f t="shared" si="292"/>
        <v>2000</v>
      </c>
      <c r="Q245" s="220">
        <f t="shared" si="292"/>
        <v>2000</v>
      </c>
      <c r="R245" s="220">
        <f t="shared" si="292"/>
        <v>2000</v>
      </c>
      <c r="S245" s="220">
        <f t="shared" si="292"/>
        <v>2000</v>
      </c>
      <c r="T245" s="220">
        <f t="shared" si="292"/>
        <v>2000</v>
      </c>
      <c r="U245" s="220">
        <f t="shared" si="304"/>
        <v>168</v>
      </c>
      <c r="V245" s="220">
        <f t="shared" si="305"/>
        <v>-74</v>
      </c>
      <c r="W245" s="220">
        <f t="shared" si="306"/>
        <v>-392</v>
      </c>
      <c r="X245" s="220">
        <f t="shared" si="307"/>
        <v>-143</v>
      </c>
      <c r="Y245" s="220">
        <f t="shared" si="308"/>
        <v>124</v>
      </c>
      <c r="Z245" s="220">
        <v>2</v>
      </c>
      <c r="AA245" s="220">
        <v>3</v>
      </c>
      <c r="AB245" s="220">
        <v>4</v>
      </c>
      <c r="AC245" s="220">
        <v>2</v>
      </c>
      <c r="AD245" s="220">
        <v>1</v>
      </c>
      <c r="AE245" s="220">
        <f t="shared" si="309"/>
        <v>-485</v>
      </c>
      <c r="AF245" s="220">
        <f t="shared" si="310"/>
        <v>-657</v>
      </c>
      <c r="AG245" s="220">
        <f t="shared" si="311"/>
        <v>-853</v>
      </c>
      <c r="AH245" s="220">
        <f t="shared" si="312"/>
        <v>-637</v>
      </c>
      <c r="AI245" s="220">
        <f t="shared" si="313"/>
        <v>-439</v>
      </c>
      <c r="AJ245" s="50">
        <f t="shared" si="288"/>
        <v>2.0040000000000076</v>
      </c>
      <c r="AK245" s="257"/>
      <c r="AL245" s="257">
        <f t="shared" si="289"/>
        <v>1.2</v>
      </c>
      <c r="AM245" s="52"/>
      <c r="AN245" s="88"/>
    </row>
    <row r="246" spans="1:40" s="29" customFormat="1" ht="17.25" customHeight="1">
      <c r="A246" s="48">
        <v>275</v>
      </c>
      <c r="B246" s="49">
        <f t="shared" si="290"/>
        <v>45789</v>
      </c>
      <c r="C246" s="220">
        <f t="shared" si="291"/>
        <v>1049</v>
      </c>
      <c r="D246" s="220">
        <f t="shared" si="257"/>
        <v>1482</v>
      </c>
      <c r="E246" s="220">
        <f t="shared" si="293"/>
        <v>2531</v>
      </c>
      <c r="F246" s="220">
        <f t="shared" si="294"/>
        <v>366</v>
      </c>
      <c r="G246" s="220">
        <f t="shared" si="295"/>
        <v>607</v>
      </c>
      <c r="H246" s="220">
        <f t="shared" si="296"/>
        <v>927</v>
      </c>
      <c r="I246" s="220">
        <f t="shared" si="297"/>
        <v>677</v>
      </c>
      <c r="J246" s="220">
        <f t="shared" si="298"/>
        <v>410</v>
      </c>
      <c r="K246" s="220">
        <f t="shared" si="299"/>
        <v>2165</v>
      </c>
      <c r="L246" s="220">
        <f t="shared" si="300"/>
        <v>1924</v>
      </c>
      <c r="M246" s="220">
        <f t="shared" si="301"/>
        <v>1604</v>
      </c>
      <c r="N246" s="220">
        <f t="shared" si="302"/>
        <v>1854</v>
      </c>
      <c r="O246" s="220">
        <f t="shared" si="303"/>
        <v>2121</v>
      </c>
      <c r="P246" s="220">
        <f t="shared" ref="P246:T246" si="314">+P245</f>
        <v>2000</v>
      </c>
      <c r="Q246" s="220">
        <f t="shared" si="314"/>
        <v>2000</v>
      </c>
      <c r="R246" s="220">
        <f t="shared" si="314"/>
        <v>2000</v>
      </c>
      <c r="S246" s="220">
        <f t="shared" si="314"/>
        <v>2000</v>
      </c>
      <c r="T246" s="220">
        <f t="shared" si="314"/>
        <v>2000</v>
      </c>
      <c r="U246" s="220">
        <f t="shared" si="304"/>
        <v>165</v>
      </c>
      <c r="V246" s="220">
        <f t="shared" si="305"/>
        <v>-76</v>
      </c>
      <c r="W246" s="220">
        <f t="shared" si="306"/>
        <v>-396</v>
      </c>
      <c r="X246" s="220">
        <f t="shared" si="307"/>
        <v>-146</v>
      </c>
      <c r="Y246" s="220">
        <f t="shared" si="308"/>
        <v>121</v>
      </c>
      <c r="Z246" s="220">
        <v>3</v>
      </c>
      <c r="AA246" s="220">
        <v>2</v>
      </c>
      <c r="AB246" s="220">
        <v>4</v>
      </c>
      <c r="AC246" s="220">
        <v>3</v>
      </c>
      <c r="AD246" s="220">
        <v>3</v>
      </c>
      <c r="AE246" s="220">
        <f t="shared" si="309"/>
        <v>-488</v>
      </c>
      <c r="AF246" s="220">
        <f t="shared" si="310"/>
        <v>-659</v>
      </c>
      <c r="AG246" s="220">
        <f t="shared" si="311"/>
        <v>-857</v>
      </c>
      <c r="AH246" s="220">
        <f t="shared" si="312"/>
        <v>-640</v>
      </c>
      <c r="AI246" s="220">
        <f t="shared" si="313"/>
        <v>-442</v>
      </c>
      <c r="AJ246" s="50">
        <f>AJ245-AB246/1000+AK247</f>
        <v>2.0000000000000075</v>
      </c>
      <c r="AK246" s="257"/>
      <c r="AL246" s="257">
        <f>AL245+AK247</f>
        <v>1.2</v>
      </c>
      <c r="AM246" s="52"/>
      <c r="AN246" s="88"/>
    </row>
    <row r="247" spans="1:40" s="29" customFormat="1" ht="17.25" customHeight="1">
      <c r="A247" s="48">
        <v>276</v>
      </c>
      <c r="B247" s="49">
        <f>B246+1</f>
        <v>45790</v>
      </c>
      <c r="C247" s="220">
        <f>+C246</f>
        <v>1049</v>
      </c>
      <c r="D247" s="220">
        <f>D246-26</f>
        <v>1456</v>
      </c>
      <c r="E247" s="220">
        <f t="shared" si="293"/>
        <v>2505</v>
      </c>
      <c r="F247" s="220">
        <f t="shared" si="294"/>
        <v>342</v>
      </c>
      <c r="G247" s="220">
        <f t="shared" si="295"/>
        <v>584</v>
      </c>
      <c r="H247" s="220">
        <f t="shared" si="296"/>
        <v>905</v>
      </c>
      <c r="I247" s="220">
        <f t="shared" si="297"/>
        <v>654</v>
      </c>
      <c r="J247" s="220">
        <f t="shared" si="298"/>
        <v>387</v>
      </c>
      <c r="K247" s="220">
        <f t="shared" si="299"/>
        <v>2163</v>
      </c>
      <c r="L247" s="220">
        <f t="shared" si="300"/>
        <v>1921</v>
      </c>
      <c r="M247" s="220">
        <f t="shared" si="301"/>
        <v>1600</v>
      </c>
      <c r="N247" s="220">
        <f t="shared" si="302"/>
        <v>1851</v>
      </c>
      <c r="O247" s="220">
        <f t="shared" si="303"/>
        <v>2118</v>
      </c>
      <c r="P247" s="220">
        <f>+P246</f>
        <v>2000</v>
      </c>
      <c r="Q247" s="220">
        <f>+Q246</f>
        <v>2000</v>
      </c>
      <c r="R247" s="220">
        <f>+R246</f>
        <v>2000</v>
      </c>
      <c r="S247" s="220">
        <f>+S246</f>
        <v>2000</v>
      </c>
      <c r="T247" s="220">
        <f>+T246</f>
        <v>2000</v>
      </c>
      <c r="U247" s="220">
        <f>U246-Z247</f>
        <v>163</v>
      </c>
      <c r="V247" s="220">
        <f>V246-AA247</f>
        <v>-79</v>
      </c>
      <c r="W247" s="220">
        <f>W246-AB247</f>
        <v>-400</v>
      </c>
      <c r="X247" s="220">
        <f>X246-AC247</f>
        <v>-149</v>
      </c>
      <c r="Y247" s="220">
        <f>Y246-AD247</f>
        <v>118</v>
      </c>
      <c r="Z247" s="220">
        <v>2</v>
      </c>
      <c r="AA247" s="220">
        <v>3</v>
      </c>
      <c r="AB247" s="220">
        <v>4</v>
      </c>
      <c r="AC247" s="220">
        <v>3</v>
      </c>
      <c r="AD247" s="220">
        <v>3</v>
      </c>
      <c r="AE247" s="220">
        <f>AE246-Z247</f>
        <v>-490</v>
      </c>
      <c r="AF247" s="220">
        <f>AF246-AA247</f>
        <v>-662</v>
      </c>
      <c r="AG247" s="220">
        <f>AG246-AB247</f>
        <v>-861</v>
      </c>
      <c r="AH247" s="220">
        <f>AH246-AC247</f>
        <v>-643</v>
      </c>
      <c r="AI247" s="220">
        <f>AI246-AD247</f>
        <v>-445</v>
      </c>
      <c r="AJ247" s="50">
        <f>AJ246-AB247/1000+AK256</f>
        <v>1.9960000000000075</v>
      </c>
      <c r="AK247" s="257"/>
      <c r="AL247" s="257">
        <f>AL246+AK256</f>
        <v>1.2</v>
      </c>
      <c r="AM247" s="52"/>
      <c r="AN247" s="88"/>
    </row>
    <row r="248" spans="1:40" s="29" customFormat="1" ht="17.25" customHeight="1">
      <c r="A248" s="48">
        <v>277</v>
      </c>
      <c r="B248" s="49">
        <f t="shared" si="290"/>
        <v>45791</v>
      </c>
      <c r="C248" s="220">
        <f t="shared" si="291"/>
        <v>1049</v>
      </c>
      <c r="D248" s="220">
        <f t="shared" si="257"/>
        <v>1430</v>
      </c>
      <c r="E248" s="220">
        <f t="shared" ref="E248:E251" si="315">+C248+D248</f>
        <v>2479</v>
      </c>
      <c r="F248" s="220">
        <f t="shared" ref="F248:F251" si="316">E248-K248</f>
        <v>318</v>
      </c>
      <c r="G248" s="220">
        <f t="shared" ref="G248:G251" si="317">E248-L248</f>
        <v>561</v>
      </c>
      <c r="H248" s="220">
        <f t="shared" ref="H248:H251" si="318">E248-M248</f>
        <v>882</v>
      </c>
      <c r="I248" s="220">
        <f t="shared" ref="I248:I251" si="319">E248-N248</f>
        <v>631</v>
      </c>
      <c r="J248" s="220">
        <f t="shared" ref="J248:J251" si="320">E248-O248</f>
        <v>362</v>
      </c>
      <c r="K248" s="220">
        <f t="shared" ref="K248:K251" si="321">P248+U248</f>
        <v>2161</v>
      </c>
      <c r="L248" s="220">
        <f t="shared" ref="L248:L251" si="322">Q248+V248</f>
        <v>1918</v>
      </c>
      <c r="M248" s="220">
        <f t="shared" ref="M248:M251" si="323">R248+W248</f>
        <v>1597</v>
      </c>
      <c r="N248" s="220">
        <f t="shared" ref="N248:N251" si="324">S248+X248</f>
        <v>1848</v>
      </c>
      <c r="O248" s="220">
        <f t="shared" ref="O248:O251" si="325">T248+Y248</f>
        <v>2117</v>
      </c>
      <c r="P248" s="220">
        <f t="shared" ref="P248:T248" si="326">+P247</f>
        <v>2000</v>
      </c>
      <c r="Q248" s="220">
        <f t="shared" si="326"/>
        <v>2000</v>
      </c>
      <c r="R248" s="220">
        <f t="shared" si="326"/>
        <v>2000</v>
      </c>
      <c r="S248" s="220">
        <f t="shared" si="326"/>
        <v>2000</v>
      </c>
      <c r="T248" s="220">
        <f t="shared" si="326"/>
        <v>2000</v>
      </c>
      <c r="U248" s="220">
        <f t="shared" ref="U248:U251" si="327">U247-Z248</f>
        <v>161</v>
      </c>
      <c r="V248" s="220">
        <f t="shared" ref="V248:V251" si="328">V247-AA248</f>
        <v>-82</v>
      </c>
      <c r="W248" s="220">
        <f t="shared" ref="W248:W251" si="329">W247-AB248</f>
        <v>-403</v>
      </c>
      <c r="X248" s="220">
        <f t="shared" ref="X248:X251" si="330">X247-AC248</f>
        <v>-152</v>
      </c>
      <c r="Y248" s="220">
        <f t="shared" ref="Y248:Y251" si="331">Y247-AD248</f>
        <v>117</v>
      </c>
      <c r="Z248" s="220">
        <v>2</v>
      </c>
      <c r="AA248" s="220">
        <v>3</v>
      </c>
      <c r="AB248" s="220">
        <v>3</v>
      </c>
      <c r="AC248" s="220">
        <v>3</v>
      </c>
      <c r="AD248" s="220">
        <v>1</v>
      </c>
      <c r="AE248" s="220">
        <f t="shared" ref="AE248:AE251" si="332">AE247-Z248</f>
        <v>-492</v>
      </c>
      <c r="AF248" s="220">
        <f t="shared" ref="AF248:AF251" si="333">AF247-AA248</f>
        <v>-665</v>
      </c>
      <c r="AG248" s="220">
        <f t="shared" ref="AG248:AG251" si="334">AG247-AB248</f>
        <v>-864</v>
      </c>
      <c r="AH248" s="220">
        <f t="shared" ref="AH248:AH251" si="335">AH247-AC248</f>
        <v>-646</v>
      </c>
      <c r="AI248" s="220">
        <f t="shared" ref="AI248:AI251" si="336">AI247-AD248</f>
        <v>-446</v>
      </c>
      <c r="AJ248" s="50">
        <f t="shared" ref="AJ248" si="337">AJ247-AB248/1000+AK257</f>
        <v>1.9930000000000077</v>
      </c>
      <c r="AK248" s="257"/>
      <c r="AL248" s="257">
        <f t="shared" ref="AL248" si="338">AL247+AK257</f>
        <v>1.2</v>
      </c>
      <c r="AM248" s="52"/>
      <c r="AN248" s="88"/>
    </row>
    <row r="249" spans="1:40" s="29" customFormat="1" ht="17.25" customHeight="1">
      <c r="A249" s="48">
        <v>278</v>
      </c>
      <c r="B249" s="49">
        <f t="shared" si="290"/>
        <v>45792</v>
      </c>
      <c r="C249" s="220">
        <f t="shared" si="291"/>
        <v>1049</v>
      </c>
      <c r="D249" s="220">
        <f t="shared" si="257"/>
        <v>1404</v>
      </c>
      <c r="E249" s="220">
        <f t="shared" si="315"/>
        <v>2453</v>
      </c>
      <c r="F249" s="220">
        <f t="shared" si="316"/>
        <v>295</v>
      </c>
      <c r="G249" s="220">
        <f t="shared" si="317"/>
        <v>537</v>
      </c>
      <c r="H249" s="220">
        <f t="shared" si="318"/>
        <v>859</v>
      </c>
      <c r="I249" s="220">
        <f t="shared" si="319"/>
        <v>608</v>
      </c>
      <c r="J249" s="220">
        <f t="shared" si="320"/>
        <v>339</v>
      </c>
      <c r="K249" s="220">
        <f t="shared" si="321"/>
        <v>2158</v>
      </c>
      <c r="L249" s="220">
        <f t="shared" si="322"/>
        <v>1916</v>
      </c>
      <c r="M249" s="220">
        <f t="shared" si="323"/>
        <v>1594</v>
      </c>
      <c r="N249" s="220">
        <f t="shared" si="324"/>
        <v>1845</v>
      </c>
      <c r="O249" s="220">
        <f t="shared" si="325"/>
        <v>2114</v>
      </c>
      <c r="P249" s="220">
        <f t="shared" ref="P249:T249" si="339">+P248</f>
        <v>2000</v>
      </c>
      <c r="Q249" s="220">
        <f t="shared" si="339"/>
        <v>2000</v>
      </c>
      <c r="R249" s="220">
        <f t="shared" si="339"/>
        <v>2000</v>
      </c>
      <c r="S249" s="220">
        <f t="shared" si="339"/>
        <v>2000</v>
      </c>
      <c r="T249" s="220">
        <f t="shared" si="339"/>
        <v>2000</v>
      </c>
      <c r="U249" s="220">
        <f t="shared" si="327"/>
        <v>158</v>
      </c>
      <c r="V249" s="220">
        <f t="shared" si="328"/>
        <v>-84</v>
      </c>
      <c r="W249" s="220">
        <f t="shared" si="329"/>
        <v>-406</v>
      </c>
      <c r="X249" s="220">
        <f t="shared" si="330"/>
        <v>-155</v>
      </c>
      <c r="Y249" s="220">
        <f t="shared" si="331"/>
        <v>114</v>
      </c>
      <c r="Z249" s="220">
        <v>3</v>
      </c>
      <c r="AA249" s="220">
        <v>2</v>
      </c>
      <c r="AB249" s="220">
        <v>3</v>
      </c>
      <c r="AC249" s="220">
        <v>3</v>
      </c>
      <c r="AD249" s="220">
        <v>3</v>
      </c>
      <c r="AE249" s="220">
        <f t="shared" si="332"/>
        <v>-495</v>
      </c>
      <c r="AF249" s="220">
        <f t="shared" si="333"/>
        <v>-667</v>
      </c>
      <c r="AG249" s="220">
        <f t="shared" si="334"/>
        <v>-867</v>
      </c>
      <c r="AH249" s="220">
        <f t="shared" si="335"/>
        <v>-649</v>
      </c>
      <c r="AI249" s="220">
        <f t="shared" si="336"/>
        <v>-449</v>
      </c>
      <c r="AJ249" s="50">
        <f t="shared" ref="AJ249:AJ263" si="340">AJ248-AB249/1000+AK268</f>
        <v>1.9900000000000078</v>
      </c>
      <c r="AK249" s="257"/>
      <c r="AL249" s="257">
        <f t="shared" ref="AL249:AL263" si="341">AL248+AK268</f>
        <v>1.2</v>
      </c>
      <c r="AM249" s="52"/>
      <c r="AN249" s="88"/>
    </row>
    <row r="250" spans="1:40" s="29" customFormat="1" ht="17.25" customHeight="1">
      <c r="A250" s="48">
        <v>279</v>
      </c>
      <c r="B250" s="49">
        <f t="shared" si="290"/>
        <v>45793</v>
      </c>
      <c r="C250" s="220">
        <f t="shared" si="291"/>
        <v>1049</v>
      </c>
      <c r="D250" s="220">
        <f t="shared" si="257"/>
        <v>1378</v>
      </c>
      <c r="E250" s="220">
        <f t="shared" si="315"/>
        <v>2427</v>
      </c>
      <c r="F250" s="220">
        <f t="shared" si="316"/>
        <v>272</v>
      </c>
      <c r="G250" s="220">
        <f t="shared" si="317"/>
        <v>514</v>
      </c>
      <c r="H250" s="220">
        <f t="shared" si="318"/>
        <v>837</v>
      </c>
      <c r="I250" s="220">
        <f t="shared" si="319"/>
        <v>584</v>
      </c>
      <c r="J250" s="220">
        <f t="shared" si="320"/>
        <v>314</v>
      </c>
      <c r="K250" s="220">
        <f t="shared" si="321"/>
        <v>2155</v>
      </c>
      <c r="L250" s="220">
        <f t="shared" si="322"/>
        <v>1913</v>
      </c>
      <c r="M250" s="220">
        <f t="shared" si="323"/>
        <v>1590</v>
      </c>
      <c r="N250" s="220">
        <f t="shared" si="324"/>
        <v>1843</v>
      </c>
      <c r="O250" s="220">
        <f t="shared" si="325"/>
        <v>2113</v>
      </c>
      <c r="P250" s="220">
        <f t="shared" ref="P250:T250" si="342">+P249</f>
        <v>2000</v>
      </c>
      <c r="Q250" s="220">
        <f t="shared" si="342"/>
        <v>2000</v>
      </c>
      <c r="R250" s="220">
        <f t="shared" si="342"/>
        <v>2000</v>
      </c>
      <c r="S250" s="220">
        <f t="shared" si="342"/>
        <v>2000</v>
      </c>
      <c r="T250" s="220">
        <f t="shared" si="342"/>
        <v>2000</v>
      </c>
      <c r="U250" s="220">
        <f t="shared" si="327"/>
        <v>155</v>
      </c>
      <c r="V250" s="220">
        <f t="shared" si="328"/>
        <v>-87</v>
      </c>
      <c r="W250" s="220">
        <f t="shared" si="329"/>
        <v>-410</v>
      </c>
      <c r="X250" s="220">
        <f t="shared" si="330"/>
        <v>-157</v>
      </c>
      <c r="Y250" s="220">
        <f t="shared" si="331"/>
        <v>113</v>
      </c>
      <c r="Z250" s="220">
        <v>3</v>
      </c>
      <c r="AA250" s="220">
        <v>3</v>
      </c>
      <c r="AB250" s="220">
        <v>4</v>
      </c>
      <c r="AC250" s="220">
        <v>2</v>
      </c>
      <c r="AD250" s="220">
        <v>1</v>
      </c>
      <c r="AE250" s="220">
        <f t="shared" si="332"/>
        <v>-498</v>
      </c>
      <c r="AF250" s="220">
        <f t="shared" si="333"/>
        <v>-670</v>
      </c>
      <c r="AG250" s="220">
        <f t="shared" si="334"/>
        <v>-871</v>
      </c>
      <c r="AH250" s="220">
        <f t="shared" si="335"/>
        <v>-651</v>
      </c>
      <c r="AI250" s="220">
        <f t="shared" si="336"/>
        <v>-450</v>
      </c>
      <c r="AJ250" s="50">
        <f t="shared" si="340"/>
        <v>1.9860000000000078</v>
      </c>
      <c r="AK250" s="257"/>
      <c r="AL250" s="257">
        <f t="shared" si="341"/>
        <v>1.2</v>
      </c>
      <c r="AM250" s="52"/>
      <c r="AN250" s="88"/>
    </row>
    <row r="251" spans="1:40" s="29" customFormat="1" ht="17.25" customHeight="1">
      <c r="A251" s="48">
        <v>280</v>
      </c>
      <c r="B251" s="49">
        <f t="shared" si="290"/>
        <v>45794</v>
      </c>
      <c r="C251" s="220">
        <f t="shared" si="291"/>
        <v>1049</v>
      </c>
      <c r="D251" s="220">
        <f t="shared" si="257"/>
        <v>1352</v>
      </c>
      <c r="E251" s="220">
        <f t="shared" si="315"/>
        <v>2401</v>
      </c>
      <c r="F251" s="220">
        <f t="shared" si="316"/>
        <v>248</v>
      </c>
      <c r="G251" s="220">
        <f t="shared" si="317"/>
        <v>491</v>
      </c>
      <c r="H251" s="220">
        <f t="shared" si="318"/>
        <v>814</v>
      </c>
      <c r="I251" s="220">
        <f t="shared" si="319"/>
        <v>561</v>
      </c>
      <c r="J251" s="220">
        <f t="shared" si="320"/>
        <v>291</v>
      </c>
      <c r="K251" s="220">
        <f t="shared" si="321"/>
        <v>2153</v>
      </c>
      <c r="L251" s="220">
        <f t="shared" si="322"/>
        <v>1910</v>
      </c>
      <c r="M251" s="220">
        <f t="shared" si="323"/>
        <v>1587</v>
      </c>
      <c r="N251" s="220">
        <f t="shared" si="324"/>
        <v>1840</v>
      </c>
      <c r="O251" s="220">
        <f t="shared" si="325"/>
        <v>2110</v>
      </c>
      <c r="P251" s="220">
        <f t="shared" ref="P251:T251" si="343">+P250</f>
        <v>2000</v>
      </c>
      <c r="Q251" s="220">
        <f t="shared" si="343"/>
        <v>2000</v>
      </c>
      <c r="R251" s="220">
        <f t="shared" si="343"/>
        <v>2000</v>
      </c>
      <c r="S251" s="220">
        <f t="shared" si="343"/>
        <v>2000</v>
      </c>
      <c r="T251" s="220">
        <f t="shared" si="343"/>
        <v>2000</v>
      </c>
      <c r="U251" s="220">
        <f t="shared" si="327"/>
        <v>153</v>
      </c>
      <c r="V251" s="220">
        <f t="shared" si="328"/>
        <v>-90</v>
      </c>
      <c r="W251" s="220">
        <f t="shared" si="329"/>
        <v>-413</v>
      </c>
      <c r="X251" s="220">
        <f t="shared" si="330"/>
        <v>-160</v>
      </c>
      <c r="Y251" s="220">
        <f t="shared" si="331"/>
        <v>110</v>
      </c>
      <c r="Z251" s="220">
        <v>2</v>
      </c>
      <c r="AA251" s="220">
        <v>3</v>
      </c>
      <c r="AB251" s="220">
        <v>3</v>
      </c>
      <c r="AC251" s="220">
        <v>3</v>
      </c>
      <c r="AD251" s="220">
        <v>3</v>
      </c>
      <c r="AE251" s="220">
        <f t="shared" si="332"/>
        <v>-500</v>
      </c>
      <c r="AF251" s="220">
        <f t="shared" si="333"/>
        <v>-673</v>
      </c>
      <c r="AG251" s="220">
        <f t="shared" si="334"/>
        <v>-874</v>
      </c>
      <c r="AH251" s="220">
        <f t="shared" si="335"/>
        <v>-654</v>
      </c>
      <c r="AI251" s="220">
        <f t="shared" si="336"/>
        <v>-453</v>
      </c>
      <c r="AJ251" s="50">
        <f t="shared" si="340"/>
        <v>1.9830000000000079</v>
      </c>
      <c r="AK251" s="257"/>
      <c r="AL251" s="257">
        <f t="shared" si="341"/>
        <v>1.2</v>
      </c>
      <c r="AM251" s="52"/>
      <c r="AN251" s="88"/>
    </row>
    <row r="252" spans="1:40" s="29" customFormat="1" ht="17.25" customHeight="1">
      <c r="A252" s="48">
        <v>281</v>
      </c>
      <c r="B252" s="49">
        <f t="shared" si="290"/>
        <v>45795</v>
      </c>
      <c r="C252" s="220">
        <f t="shared" si="291"/>
        <v>1049</v>
      </c>
      <c r="D252" s="220">
        <f t="shared" si="257"/>
        <v>1326</v>
      </c>
      <c r="E252" s="220">
        <f t="shared" ref="E252:E257" si="344">+C252+D252</f>
        <v>2375</v>
      </c>
      <c r="F252" s="220">
        <f t="shared" ref="F252:F257" si="345">E252-K252</f>
        <v>225</v>
      </c>
      <c r="G252" s="220">
        <f t="shared" ref="G252:G257" si="346">E252-L252</f>
        <v>467</v>
      </c>
      <c r="H252" s="220">
        <f t="shared" ref="H252:H257" si="347">E252-M252</f>
        <v>792</v>
      </c>
      <c r="I252" s="220">
        <f t="shared" ref="I252:I257" si="348">E252-N252</f>
        <v>538</v>
      </c>
      <c r="J252" s="220">
        <f t="shared" ref="J252:J257" si="349">E252-O252</f>
        <v>268</v>
      </c>
      <c r="K252" s="220">
        <f t="shared" ref="K252:K257" si="350">P252+U252</f>
        <v>2150</v>
      </c>
      <c r="L252" s="220">
        <f t="shared" ref="L252:L257" si="351">Q252+V252</f>
        <v>1908</v>
      </c>
      <c r="M252" s="220">
        <f t="shared" ref="M252:M257" si="352">R252+W252</f>
        <v>1583</v>
      </c>
      <c r="N252" s="220">
        <f t="shared" ref="N252:N257" si="353">S252+X252</f>
        <v>1837</v>
      </c>
      <c r="O252" s="220">
        <f t="shared" ref="O252:O257" si="354">T252+Y252</f>
        <v>2107</v>
      </c>
      <c r="P252" s="220">
        <f t="shared" ref="P252:T252" si="355">+P251</f>
        <v>2000</v>
      </c>
      <c r="Q252" s="220">
        <f t="shared" si="355"/>
        <v>2000</v>
      </c>
      <c r="R252" s="220">
        <f t="shared" si="355"/>
        <v>2000</v>
      </c>
      <c r="S252" s="220">
        <f t="shared" si="355"/>
        <v>2000</v>
      </c>
      <c r="T252" s="220">
        <f t="shared" si="355"/>
        <v>2000</v>
      </c>
      <c r="U252" s="220">
        <f t="shared" ref="U252:U257" si="356">U251-Z252</f>
        <v>150</v>
      </c>
      <c r="V252" s="220">
        <f t="shared" ref="V252:V257" si="357">V251-AA252</f>
        <v>-92</v>
      </c>
      <c r="W252" s="220">
        <f t="shared" ref="W252:W257" si="358">W251-AB252</f>
        <v>-417</v>
      </c>
      <c r="X252" s="220">
        <f t="shared" ref="X252:X257" si="359">X251-AC252</f>
        <v>-163</v>
      </c>
      <c r="Y252" s="220">
        <f t="shared" ref="Y252:Y257" si="360">Y251-AD252</f>
        <v>107</v>
      </c>
      <c r="Z252" s="220">
        <v>3</v>
      </c>
      <c r="AA252" s="220">
        <v>2</v>
      </c>
      <c r="AB252" s="220">
        <v>4</v>
      </c>
      <c r="AC252" s="220">
        <v>3</v>
      </c>
      <c r="AD252" s="220">
        <v>3</v>
      </c>
      <c r="AE252" s="220">
        <f t="shared" ref="AE252:AE257" si="361">AE251-Z252</f>
        <v>-503</v>
      </c>
      <c r="AF252" s="220">
        <f t="shared" ref="AF252:AF257" si="362">AF251-AA252</f>
        <v>-675</v>
      </c>
      <c r="AG252" s="220">
        <f t="shared" ref="AG252:AG257" si="363">AG251-AB252</f>
        <v>-878</v>
      </c>
      <c r="AH252" s="220">
        <f t="shared" ref="AH252:AH257" si="364">AH251-AC252</f>
        <v>-657</v>
      </c>
      <c r="AI252" s="220">
        <f t="shared" ref="AI252:AI257" si="365">AI251-AD252</f>
        <v>-456</v>
      </c>
      <c r="AJ252" s="50">
        <f t="shared" si="340"/>
        <v>1.9790000000000079</v>
      </c>
      <c r="AK252" s="257"/>
      <c r="AL252" s="257">
        <f t="shared" si="341"/>
        <v>1.2</v>
      </c>
      <c r="AM252" s="52"/>
      <c r="AN252" s="88"/>
    </row>
    <row r="253" spans="1:40" s="29" customFormat="1" ht="17.25" customHeight="1">
      <c r="A253" s="48">
        <v>282</v>
      </c>
      <c r="B253" s="49">
        <f t="shared" si="290"/>
        <v>45796</v>
      </c>
      <c r="C253" s="220">
        <f t="shared" si="291"/>
        <v>1049</v>
      </c>
      <c r="D253" s="220">
        <f t="shared" si="257"/>
        <v>1300</v>
      </c>
      <c r="E253" s="220">
        <f t="shared" si="344"/>
        <v>2349</v>
      </c>
      <c r="F253" s="220">
        <f t="shared" si="345"/>
        <v>201</v>
      </c>
      <c r="G253" s="220">
        <f t="shared" si="346"/>
        <v>444</v>
      </c>
      <c r="H253" s="220">
        <f t="shared" si="347"/>
        <v>769</v>
      </c>
      <c r="I253" s="220">
        <f t="shared" si="348"/>
        <v>514</v>
      </c>
      <c r="J253" s="220">
        <f t="shared" si="349"/>
        <v>243</v>
      </c>
      <c r="K253" s="220">
        <f t="shared" si="350"/>
        <v>2148</v>
      </c>
      <c r="L253" s="220">
        <f t="shared" si="351"/>
        <v>1905</v>
      </c>
      <c r="M253" s="220">
        <f t="shared" si="352"/>
        <v>1580</v>
      </c>
      <c r="N253" s="220">
        <f t="shared" si="353"/>
        <v>1835</v>
      </c>
      <c r="O253" s="220">
        <f t="shared" si="354"/>
        <v>2106</v>
      </c>
      <c r="P253" s="220">
        <f t="shared" ref="P253:T253" si="366">+P252</f>
        <v>2000</v>
      </c>
      <c r="Q253" s="220">
        <f t="shared" si="366"/>
        <v>2000</v>
      </c>
      <c r="R253" s="220">
        <f t="shared" si="366"/>
        <v>2000</v>
      </c>
      <c r="S253" s="220">
        <f t="shared" si="366"/>
        <v>2000</v>
      </c>
      <c r="T253" s="220">
        <f t="shared" si="366"/>
        <v>2000</v>
      </c>
      <c r="U253" s="220">
        <f t="shared" si="356"/>
        <v>148</v>
      </c>
      <c r="V253" s="220">
        <f t="shared" si="357"/>
        <v>-95</v>
      </c>
      <c r="W253" s="220">
        <f t="shared" si="358"/>
        <v>-420</v>
      </c>
      <c r="X253" s="220">
        <f t="shared" si="359"/>
        <v>-165</v>
      </c>
      <c r="Y253" s="220">
        <f t="shared" si="360"/>
        <v>106</v>
      </c>
      <c r="Z253" s="220">
        <v>2</v>
      </c>
      <c r="AA253" s="220">
        <v>3</v>
      </c>
      <c r="AB253" s="220">
        <v>3</v>
      </c>
      <c r="AC253" s="220">
        <v>2</v>
      </c>
      <c r="AD253" s="220">
        <v>1</v>
      </c>
      <c r="AE253" s="220">
        <f t="shared" si="361"/>
        <v>-505</v>
      </c>
      <c r="AF253" s="220">
        <f t="shared" si="362"/>
        <v>-678</v>
      </c>
      <c r="AG253" s="220">
        <f t="shared" si="363"/>
        <v>-881</v>
      </c>
      <c r="AH253" s="220">
        <f t="shared" si="364"/>
        <v>-659</v>
      </c>
      <c r="AI253" s="220">
        <f t="shared" si="365"/>
        <v>-457</v>
      </c>
      <c r="AJ253" s="50">
        <f t="shared" si="340"/>
        <v>1.976000000000008</v>
      </c>
      <c r="AK253" s="257"/>
      <c r="AL253" s="257">
        <f t="shared" si="341"/>
        <v>1.2</v>
      </c>
      <c r="AM253" s="52"/>
      <c r="AN253" s="88"/>
    </row>
    <row r="254" spans="1:40" s="29" customFormat="1" ht="17.25" customHeight="1">
      <c r="A254" s="48">
        <v>283</v>
      </c>
      <c r="B254" s="49">
        <f t="shared" si="290"/>
        <v>45797</v>
      </c>
      <c r="C254" s="220">
        <f t="shared" si="291"/>
        <v>1049</v>
      </c>
      <c r="D254" s="220">
        <f t="shared" si="257"/>
        <v>1274</v>
      </c>
      <c r="E254" s="220">
        <f t="shared" si="344"/>
        <v>2323</v>
      </c>
      <c r="F254" s="220">
        <f t="shared" si="345"/>
        <v>178</v>
      </c>
      <c r="G254" s="220">
        <f t="shared" si="346"/>
        <v>420</v>
      </c>
      <c r="H254" s="220">
        <f t="shared" si="347"/>
        <v>746</v>
      </c>
      <c r="I254" s="220">
        <f t="shared" si="348"/>
        <v>490</v>
      </c>
      <c r="J254" s="220">
        <f t="shared" si="349"/>
        <v>220</v>
      </c>
      <c r="K254" s="220">
        <f t="shared" si="350"/>
        <v>2145</v>
      </c>
      <c r="L254" s="220">
        <f t="shared" si="351"/>
        <v>1903</v>
      </c>
      <c r="M254" s="220">
        <f t="shared" si="352"/>
        <v>1577</v>
      </c>
      <c r="N254" s="220">
        <f t="shared" si="353"/>
        <v>1833</v>
      </c>
      <c r="O254" s="220">
        <f t="shared" si="354"/>
        <v>2103</v>
      </c>
      <c r="P254" s="220">
        <f t="shared" ref="P254:T254" si="367">+P253</f>
        <v>2000</v>
      </c>
      <c r="Q254" s="220">
        <f t="shared" si="367"/>
        <v>2000</v>
      </c>
      <c r="R254" s="220">
        <f t="shared" si="367"/>
        <v>2000</v>
      </c>
      <c r="S254" s="220">
        <f t="shared" si="367"/>
        <v>2000</v>
      </c>
      <c r="T254" s="220">
        <f t="shared" si="367"/>
        <v>2000</v>
      </c>
      <c r="U254" s="220">
        <f t="shared" si="356"/>
        <v>145</v>
      </c>
      <c r="V254" s="220">
        <f t="shared" si="357"/>
        <v>-97</v>
      </c>
      <c r="W254" s="220">
        <f t="shared" si="358"/>
        <v>-423</v>
      </c>
      <c r="X254" s="220">
        <f t="shared" si="359"/>
        <v>-167</v>
      </c>
      <c r="Y254" s="220">
        <f t="shared" si="360"/>
        <v>103</v>
      </c>
      <c r="Z254" s="220">
        <v>3</v>
      </c>
      <c r="AA254" s="220">
        <v>2</v>
      </c>
      <c r="AB254" s="220">
        <v>3</v>
      </c>
      <c r="AC254" s="220">
        <v>2</v>
      </c>
      <c r="AD254" s="220">
        <v>3</v>
      </c>
      <c r="AE254" s="220">
        <f t="shared" si="361"/>
        <v>-508</v>
      </c>
      <c r="AF254" s="220">
        <f t="shared" si="362"/>
        <v>-680</v>
      </c>
      <c r="AG254" s="220">
        <f t="shared" si="363"/>
        <v>-884</v>
      </c>
      <c r="AH254" s="220">
        <f t="shared" si="364"/>
        <v>-661</v>
      </c>
      <c r="AI254" s="220">
        <f t="shared" si="365"/>
        <v>-460</v>
      </c>
      <c r="AJ254" s="50">
        <f t="shared" si="340"/>
        <v>1.9730000000000081</v>
      </c>
      <c r="AK254" s="257"/>
      <c r="AL254" s="257">
        <f t="shared" si="341"/>
        <v>1.2</v>
      </c>
      <c r="AM254" s="52"/>
      <c r="AN254" s="88"/>
    </row>
    <row r="255" spans="1:40" s="29" customFormat="1" ht="17.25" customHeight="1">
      <c r="A255" s="48">
        <v>284</v>
      </c>
      <c r="B255" s="49">
        <f t="shared" si="290"/>
        <v>45798</v>
      </c>
      <c r="C255" s="220">
        <f t="shared" si="291"/>
        <v>1049</v>
      </c>
      <c r="D255" s="220">
        <f t="shared" si="257"/>
        <v>1248</v>
      </c>
      <c r="E255" s="220">
        <f t="shared" si="344"/>
        <v>2297</v>
      </c>
      <c r="F255" s="220">
        <f t="shared" si="345"/>
        <v>154</v>
      </c>
      <c r="G255" s="220">
        <f t="shared" si="346"/>
        <v>396</v>
      </c>
      <c r="H255" s="220">
        <f t="shared" si="347"/>
        <v>724</v>
      </c>
      <c r="I255" s="220">
        <f t="shared" si="348"/>
        <v>467</v>
      </c>
      <c r="J255" s="220">
        <f t="shared" si="349"/>
        <v>197</v>
      </c>
      <c r="K255" s="220">
        <f t="shared" si="350"/>
        <v>2143</v>
      </c>
      <c r="L255" s="220">
        <f t="shared" si="351"/>
        <v>1901</v>
      </c>
      <c r="M255" s="220">
        <f t="shared" si="352"/>
        <v>1573</v>
      </c>
      <c r="N255" s="220">
        <f t="shared" si="353"/>
        <v>1830</v>
      </c>
      <c r="O255" s="220">
        <f t="shared" si="354"/>
        <v>2100</v>
      </c>
      <c r="P255" s="220">
        <f t="shared" ref="P255:T255" si="368">+P254</f>
        <v>2000</v>
      </c>
      <c r="Q255" s="220">
        <f t="shared" si="368"/>
        <v>2000</v>
      </c>
      <c r="R255" s="220">
        <f t="shared" si="368"/>
        <v>2000</v>
      </c>
      <c r="S255" s="220">
        <f t="shared" si="368"/>
        <v>2000</v>
      </c>
      <c r="T255" s="220">
        <f t="shared" si="368"/>
        <v>2000</v>
      </c>
      <c r="U255" s="220">
        <f t="shared" si="356"/>
        <v>143</v>
      </c>
      <c r="V255" s="220">
        <f t="shared" si="357"/>
        <v>-99</v>
      </c>
      <c r="W255" s="220">
        <f t="shared" si="358"/>
        <v>-427</v>
      </c>
      <c r="X255" s="220">
        <f t="shared" si="359"/>
        <v>-170</v>
      </c>
      <c r="Y255" s="220">
        <f t="shared" si="360"/>
        <v>100</v>
      </c>
      <c r="Z255" s="220">
        <v>2</v>
      </c>
      <c r="AA255" s="220">
        <v>2</v>
      </c>
      <c r="AB255" s="220">
        <v>4</v>
      </c>
      <c r="AC255" s="220">
        <v>3</v>
      </c>
      <c r="AD255" s="220">
        <v>3</v>
      </c>
      <c r="AE255" s="220">
        <f t="shared" si="361"/>
        <v>-510</v>
      </c>
      <c r="AF255" s="220">
        <f t="shared" si="362"/>
        <v>-682</v>
      </c>
      <c r="AG255" s="220">
        <f t="shared" si="363"/>
        <v>-888</v>
      </c>
      <c r="AH255" s="220">
        <f t="shared" si="364"/>
        <v>-664</v>
      </c>
      <c r="AI255" s="220">
        <f t="shared" si="365"/>
        <v>-463</v>
      </c>
      <c r="AJ255" s="50">
        <f t="shared" si="340"/>
        <v>1.9690000000000081</v>
      </c>
      <c r="AK255" s="257"/>
      <c r="AL255" s="257">
        <f t="shared" si="341"/>
        <v>1.2</v>
      </c>
      <c r="AM255" s="52"/>
      <c r="AN255" s="88"/>
    </row>
    <row r="256" spans="1:40" s="29" customFormat="1" ht="17.25" customHeight="1">
      <c r="A256" s="48">
        <v>285</v>
      </c>
      <c r="B256" s="49">
        <f t="shared" si="290"/>
        <v>45799</v>
      </c>
      <c r="C256" s="220">
        <f t="shared" si="291"/>
        <v>1049</v>
      </c>
      <c r="D256" s="220">
        <f t="shared" si="257"/>
        <v>1222</v>
      </c>
      <c r="E256" s="220">
        <f t="shared" si="344"/>
        <v>2271</v>
      </c>
      <c r="F256" s="220">
        <f t="shared" si="345"/>
        <v>130</v>
      </c>
      <c r="G256" s="220">
        <f t="shared" si="346"/>
        <v>373</v>
      </c>
      <c r="H256" s="220">
        <f t="shared" si="347"/>
        <v>701</v>
      </c>
      <c r="I256" s="220">
        <f t="shared" si="348"/>
        <v>444</v>
      </c>
      <c r="J256" s="220">
        <f t="shared" si="349"/>
        <v>173</v>
      </c>
      <c r="K256" s="220">
        <f t="shared" si="350"/>
        <v>2141</v>
      </c>
      <c r="L256" s="220">
        <f t="shared" si="351"/>
        <v>1898</v>
      </c>
      <c r="M256" s="220">
        <f t="shared" si="352"/>
        <v>1570</v>
      </c>
      <c r="N256" s="220">
        <f t="shared" si="353"/>
        <v>1827</v>
      </c>
      <c r="O256" s="220">
        <f t="shared" si="354"/>
        <v>2098</v>
      </c>
      <c r="P256" s="220">
        <f t="shared" ref="P256:T256" si="369">+P255</f>
        <v>2000</v>
      </c>
      <c r="Q256" s="220">
        <f t="shared" si="369"/>
        <v>2000</v>
      </c>
      <c r="R256" s="220">
        <f t="shared" si="369"/>
        <v>2000</v>
      </c>
      <c r="S256" s="220">
        <f t="shared" si="369"/>
        <v>2000</v>
      </c>
      <c r="T256" s="220">
        <f t="shared" si="369"/>
        <v>2000</v>
      </c>
      <c r="U256" s="220">
        <f t="shared" si="356"/>
        <v>141</v>
      </c>
      <c r="V256" s="220">
        <f t="shared" si="357"/>
        <v>-102</v>
      </c>
      <c r="W256" s="220">
        <f t="shared" si="358"/>
        <v>-430</v>
      </c>
      <c r="X256" s="220">
        <f t="shared" si="359"/>
        <v>-173</v>
      </c>
      <c r="Y256" s="220">
        <f t="shared" si="360"/>
        <v>98</v>
      </c>
      <c r="Z256" s="220">
        <v>2</v>
      </c>
      <c r="AA256" s="220">
        <v>3</v>
      </c>
      <c r="AB256" s="220">
        <v>3</v>
      </c>
      <c r="AC256" s="220">
        <v>3</v>
      </c>
      <c r="AD256" s="220">
        <v>2</v>
      </c>
      <c r="AE256" s="220">
        <f t="shared" si="361"/>
        <v>-512</v>
      </c>
      <c r="AF256" s="220">
        <f t="shared" si="362"/>
        <v>-685</v>
      </c>
      <c r="AG256" s="220">
        <f t="shared" si="363"/>
        <v>-891</v>
      </c>
      <c r="AH256" s="220">
        <f t="shared" si="364"/>
        <v>-667</v>
      </c>
      <c r="AI256" s="220">
        <f t="shared" si="365"/>
        <v>-465</v>
      </c>
      <c r="AJ256" s="50">
        <f t="shared" si="340"/>
        <v>1.9660000000000082</v>
      </c>
      <c r="AK256" s="257"/>
      <c r="AL256" s="257">
        <f t="shared" si="341"/>
        <v>1.2</v>
      </c>
      <c r="AM256" s="52"/>
      <c r="AN256" s="88"/>
    </row>
    <row r="257" spans="1:40" s="29" customFormat="1" ht="17.25" customHeight="1">
      <c r="A257" s="48">
        <v>286</v>
      </c>
      <c r="B257" s="49">
        <f t="shared" si="290"/>
        <v>45800</v>
      </c>
      <c r="C257" s="220">
        <f t="shared" si="291"/>
        <v>1049</v>
      </c>
      <c r="D257" s="220">
        <f t="shared" si="257"/>
        <v>1196</v>
      </c>
      <c r="E257" s="220">
        <f t="shared" si="344"/>
        <v>2245</v>
      </c>
      <c r="F257" s="220">
        <f t="shared" si="345"/>
        <v>107</v>
      </c>
      <c r="G257" s="220">
        <f t="shared" si="346"/>
        <v>350</v>
      </c>
      <c r="H257" s="220">
        <f t="shared" si="347"/>
        <v>678</v>
      </c>
      <c r="I257" s="220">
        <f t="shared" si="348"/>
        <v>421</v>
      </c>
      <c r="J257" s="220">
        <f t="shared" si="349"/>
        <v>150</v>
      </c>
      <c r="K257" s="220">
        <f t="shared" si="350"/>
        <v>2138</v>
      </c>
      <c r="L257" s="220">
        <f t="shared" si="351"/>
        <v>1895</v>
      </c>
      <c r="M257" s="220">
        <f t="shared" si="352"/>
        <v>1567</v>
      </c>
      <c r="N257" s="220">
        <f t="shared" si="353"/>
        <v>1824</v>
      </c>
      <c r="O257" s="220">
        <f t="shared" si="354"/>
        <v>2095</v>
      </c>
      <c r="P257" s="220">
        <f t="shared" ref="P257:T257" si="370">+P256</f>
        <v>2000</v>
      </c>
      <c r="Q257" s="220">
        <f t="shared" si="370"/>
        <v>2000</v>
      </c>
      <c r="R257" s="220">
        <f t="shared" si="370"/>
        <v>2000</v>
      </c>
      <c r="S257" s="220">
        <f t="shared" si="370"/>
        <v>2000</v>
      </c>
      <c r="T257" s="220">
        <f t="shared" si="370"/>
        <v>2000</v>
      </c>
      <c r="U257" s="220">
        <f t="shared" si="356"/>
        <v>138</v>
      </c>
      <c r="V257" s="220">
        <f t="shared" si="357"/>
        <v>-105</v>
      </c>
      <c r="W257" s="220">
        <f t="shared" si="358"/>
        <v>-433</v>
      </c>
      <c r="X257" s="220">
        <f t="shared" si="359"/>
        <v>-176</v>
      </c>
      <c r="Y257" s="220">
        <f t="shared" si="360"/>
        <v>95</v>
      </c>
      <c r="Z257" s="220">
        <v>3</v>
      </c>
      <c r="AA257" s="220">
        <v>3</v>
      </c>
      <c r="AB257" s="220">
        <v>3</v>
      </c>
      <c r="AC257" s="220">
        <v>3</v>
      </c>
      <c r="AD257" s="220">
        <v>3</v>
      </c>
      <c r="AE257" s="220">
        <f t="shared" si="361"/>
        <v>-515</v>
      </c>
      <c r="AF257" s="220">
        <f t="shared" si="362"/>
        <v>-688</v>
      </c>
      <c r="AG257" s="220">
        <f t="shared" si="363"/>
        <v>-894</v>
      </c>
      <c r="AH257" s="220">
        <f t="shared" si="364"/>
        <v>-670</v>
      </c>
      <c r="AI257" s="220">
        <f t="shared" si="365"/>
        <v>-468</v>
      </c>
      <c r="AJ257" s="50">
        <f t="shared" si="340"/>
        <v>1.9630000000000083</v>
      </c>
      <c r="AK257" s="257"/>
      <c r="AL257" s="257">
        <f t="shared" si="341"/>
        <v>1.2</v>
      </c>
      <c r="AM257" s="52"/>
      <c r="AN257" s="88"/>
    </row>
    <row r="258" spans="1:40" s="29" customFormat="1" ht="17.25" customHeight="1">
      <c r="A258" s="48">
        <v>287</v>
      </c>
      <c r="B258" s="49">
        <f t="shared" si="290"/>
        <v>45801</v>
      </c>
      <c r="C258" s="220">
        <f t="shared" si="291"/>
        <v>1049</v>
      </c>
      <c r="D258" s="220">
        <f t="shared" si="257"/>
        <v>1170</v>
      </c>
      <c r="E258" s="220">
        <f t="shared" ref="E258:E263" si="371">+C258+D258</f>
        <v>2219</v>
      </c>
      <c r="F258" s="220">
        <f t="shared" ref="F258:F263" si="372">E258-K258</f>
        <v>83</v>
      </c>
      <c r="G258" s="220">
        <f t="shared" ref="G258:G263" si="373">E258-L258</f>
        <v>326</v>
      </c>
      <c r="H258" s="220">
        <f t="shared" ref="H258:H263" si="374">E258-M258</f>
        <v>656</v>
      </c>
      <c r="I258" s="220">
        <f t="shared" ref="I258:I263" si="375">E258-N258</f>
        <v>397</v>
      </c>
      <c r="J258" s="220">
        <f t="shared" ref="J258:J263" si="376">E258-O258</f>
        <v>125</v>
      </c>
      <c r="K258" s="220">
        <f t="shared" ref="K258:K263" si="377">P258+U258</f>
        <v>2136</v>
      </c>
      <c r="L258" s="220">
        <f t="shared" ref="L258:L263" si="378">Q258+V258</f>
        <v>1893</v>
      </c>
      <c r="M258" s="220">
        <f t="shared" ref="M258:M263" si="379">R258+W258</f>
        <v>1563</v>
      </c>
      <c r="N258" s="220">
        <f t="shared" ref="N258:N263" si="380">S258+X258</f>
        <v>1822</v>
      </c>
      <c r="O258" s="220">
        <f t="shared" ref="O258:O263" si="381">T258+Y258</f>
        <v>2094</v>
      </c>
      <c r="P258" s="220">
        <f t="shared" ref="P258:T258" si="382">+P257</f>
        <v>2000</v>
      </c>
      <c r="Q258" s="220">
        <f t="shared" si="382"/>
        <v>2000</v>
      </c>
      <c r="R258" s="220">
        <f t="shared" si="382"/>
        <v>2000</v>
      </c>
      <c r="S258" s="220">
        <f t="shared" si="382"/>
        <v>2000</v>
      </c>
      <c r="T258" s="220">
        <f t="shared" si="382"/>
        <v>2000</v>
      </c>
      <c r="U258" s="220">
        <f t="shared" ref="U258:U263" si="383">U257-Z258</f>
        <v>136</v>
      </c>
      <c r="V258" s="220">
        <f t="shared" ref="V258:V263" si="384">V257-AA258</f>
        <v>-107</v>
      </c>
      <c r="W258" s="220">
        <f t="shared" ref="W258:W263" si="385">W257-AB258</f>
        <v>-437</v>
      </c>
      <c r="X258" s="220">
        <f t="shared" ref="X258:X263" si="386">X257-AC258</f>
        <v>-178</v>
      </c>
      <c r="Y258" s="220">
        <f t="shared" ref="Y258:Y263" si="387">Y257-AD258</f>
        <v>94</v>
      </c>
      <c r="Z258" s="220">
        <v>2</v>
      </c>
      <c r="AA258" s="220">
        <v>2</v>
      </c>
      <c r="AB258" s="220">
        <v>4</v>
      </c>
      <c r="AC258" s="220">
        <v>2</v>
      </c>
      <c r="AD258" s="220">
        <v>1</v>
      </c>
      <c r="AE258" s="220">
        <f t="shared" ref="AE258:AE263" si="388">AE257-Z258</f>
        <v>-517</v>
      </c>
      <c r="AF258" s="220">
        <f t="shared" ref="AF258:AF263" si="389">AF257-AA258</f>
        <v>-690</v>
      </c>
      <c r="AG258" s="220">
        <f t="shared" ref="AG258:AG263" si="390">AG257-AB258</f>
        <v>-898</v>
      </c>
      <c r="AH258" s="220">
        <f t="shared" ref="AH258:AH263" si="391">AH257-AC258</f>
        <v>-672</v>
      </c>
      <c r="AI258" s="220">
        <f t="shared" ref="AI258:AI263" si="392">AI257-AD258</f>
        <v>-469</v>
      </c>
      <c r="AJ258" s="50">
        <f t="shared" si="340"/>
        <v>1.9590000000000083</v>
      </c>
      <c r="AK258" s="257"/>
      <c r="AL258" s="257">
        <f t="shared" si="341"/>
        <v>1.2</v>
      </c>
      <c r="AM258" s="52"/>
      <c r="AN258" s="88"/>
    </row>
    <row r="259" spans="1:40" s="29" customFormat="1" ht="17.25" customHeight="1">
      <c r="A259" s="48">
        <v>288</v>
      </c>
      <c r="B259" s="49">
        <f t="shared" si="290"/>
        <v>45802</v>
      </c>
      <c r="C259" s="220">
        <f t="shared" si="291"/>
        <v>1049</v>
      </c>
      <c r="D259" s="220">
        <f t="shared" si="257"/>
        <v>1144</v>
      </c>
      <c r="E259" s="220">
        <f t="shared" si="371"/>
        <v>2193</v>
      </c>
      <c r="F259" s="220">
        <f t="shared" si="372"/>
        <v>59</v>
      </c>
      <c r="G259" s="220">
        <f t="shared" si="373"/>
        <v>303</v>
      </c>
      <c r="H259" s="220">
        <f t="shared" si="374"/>
        <v>633</v>
      </c>
      <c r="I259" s="220">
        <f t="shared" si="375"/>
        <v>373</v>
      </c>
      <c r="J259" s="220">
        <f t="shared" si="376"/>
        <v>101</v>
      </c>
      <c r="K259" s="220">
        <f t="shared" si="377"/>
        <v>2134</v>
      </c>
      <c r="L259" s="220">
        <f t="shared" si="378"/>
        <v>1890</v>
      </c>
      <c r="M259" s="220">
        <f t="shared" si="379"/>
        <v>1560</v>
      </c>
      <c r="N259" s="220">
        <f t="shared" si="380"/>
        <v>1820</v>
      </c>
      <c r="O259" s="220">
        <f t="shared" si="381"/>
        <v>2092</v>
      </c>
      <c r="P259" s="220">
        <f t="shared" ref="P259:T259" si="393">+P258</f>
        <v>2000</v>
      </c>
      <c r="Q259" s="220">
        <f t="shared" si="393"/>
        <v>2000</v>
      </c>
      <c r="R259" s="220">
        <f t="shared" si="393"/>
        <v>2000</v>
      </c>
      <c r="S259" s="220">
        <f t="shared" si="393"/>
        <v>2000</v>
      </c>
      <c r="T259" s="220">
        <f t="shared" si="393"/>
        <v>2000</v>
      </c>
      <c r="U259" s="220">
        <f t="shared" si="383"/>
        <v>134</v>
      </c>
      <c r="V259" s="220">
        <f t="shared" si="384"/>
        <v>-110</v>
      </c>
      <c r="W259" s="220">
        <f t="shared" si="385"/>
        <v>-440</v>
      </c>
      <c r="X259" s="220">
        <f t="shared" si="386"/>
        <v>-180</v>
      </c>
      <c r="Y259" s="220">
        <f t="shared" si="387"/>
        <v>92</v>
      </c>
      <c r="Z259" s="220">
        <v>2</v>
      </c>
      <c r="AA259" s="220">
        <v>3</v>
      </c>
      <c r="AB259" s="220">
        <v>3</v>
      </c>
      <c r="AC259" s="220">
        <v>2</v>
      </c>
      <c r="AD259" s="220">
        <v>2</v>
      </c>
      <c r="AE259" s="220">
        <f t="shared" si="388"/>
        <v>-519</v>
      </c>
      <c r="AF259" s="220">
        <f t="shared" si="389"/>
        <v>-693</v>
      </c>
      <c r="AG259" s="220">
        <f t="shared" si="390"/>
        <v>-901</v>
      </c>
      <c r="AH259" s="220">
        <f t="shared" si="391"/>
        <v>-674</v>
      </c>
      <c r="AI259" s="220">
        <f t="shared" si="392"/>
        <v>-471</v>
      </c>
      <c r="AJ259" s="50">
        <f t="shared" si="340"/>
        <v>1.9560000000000084</v>
      </c>
      <c r="AK259" s="257"/>
      <c r="AL259" s="257">
        <f t="shared" si="341"/>
        <v>1.2</v>
      </c>
      <c r="AM259" s="52"/>
      <c r="AN259" s="88"/>
    </row>
    <row r="260" spans="1:40" s="29" customFormat="1" ht="17.25" customHeight="1">
      <c r="A260" s="48">
        <v>289</v>
      </c>
      <c r="B260" s="49">
        <f t="shared" si="290"/>
        <v>45803</v>
      </c>
      <c r="C260" s="220">
        <f t="shared" si="291"/>
        <v>1049</v>
      </c>
      <c r="D260" s="220">
        <f t="shared" si="257"/>
        <v>1118</v>
      </c>
      <c r="E260" s="220">
        <f t="shared" si="371"/>
        <v>2167</v>
      </c>
      <c r="F260" s="220">
        <f t="shared" si="372"/>
        <v>35</v>
      </c>
      <c r="G260" s="220">
        <f t="shared" si="373"/>
        <v>280</v>
      </c>
      <c r="H260" s="220">
        <f t="shared" si="374"/>
        <v>610</v>
      </c>
      <c r="I260" s="220">
        <f t="shared" si="375"/>
        <v>350</v>
      </c>
      <c r="J260" s="220">
        <f t="shared" si="376"/>
        <v>78</v>
      </c>
      <c r="K260" s="220">
        <f t="shared" si="377"/>
        <v>2132</v>
      </c>
      <c r="L260" s="220">
        <f t="shared" si="378"/>
        <v>1887</v>
      </c>
      <c r="M260" s="220">
        <f t="shared" si="379"/>
        <v>1557</v>
      </c>
      <c r="N260" s="220">
        <f t="shared" si="380"/>
        <v>1817</v>
      </c>
      <c r="O260" s="220">
        <f t="shared" si="381"/>
        <v>2089</v>
      </c>
      <c r="P260" s="220">
        <f t="shared" ref="P260:T260" si="394">+P259</f>
        <v>2000</v>
      </c>
      <c r="Q260" s="220">
        <f t="shared" si="394"/>
        <v>2000</v>
      </c>
      <c r="R260" s="220">
        <f t="shared" si="394"/>
        <v>2000</v>
      </c>
      <c r="S260" s="220">
        <f t="shared" si="394"/>
        <v>2000</v>
      </c>
      <c r="T260" s="220">
        <f t="shared" si="394"/>
        <v>2000</v>
      </c>
      <c r="U260" s="220">
        <f t="shared" si="383"/>
        <v>132</v>
      </c>
      <c r="V260" s="220">
        <f t="shared" si="384"/>
        <v>-113</v>
      </c>
      <c r="W260" s="220">
        <f t="shared" si="385"/>
        <v>-443</v>
      </c>
      <c r="X260" s="220">
        <f t="shared" si="386"/>
        <v>-183</v>
      </c>
      <c r="Y260" s="220">
        <f t="shared" si="387"/>
        <v>89</v>
      </c>
      <c r="Z260" s="220">
        <v>2</v>
      </c>
      <c r="AA260" s="220">
        <v>3</v>
      </c>
      <c r="AB260" s="220">
        <v>3</v>
      </c>
      <c r="AC260" s="220">
        <v>3</v>
      </c>
      <c r="AD260" s="220">
        <v>3</v>
      </c>
      <c r="AE260" s="220">
        <f t="shared" si="388"/>
        <v>-521</v>
      </c>
      <c r="AF260" s="220">
        <f t="shared" si="389"/>
        <v>-696</v>
      </c>
      <c r="AG260" s="220">
        <f t="shared" si="390"/>
        <v>-904</v>
      </c>
      <c r="AH260" s="220">
        <f t="shared" si="391"/>
        <v>-677</v>
      </c>
      <c r="AI260" s="220">
        <f t="shared" si="392"/>
        <v>-474</v>
      </c>
      <c r="AJ260" s="50">
        <f t="shared" si="340"/>
        <v>1.9530000000000085</v>
      </c>
      <c r="AK260" s="257"/>
      <c r="AL260" s="257">
        <f t="shared" si="341"/>
        <v>1.2</v>
      </c>
      <c r="AM260" s="52"/>
      <c r="AN260" s="88"/>
    </row>
    <row r="261" spans="1:40" s="29" customFormat="1" ht="17.25" customHeight="1">
      <c r="A261" s="48">
        <v>290</v>
      </c>
      <c r="B261" s="49">
        <f t="shared" si="290"/>
        <v>45804</v>
      </c>
      <c r="C261" s="220">
        <f t="shared" si="291"/>
        <v>1049</v>
      </c>
      <c r="D261" s="220">
        <f t="shared" si="257"/>
        <v>1092</v>
      </c>
      <c r="E261" s="220">
        <f t="shared" si="371"/>
        <v>2141</v>
      </c>
      <c r="F261" s="220">
        <f t="shared" si="372"/>
        <v>12</v>
      </c>
      <c r="G261" s="220">
        <f t="shared" si="373"/>
        <v>256</v>
      </c>
      <c r="H261" s="220">
        <f t="shared" si="374"/>
        <v>588</v>
      </c>
      <c r="I261" s="220">
        <f t="shared" si="375"/>
        <v>327</v>
      </c>
      <c r="J261" s="220">
        <f t="shared" si="376"/>
        <v>55</v>
      </c>
      <c r="K261" s="220">
        <f t="shared" si="377"/>
        <v>2129</v>
      </c>
      <c r="L261" s="220">
        <f t="shared" si="378"/>
        <v>1885</v>
      </c>
      <c r="M261" s="220">
        <f t="shared" si="379"/>
        <v>1553</v>
      </c>
      <c r="N261" s="220">
        <f t="shared" si="380"/>
        <v>1814</v>
      </c>
      <c r="O261" s="220">
        <f t="shared" si="381"/>
        <v>2086</v>
      </c>
      <c r="P261" s="220">
        <f t="shared" ref="P261:T261" si="395">+P260</f>
        <v>2000</v>
      </c>
      <c r="Q261" s="220">
        <f t="shared" si="395"/>
        <v>2000</v>
      </c>
      <c r="R261" s="220">
        <f t="shared" si="395"/>
        <v>2000</v>
      </c>
      <c r="S261" s="220">
        <f t="shared" si="395"/>
        <v>2000</v>
      </c>
      <c r="T261" s="220">
        <f t="shared" si="395"/>
        <v>2000</v>
      </c>
      <c r="U261" s="220">
        <f t="shared" si="383"/>
        <v>129</v>
      </c>
      <c r="V261" s="220">
        <f t="shared" si="384"/>
        <v>-115</v>
      </c>
      <c r="W261" s="220">
        <f t="shared" si="385"/>
        <v>-447</v>
      </c>
      <c r="X261" s="220">
        <f t="shared" si="386"/>
        <v>-186</v>
      </c>
      <c r="Y261" s="220">
        <f t="shared" si="387"/>
        <v>86</v>
      </c>
      <c r="Z261" s="220">
        <v>3</v>
      </c>
      <c r="AA261" s="220">
        <v>2</v>
      </c>
      <c r="AB261" s="220">
        <v>4</v>
      </c>
      <c r="AC261" s="220">
        <v>3</v>
      </c>
      <c r="AD261" s="220">
        <v>3</v>
      </c>
      <c r="AE261" s="220">
        <f t="shared" si="388"/>
        <v>-524</v>
      </c>
      <c r="AF261" s="220">
        <f t="shared" si="389"/>
        <v>-698</v>
      </c>
      <c r="AG261" s="220">
        <f t="shared" si="390"/>
        <v>-908</v>
      </c>
      <c r="AH261" s="220">
        <f t="shared" si="391"/>
        <v>-680</v>
      </c>
      <c r="AI261" s="220">
        <f t="shared" si="392"/>
        <v>-477</v>
      </c>
      <c r="AJ261" s="50">
        <f t="shared" si="340"/>
        <v>1.9490000000000085</v>
      </c>
      <c r="AK261" s="257"/>
      <c r="AL261" s="257">
        <f t="shared" si="341"/>
        <v>1.2</v>
      </c>
      <c r="AM261" s="52"/>
      <c r="AN261" s="88"/>
    </row>
    <row r="262" spans="1:40" s="29" customFormat="1" ht="17.25" customHeight="1">
      <c r="A262" s="48">
        <v>291</v>
      </c>
      <c r="B262" s="49">
        <f t="shared" si="290"/>
        <v>45805</v>
      </c>
      <c r="C262" s="220">
        <f t="shared" si="291"/>
        <v>1049</v>
      </c>
      <c r="D262" s="220">
        <f t="shared" si="257"/>
        <v>1066</v>
      </c>
      <c r="E262" s="220">
        <f t="shared" si="371"/>
        <v>2115</v>
      </c>
      <c r="F262" s="220">
        <f t="shared" si="372"/>
        <v>-12</v>
      </c>
      <c r="G262" s="220">
        <f t="shared" si="373"/>
        <v>232</v>
      </c>
      <c r="H262" s="220">
        <f t="shared" si="374"/>
        <v>566</v>
      </c>
      <c r="I262" s="220">
        <f t="shared" si="375"/>
        <v>303</v>
      </c>
      <c r="J262" s="220">
        <f t="shared" si="376"/>
        <v>32</v>
      </c>
      <c r="K262" s="220">
        <f t="shared" si="377"/>
        <v>2127</v>
      </c>
      <c r="L262" s="220">
        <f t="shared" si="378"/>
        <v>1883</v>
      </c>
      <c r="M262" s="220">
        <f t="shared" si="379"/>
        <v>1549</v>
      </c>
      <c r="N262" s="220">
        <f t="shared" si="380"/>
        <v>1812</v>
      </c>
      <c r="O262" s="220">
        <f t="shared" si="381"/>
        <v>2083</v>
      </c>
      <c r="P262" s="220">
        <f t="shared" ref="P262:T263" si="396">+P261</f>
        <v>2000</v>
      </c>
      <c r="Q262" s="220">
        <f t="shared" si="396"/>
        <v>2000</v>
      </c>
      <c r="R262" s="220">
        <f t="shared" si="396"/>
        <v>2000</v>
      </c>
      <c r="S262" s="220">
        <f t="shared" si="396"/>
        <v>2000</v>
      </c>
      <c r="T262" s="220">
        <f t="shared" si="396"/>
        <v>2000</v>
      </c>
      <c r="U262" s="220">
        <f t="shared" si="383"/>
        <v>127</v>
      </c>
      <c r="V262" s="220">
        <f t="shared" si="384"/>
        <v>-117</v>
      </c>
      <c r="W262" s="220">
        <f t="shared" si="385"/>
        <v>-451</v>
      </c>
      <c r="X262" s="220">
        <f t="shared" si="386"/>
        <v>-188</v>
      </c>
      <c r="Y262" s="220">
        <f t="shared" si="387"/>
        <v>83</v>
      </c>
      <c r="Z262" s="220">
        <v>2</v>
      </c>
      <c r="AA262" s="220">
        <v>2</v>
      </c>
      <c r="AB262" s="220">
        <v>4</v>
      </c>
      <c r="AC262" s="220">
        <v>2</v>
      </c>
      <c r="AD262" s="220">
        <v>3</v>
      </c>
      <c r="AE262" s="220">
        <f t="shared" si="388"/>
        <v>-526</v>
      </c>
      <c r="AF262" s="220">
        <f t="shared" si="389"/>
        <v>-700</v>
      </c>
      <c r="AG262" s="220">
        <f t="shared" si="390"/>
        <v>-912</v>
      </c>
      <c r="AH262" s="220">
        <f t="shared" si="391"/>
        <v>-682</v>
      </c>
      <c r="AI262" s="220">
        <f t="shared" si="392"/>
        <v>-480</v>
      </c>
      <c r="AJ262" s="50">
        <f t="shared" si="340"/>
        <v>1.9450000000000085</v>
      </c>
      <c r="AK262" s="257"/>
      <c r="AL262" s="257">
        <f t="shared" si="341"/>
        <v>1.2</v>
      </c>
      <c r="AM262" s="52"/>
      <c r="AN262" s="88"/>
    </row>
    <row r="263" spans="1:40" s="29" customFormat="1" ht="17.25" customHeight="1">
      <c r="A263" s="48">
        <v>292</v>
      </c>
      <c r="B263" s="49">
        <f t="shared" si="290"/>
        <v>45806</v>
      </c>
      <c r="C263" s="220">
        <f t="shared" si="291"/>
        <v>1049</v>
      </c>
      <c r="D263" s="220">
        <f t="shared" si="257"/>
        <v>1040</v>
      </c>
      <c r="E263" s="220">
        <f t="shared" si="371"/>
        <v>2089</v>
      </c>
      <c r="F263" s="220">
        <f t="shared" si="372"/>
        <v>-35</v>
      </c>
      <c r="G263" s="220">
        <f t="shared" si="373"/>
        <v>209</v>
      </c>
      <c r="H263" s="220">
        <f t="shared" si="374"/>
        <v>543</v>
      </c>
      <c r="I263" s="220">
        <f t="shared" si="375"/>
        <v>280</v>
      </c>
      <c r="J263" s="220">
        <f t="shared" si="376"/>
        <v>7</v>
      </c>
      <c r="K263" s="220">
        <f t="shared" si="377"/>
        <v>2124</v>
      </c>
      <c r="L263" s="220">
        <f t="shared" si="378"/>
        <v>1880</v>
      </c>
      <c r="M263" s="220">
        <f t="shared" si="379"/>
        <v>1546</v>
      </c>
      <c r="N263" s="220">
        <f t="shared" si="380"/>
        <v>1809</v>
      </c>
      <c r="O263" s="220">
        <f t="shared" si="381"/>
        <v>2082</v>
      </c>
      <c r="P263" s="220">
        <f t="shared" si="396"/>
        <v>2000</v>
      </c>
      <c r="Q263" s="220">
        <f t="shared" si="396"/>
        <v>2000</v>
      </c>
      <c r="R263" s="220">
        <f t="shared" si="396"/>
        <v>2000</v>
      </c>
      <c r="S263" s="220">
        <f t="shared" si="396"/>
        <v>2000</v>
      </c>
      <c r="T263" s="220">
        <f t="shared" si="396"/>
        <v>2000</v>
      </c>
      <c r="U263" s="220">
        <f t="shared" si="383"/>
        <v>124</v>
      </c>
      <c r="V263" s="220">
        <f t="shared" si="384"/>
        <v>-120</v>
      </c>
      <c r="W263" s="220">
        <f t="shared" si="385"/>
        <v>-454</v>
      </c>
      <c r="X263" s="220">
        <f t="shared" si="386"/>
        <v>-191</v>
      </c>
      <c r="Y263" s="220">
        <f t="shared" si="387"/>
        <v>82</v>
      </c>
      <c r="Z263" s="220">
        <v>3</v>
      </c>
      <c r="AA263" s="220">
        <v>3</v>
      </c>
      <c r="AB263" s="220">
        <v>3</v>
      </c>
      <c r="AC263" s="220">
        <v>3</v>
      </c>
      <c r="AD263" s="220">
        <v>1</v>
      </c>
      <c r="AE263" s="220">
        <f t="shared" si="388"/>
        <v>-529</v>
      </c>
      <c r="AF263" s="220">
        <f t="shared" si="389"/>
        <v>-703</v>
      </c>
      <c r="AG263" s="220">
        <f t="shared" si="390"/>
        <v>-915</v>
      </c>
      <c r="AH263" s="220">
        <f t="shared" si="391"/>
        <v>-685</v>
      </c>
      <c r="AI263" s="220">
        <f t="shared" si="392"/>
        <v>-481</v>
      </c>
      <c r="AJ263" s="50">
        <f t="shared" si="340"/>
        <v>1.9420000000000086</v>
      </c>
      <c r="AK263" s="257"/>
      <c r="AL263" s="257">
        <f t="shared" si="341"/>
        <v>1.2</v>
      </c>
      <c r="AM263" s="52"/>
      <c r="AN263" s="88"/>
    </row>
    <row r="264" spans="1:40" s="29" customFormat="1" ht="17.25" customHeight="1">
      <c r="A264" s="48">
        <v>293</v>
      </c>
      <c r="B264" s="49">
        <f t="shared" si="290"/>
        <v>45807</v>
      </c>
      <c r="C264" s="220">
        <f t="shared" si="291"/>
        <v>1049</v>
      </c>
      <c r="D264" s="220">
        <f t="shared" si="257"/>
        <v>1014</v>
      </c>
      <c r="E264" s="220">
        <f t="shared" ref="E264:E265" si="397">+C264+D264</f>
        <v>2063</v>
      </c>
      <c r="F264" s="220">
        <f t="shared" ref="F264:F265" si="398">E264-K264</f>
        <v>-59</v>
      </c>
      <c r="G264" s="220">
        <f t="shared" ref="G264:G265" si="399">E264-L264</f>
        <v>185</v>
      </c>
      <c r="H264" s="220">
        <f t="shared" ref="H264:H265" si="400">E264-M264</f>
        <v>521</v>
      </c>
      <c r="I264" s="220">
        <f t="shared" ref="I264:I265" si="401">E264-N264</f>
        <v>257</v>
      </c>
      <c r="J264" s="220">
        <f t="shared" ref="J264:J265" si="402">E264-O264</f>
        <v>-16</v>
      </c>
      <c r="K264" s="220">
        <f t="shared" ref="K264:K265" si="403">P264+U264</f>
        <v>2122</v>
      </c>
      <c r="L264" s="220">
        <f t="shared" ref="L264:L265" si="404">Q264+V264</f>
        <v>1878</v>
      </c>
      <c r="M264" s="220">
        <f t="shared" ref="M264:M265" si="405">R264+W264</f>
        <v>1542</v>
      </c>
      <c r="N264" s="220">
        <f t="shared" ref="N264:N265" si="406">S264+X264</f>
        <v>1806</v>
      </c>
      <c r="O264" s="220">
        <f t="shared" ref="O264:O265" si="407">T264+Y264</f>
        <v>2079</v>
      </c>
      <c r="P264" s="220">
        <f t="shared" ref="P264:T264" si="408">+P263</f>
        <v>2000</v>
      </c>
      <c r="Q264" s="220">
        <f t="shared" si="408"/>
        <v>2000</v>
      </c>
      <c r="R264" s="220">
        <f t="shared" si="408"/>
        <v>2000</v>
      </c>
      <c r="S264" s="220">
        <f t="shared" si="408"/>
        <v>2000</v>
      </c>
      <c r="T264" s="220">
        <f t="shared" si="408"/>
        <v>2000</v>
      </c>
      <c r="U264" s="220">
        <f t="shared" ref="U264:U265" si="409">U263-Z264</f>
        <v>122</v>
      </c>
      <c r="V264" s="220">
        <f t="shared" ref="V264:V265" si="410">V263-AA264</f>
        <v>-122</v>
      </c>
      <c r="W264" s="220">
        <f t="shared" ref="W264:W265" si="411">W263-AB264</f>
        <v>-458</v>
      </c>
      <c r="X264" s="220">
        <f t="shared" ref="X264:X265" si="412">X263-AC264</f>
        <v>-194</v>
      </c>
      <c r="Y264" s="220">
        <f t="shared" ref="Y264:Y265" si="413">Y263-AD264</f>
        <v>79</v>
      </c>
      <c r="Z264" s="220">
        <v>2</v>
      </c>
      <c r="AA264" s="220">
        <v>2</v>
      </c>
      <c r="AB264" s="220">
        <v>4</v>
      </c>
      <c r="AC264" s="220">
        <v>3</v>
      </c>
      <c r="AD264" s="220">
        <v>3</v>
      </c>
      <c r="AE264" s="220">
        <f t="shared" ref="AE264:AE265" si="414">AE263-Z264</f>
        <v>-531</v>
      </c>
      <c r="AF264" s="220">
        <f t="shared" ref="AF264:AF265" si="415">AF263-AA264</f>
        <v>-705</v>
      </c>
      <c r="AG264" s="220">
        <f t="shared" ref="AG264:AG265" si="416">AG263-AB264</f>
        <v>-919</v>
      </c>
      <c r="AH264" s="220">
        <f t="shared" ref="AH264:AH265" si="417">AH263-AC264</f>
        <v>-688</v>
      </c>
      <c r="AI264" s="220">
        <f t="shared" ref="AI264:AI265" si="418">AI263-AD264</f>
        <v>-484</v>
      </c>
      <c r="AJ264" s="50">
        <f t="shared" ref="AJ264:AJ265" si="419">AJ263-AB264/1000+AK283</f>
        <v>1.9380000000000086</v>
      </c>
      <c r="AK264" s="257"/>
      <c r="AL264" s="257">
        <f t="shared" ref="AL264:AL265" si="420">AL263+AK283</f>
        <v>1.2</v>
      </c>
      <c r="AM264" s="52"/>
      <c r="AN264" s="88"/>
    </row>
    <row r="265" spans="1:40" s="29" customFormat="1" ht="17.25" customHeight="1">
      <c r="A265" s="48">
        <v>294</v>
      </c>
      <c r="B265" s="49">
        <f t="shared" si="290"/>
        <v>45808</v>
      </c>
      <c r="C265" s="220">
        <f t="shared" si="291"/>
        <v>1049</v>
      </c>
      <c r="D265" s="220">
        <f t="shared" ref="D265" si="421">D264-26</f>
        <v>988</v>
      </c>
      <c r="E265" s="220">
        <f t="shared" si="397"/>
        <v>2037</v>
      </c>
      <c r="F265" s="220">
        <f t="shared" si="398"/>
        <v>-83</v>
      </c>
      <c r="G265" s="220">
        <f t="shared" si="399"/>
        <v>162</v>
      </c>
      <c r="H265" s="220">
        <f t="shared" si="400"/>
        <v>498</v>
      </c>
      <c r="I265" s="220">
        <f t="shared" si="401"/>
        <v>234</v>
      </c>
      <c r="J265" s="220">
        <f t="shared" si="402"/>
        <v>-39</v>
      </c>
      <c r="K265" s="220">
        <f t="shared" si="403"/>
        <v>2120</v>
      </c>
      <c r="L265" s="220">
        <f t="shared" si="404"/>
        <v>1875</v>
      </c>
      <c r="M265" s="220">
        <f t="shared" si="405"/>
        <v>1539</v>
      </c>
      <c r="N265" s="220">
        <f t="shared" si="406"/>
        <v>1803</v>
      </c>
      <c r="O265" s="220">
        <f t="shared" si="407"/>
        <v>2076</v>
      </c>
      <c r="P265" s="220">
        <f t="shared" ref="P265:T265" si="422">+P264</f>
        <v>2000</v>
      </c>
      <c r="Q265" s="220">
        <f t="shared" si="422"/>
        <v>2000</v>
      </c>
      <c r="R265" s="220">
        <f t="shared" si="422"/>
        <v>2000</v>
      </c>
      <c r="S265" s="220">
        <f t="shared" si="422"/>
        <v>2000</v>
      </c>
      <c r="T265" s="220">
        <f t="shared" si="422"/>
        <v>2000</v>
      </c>
      <c r="U265" s="220">
        <f t="shared" si="409"/>
        <v>120</v>
      </c>
      <c r="V265" s="220">
        <f t="shared" si="410"/>
        <v>-125</v>
      </c>
      <c r="W265" s="220">
        <f t="shared" si="411"/>
        <v>-461</v>
      </c>
      <c r="X265" s="220">
        <f t="shared" si="412"/>
        <v>-197</v>
      </c>
      <c r="Y265" s="220">
        <f t="shared" si="413"/>
        <v>76</v>
      </c>
      <c r="Z265" s="220">
        <v>2</v>
      </c>
      <c r="AA265" s="220">
        <v>3</v>
      </c>
      <c r="AB265" s="220">
        <v>3</v>
      </c>
      <c r="AC265" s="220">
        <v>3</v>
      </c>
      <c r="AD265" s="220">
        <v>3</v>
      </c>
      <c r="AE265" s="220">
        <f t="shared" si="414"/>
        <v>-533</v>
      </c>
      <c r="AF265" s="220">
        <f t="shared" si="415"/>
        <v>-708</v>
      </c>
      <c r="AG265" s="220">
        <f t="shared" si="416"/>
        <v>-922</v>
      </c>
      <c r="AH265" s="220">
        <f t="shared" si="417"/>
        <v>-691</v>
      </c>
      <c r="AI265" s="220">
        <f t="shared" si="418"/>
        <v>-487</v>
      </c>
      <c r="AJ265" s="50">
        <f t="shared" si="419"/>
        <v>1.9350000000000087</v>
      </c>
      <c r="AK265" s="257"/>
      <c r="AL265" s="257">
        <f t="shared" si="420"/>
        <v>1.2</v>
      </c>
      <c r="AM265" s="52"/>
      <c r="AN265" s="88"/>
    </row>
    <row r="266" spans="1:40" s="29" customFormat="1" ht="17.25" customHeight="1">
      <c r="A266" s="48"/>
      <c r="B266" s="49"/>
      <c r="C266" s="220"/>
      <c r="D266" s="220"/>
      <c r="E266" s="220"/>
      <c r="F266" s="220"/>
      <c r="G266" s="220"/>
      <c r="H266" s="220"/>
      <c r="I266" s="220"/>
      <c r="J266" s="220"/>
      <c r="K266" s="220"/>
      <c r="L266" s="220"/>
      <c r="M266" s="220"/>
      <c r="N266" s="220"/>
      <c r="O266" s="220"/>
      <c r="P266" s="220"/>
      <c r="Q266" s="220"/>
      <c r="R266" s="220"/>
      <c r="S266" s="220"/>
      <c r="T266" s="220"/>
      <c r="U266" s="220"/>
      <c r="V266" s="220"/>
      <c r="W266" s="220"/>
      <c r="X266" s="220"/>
      <c r="Y266" s="220"/>
      <c r="Z266" s="220"/>
      <c r="AA266" s="220"/>
      <c r="AB266" s="220"/>
      <c r="AC266" s="220"/>
      <c r="AD266" s="220"/>
      <c r="AE266" s="220"/>
      <c r="AF266" s="220"/>
      <c r="AG266" s="220"/>
      <c r="AH266" s="220"/>
      <c r="AI266" s="220"/>
      <c r="AJ266" s="50"/>
      <c r="AK266" s="257"/>
      <c r="AL266" s="257"/>
      <c r="AM266" s="52"/>
      <c r="AN266" s="88"/>
    </row>
    <row r="267" spans="1:40" s="29" customFormat="1" ht="17.25" customHeight="1">
      <c r="A267" s="48"/>
      <c r="B267" s="49"/>
      <c r="C267" s="220"/>
      <c r="D267" s="220"/>
      <c r="E267" s="220"/>
      <c r="F267" s="220"/>
      <c r="G267" s="220"/>
      <c r="H267" s="220"/>
      <c r="I267" s="220"/>
      <c r="J267" s="220"/>
      <c r="K267" s="220"/>
      <c r="L267" s="220"/>
      <c r="M267" s="220"/>
      <c r="N267" s="220"/>
      <c r="O267" s="220"/>
      <c r="P267" s="220"/>
      <c r="Q267" s="220"/>
      <c r="R267" s="220"/>
      <c r="S267" s="220"/>
      <c r="T267" s="220"/>
      <c r="U267" s="220"/>
      <c r="V267" s="220"/>
      <c r="W267" s="220"/>
      <c r="X267" s="220"/>
      <c r="Y267" s="220"/>
      <c r="Z267" s="220"/>
      <c r="AA267" s="220"/>
      <c r="AB267" s="220"/>
      <c r="AC267" s="220"/>
      <c r="AD267" s="220"/>
      <c r="AE267" s="220"/>
      <c r="AF267" s="220"/>
      <c r="AG267" s="220"/>
      <c r="AH267" s="220"/>
      <c r="AI267" s="220"/>
      <c r="AJ267" s="50"/>
      <c r="AK267" s="257"/>
      <c r="AL267" s="257"/>
      <c r="AM267" s="52"/>
      <c r="AN267" s="88"/>
    </row>
    <row r="268" spans="1:40" s="29" customFormat="1" ht="17.25" customHeight="1">
      <c r="A268" s="48"/>
      <c r="B268" s="49"/>
      <c r="C268" s="220"/>
      <c r="D268" s="220"/>
      <c r="E268" s="220"/>
      <c r="F268" s="220"/>
      <c r="G268" s="220"/>
      <c r="H268" s="220"/>
      <c r="I268" s="220"/>
      <c r="J268" s="220"/>
      <c r="K268" s="220"/>
      <c r="L268" s="220"/>
      <c r="M268" s="220"/>
      <c r="N268" s="220"/>
      <c r="O268" s="220"/>
      <c r="P268" s="220"/>
      <c r="Q268" s="220"/>
      <c r="R268" s="220"/>
      <c r="S268" s="220"/>
      <c r="T268" s="220"/>
      <c r="U268" s="220"/>
      <c r="V268" s="220"/>
      <c r="W268" s="220"/>
      <c r="X268" s="220"/>
      <c r="Y268" s="220"/>
      <c r="Z268" s="220">
        <f>SUM(Z11:Z265)</f>
        <v>533</v>
      </c>
      <c r="AA268" s="220">
        <f t="shared" ref="AA268:AD268" si="423">SUM(AA11:AA265)</f>
        <v>708</v>
      </c>
      <c r="AB268" s="220">
        <f t="shared" si="423"/>
        <v>922</v>
      </c>
      <c r="AC268" s="220">
        <f t="shared" si="423"/>
        <v>691</v>
      </c>
      <c r="AD268" s="220">
        <f t="shared" si="423"/>
        <v>487</v>
      </c>
      <c r="AE268" s="220"/>
      <c r="AF268" s="220"/>
      <c r="AG268" s="220"/>
      <c r="AH268" s="220"/>
      <c r="AI268" s="220"/>
      <c r="AJ268" s="50"/>
      <c r="AK268" s="257"/>
      <c r="AL268" s="257"/>
      <c r="AM268" s="52"/>
      <c r="AN268" s="88"/>
    </row>
    <row r="269" spans="1:40" s="29" customFormat="1" ht="17.25" customHeight="1">
      <c r="A269" s="48"/>
      <c r="B269" s="49"/>
      <c r="C269" s="220"/>
      <c r="D269" s="220"/>
      <c r="E269" s="220"/>
      <c r="F269" s="220"/>
      <c r="G269" s="220"/>
      <c r="H269" s="220"/>
      <c r="I269" s="220"/>
      <c r="J269" s="220"/>
      <c r="K269" s="220"/>
      <c r="L269" s="220"/>
      <c r="M269" s="220"/>
      <c r="N269" s="220"/>
      <c r="O269" s="220"/>
      <c r="P269" s="220"/>
      <c r="Q269" s="220"/>
      <c r="R269" s="220"/>
      <c r="S269" s="220"/>
      <c r="T269" s="220"/>
      <c r="U269" s="220"/>
      <c r="V269" s="220"/>
      <c r="W269" s="220"/>
      <c r="X269" s="220"/>
      <c r="Y269" s="220"/>
      <c r="Z269" s="220"/>
      <c r="AA269" s="220"/>
      <c r="AB269" s="220"/>
      <c r="AC269" s="220"/>
      <c r="AD269" s="220"/>
      <c r="AE269" s="220"/>
      <c r="AF269" s="220"/>
      <c r="AG269" s="220"/>
      <c r="AH269" s="220"/>
      <c r="AI269" s="220"/>
      <c r="AJ269" s="50"/>
      <c r="AK269" s="257"/>
      <c r="AL269" s="257"/>
      <c r="AM269" s="52"/>
      <c r="AN269" s="88"/>
    </row>
    <row r="270" spans="1:40" s="29" customFormat="1" ht="17.25" customHeight="1">
      <c r="A270" s="48"/>
      <c r="B270" s="49"/>
      <c r="C270" s="220"/>
      <c r="D270" s="220"/>
      <c r="E270" s="220"/>
      <c r="F270" s="220"/>
      <c r="G270" s="220"/>
      <c r="H270" s="220"/>
      <c r="I270" s="220"/>
      <c r="J270" s="220"/>
      <c r="K270" s="220"/>
      <c r="L270" s="220"/>
      <c r="M270" s="220"/>
      <c r="N270" s="220"/>
      <c r="O270" s="220"/>
      <c r="P270" s="220"/>
      <c r="Q270" s="220"/>
      <c r="R270" s="220"/>
      <c r="S270" s="220"/>
      <c r="T270" s="220"/>
      <c r="U270" s="220"/>
      <c r="V270" s="220"/>
      <c r="W270" s="220"/>
      <c r="X270" s="220"/>
      <c r="Y270" s="220"/>
      <c r="Z270" s="220">
        <v>533</v>
      </c>
      <c r="AA270" s="220">
        <v>708</v>
      </c>
      <c r="AB270" s="220">
        <v>922</v>
      </c>
      <c r="AC270" s="220">
        <v>691</v>
      </c>
      <c r="AD270" s="220">
        <v>487</v>
      </c>
      <c r="AE270" s="220"/>
      <c r="AF270" s="220"/>
      <c r="AG270" s="220"/>
      <c r="AH270" s="220"/>
      <c r="AI270" s="220"/>
      <c r="AJ270" s="50"/>
      <c r="AK270" s="257"/>
      <c r="AL270" s="257"/>
      <c r="AM270" s="52"/>
      <c r="AN270" s="88"/>
    </row>
    <row r="271" spans="1:40" s="29" customFormat="1" ht="17.25" customHeight="1">
      <c r="A271" s="48"/>
      <c r="B271" s="49"/>
      <c r="C271" s="220"/>
      <c r="D271" s="220"/>
      <c r="E271" s="220"/>
      <c r="F271" s="220"/>
      <c r="G271" s="220"/>
      <c r="H271" s="220"/>
      <c r="I271" s="220"/>
      <c r="J271" s="220"/>
      <c r="K271" s="220"/>
      <c r="L271" s="220"/>
      <c r="M271" s="220"/>
      <c r="N271" s="220"/>
      <c r="O271" s="220"/>
      <c r="P271" s="220"/>
      <c r="Q271" s="220"/>
      <c r="R271" s="220"/>
      <c r="S271" s="220"/>
      <c r="T271" s="220"/>
      <c r="U271" s="220"/>
      <c r="V271" s="220"/>
      <c r="W271" s="220"/>
      <c r="X271" s="220"/>
      <c r="Y271" s="220"/>
      <c r="Z271" s="220"/>
      <c r="AA271" s="220"/>
      <c r="AB271" s="220"/>
      <c r="AC271" s="220"/>
      <c r="AD271" s="220"/>
      <c r="AE271" s="220"/>
      <c r="AF271" s="220"/>
      <c r="AG271" s="220"/>
      <c r="AH271" s="220"/>
      <c r="AI271" s="220"/>
      <c r="AJ271" s="50"/>
      <c r="AK271" s="257"/>
      <c r="AL271" s="257"/>
      <c r="AM271" s="52"/>
      <c r="AN271" s="88"/>
    </row>
    <row r="272" spans="1:40" s="29" customFormat="1" ht="17.25" customHeight="1">
      <c r="A272" s="48"/>
      <c r="B272" s="49"/>
      <c r="C272" s="220"/>
      <c r="D272" s="220"/>
      <c r="E272" s="220"/>
      <c r="F272" s="220"/>
      <c r="G272" s="220"/>
      <c r="H272" s="220"/>
      <c r="I272" s="220"/>
      <c r="J272" s="220"/>
      <c r="K272" s="220"/>
      <c r="L272" s="220"/>
      <c r="M272" s="220"/>
      <c r="N272" s="220"/>
      <c r="O272" s="220"/>
      <c r="P272" s="220"/>
      <c r="Q272" s="220"/>
      <c r="R272" s="220"/>
      <c r="S272" s="220"/>
      <c r="T272" s="220"/>
      <c r="U272" s="220"/>
      <c r="V272" s="220"/>
      <c r="W272" s="220"/>
      <c r="X272" s="220"/>
      <c r="Y272" s="220"/>
      <c r="Z272" s="220">
        <f>Z268-Z270</f>
        <v>0</v>
      </c>
      <c r="AA272" s="220">
        <f t="shared" ref="AA272:AD272" si="424">AA268-AA270</f>
        <v>0</v>
      </c>
      <c r="AB272" s="220">
        <f t="shared" si="424"/>
        <v>0</v>
      </c>
      <c r="AC272" s="220">
        <f t="shared" si="424"/>
        <v>0</v>
      </c>
      <c r="AD272" s="220">
        <f t="shared" si="424"/>
        <v>0</v>
      </c>
      <c r="AE272" s="220"/>
      <c r="AF272" s="220"/>
      <c r="AG272" s="220"/>
      <c r="AH272" s="220"/>
      <c r="AI272" s="220"/>
      <c r="AJ272" s="50"/>
      <c r="AK272" s="257"/>
      <c r="AL272" s="257"/>
      <c r="AM272" s="52"/>
      <c r="AN272" s="88"/>
    </row>
    <row r="273" spans="1:40" s="29" customFormat="1" ht="17.25" customHeight="1">
      <c r="A273" s="48"/>
      <c r="B273" s="49"/>
      <c r="C273" s="220"/>
      <c r="D273" s="220"/>
      <c r="E273" s="220"/>
      <c r="F273" s="220"/>
      <c r="G273" s="220"/>
      <c r="H273" s="220"/>
      <c r="I273" s="220"/>
      <c r="J273" s="220"/>
      <c r="K273" s="220"/>
      <c r="L273" s="220"/>
      <c r="M273" s="220"/>
      <c r="N273" s="220"/>
      <c r="O273" s="220"/>
      <c r="P273" s="220"/>
      <c r="Q273" s="220"/>
      <c r="R273" s="220"/>
      <c r="S273" s="220"/>
      <c r="T273" s="220"/>
      <c r="U273" s="220"/>
      <c r="V273" s="220"/>
      <c r="W273" s="220"/>
      <c r="X273" s="220"/>
      <c r="Y273" s="220"/>
      <c r="Z273" s="220"/>
      <c r="AA273" s="220"/>
      <c r="AB273" s="220"/>
      <c r="AC273" s="220"/>
      <c r="AD273" s="220"/>
      <c r="AE273" s="220"/>
      <c r="AF273" s="220"/>
      <c r="AG273" s="220"/>
      <c r="AH273" s="220"/>
      <c r="AI273" s="220"/>
      <c r="AJ273" s="50"/>
      <c r="AK273" s="257"/>
      <c r="AL273" s="257"/>
      <c r="AM273" s="52"/>
      <c r="AN273" s="88"/>
    </row>
    <row r="274" spans="1:40" s="29" customFormat="1" ht="17.25" customHeight="1">
      <c r="A274" s="48"/>
      <c r="B274" s="49"/>
      <c r="C274" s="220"/>
      <c r="D274" s="220"/>
      <c r="E274" s="220"/>
      <c r="F274" s="220"/>
      <c r="G274" s="220"/>
      <c r="H274" s="220"/>
      <c r="I274" s="220"/>
      <c r="J274" s="220"/>
      <c r="K274" s="220"/>
      <c r="L274" s="220"/>
      <c r="M274" s="220"/>
      <c r="N274" s="220"/>
      <c r="O274" s="220"/>
      <c r="P274" s="220"/>
      <c r="Q274" s="220"/>
      <c r="R274" s="220"/>
      <c r="S274" s="220"/>
      <c r="T274" s="220"/>
      <c r="U274" s="220"/>
      <c r="V274" s="220"/>
      <c r="W274" s="220"/>
      <c r="X274" s="220"/>
      <c r="Y274" s="220"/>
      <c r="Z274" s="220"/>
      <c r="AA274" s="220"/>
      <c r="AB274" s="220"/>
      <c r="AC274" s="220"/>
      <c r="AD274" s="220"/>
      <c r="AE274" s="220"/>
      <c r="AF274" s="220"/>
      <c r="AG274" s="220"/>
      <c r="AH274" s="220"/>
      <c r="AI274" s="220"/>
      <c r="AJ274" s="50"/>
      <c r="AK274" s="257"/>
      <c r="AL274" s="257"/>
      <c r="AM274" s="52"/>
      <c r="AN274" s="88"/>
    </row>
    <row r="275" spans="1:40" s="29" customFormat="1" ht="17.25" customHeight="1">
      <c r="A275" s="48"/>
      <c r="B275" s="49"/>
      <c r="C275" s="220"/>
      <c r="D275" s="220"/>
      <c r="E275" s="220"/>
      <c r="F275" s="220"/>
      <c r="G275" s="220"/>
      <c r="H275" s="220"/>
      <c r="I275" s="220"/>
      <c r="J275" s="220"/>
      <c r="K275" s="220"/>
      <c r="L275" s="220"/>
      <c r="M275" s="220"/>
      <c r="N275" s="220"/>
      <c r="O275" s="220"/>
      <c r="P275" s="220"/>
      <c r="Q275" s="220"/>
      <c r="R275" s="220"/>
      <c r="S275" s="220"/>
      <c r="T275" s="220"/>
      <c r="U275" s="220"/>
      <c r="V275" s="220"/>
      <c r="W275" s="220"/>
      <c r="X275" s="220"/>
      <c r="Y275" s="220"/>
      <c r="Z275" s="220"/>
      <c r="AA275" s="220"/>
      <c r="AB275" s="220"/>
      <c r="AC275" s="220"/>
      <c r="AD275" s="220"/>
      <c r="AE275" s="220"/>
      <c r="AF275" s="220"/>
      <c r="AG275" s="220"/>
      <c r="AH275" s="220"/>
      <c r="AI275" s="220"/>
      <c r="AJ275" s="50"/>
      <c r="AK275" s="257"/>
      <c r="AL275" s="257"/>
      <c r="AM275" s="52"/>
      <c r="AN275" s="88"/>
    </row>
    <row r="276" spans="1:40" s="29" customFormat="1" ht="17.25" customHeight="1">
      <c r="A276" s="48"/>
      <c r="B276" s="49"/>
      <c r="C276" s="220"/>
      <c r="D276" s="220"/>
      <c r="E276" s="220"/>
      <c r="F276" s="220"/>
      <c r="G276" s="220"/>
      <c r="H276" s="220"/>
      <c r="I276" s="220"/>
      <c r="J276" s="220"/>
      <c r="K276" s="220"/>
      <c r="L276" s="220"/>
      <c r="M276" s="220"/>
      <c r="N276" s="220"/>
      <c r="O276" s="220"/>
      <c r="P276" s="220"/>
      <c r="Q276" s="220"/>
      <c r="R276" s="220"/>
      <c r="S276" s="220"/>
      <c r="T276" s="220"/>
      <c r="U276" s="220"/>
      <c r="V276" s="220"/>
      <c r="W276" s="220"/>
      <c r="X276" s="220"/>
      <c r="Y276" s="220"/>
      <c r="Z276" s="220"/>
      <c r="AA276" s="220"/>
      <c r="AB276" s="220"/>
      <c r="AC276" s="220"/>
      <c r="AD276" s="220"/>
      <c r="AE276" s="220"/>
      <c r="AF276" s="220"/>
      <c r="AG276" s="220"/>
      <c r="AH276" s="220"/>
      <c r="AI276" s="220"/>
      <c r="AJ276" s="50"/>
      <c r="AK276" s="257"/>
      <c r="AL276" s="257"/>
      <c r="AM276" s="52"/>
      <c r="AN276" s="88"/>
    </row>
    <row r="277" spans="1:40" s="29" customFormat="1" ht="17.25" customHeight="1">
      <c r="A277" s="48"/>
      <c r="B277" s="49"/>
      <c r="C277" s="220"/>
      <c r="D277" s="220"/>
      <c r="E277" s="220"/>
      <c r="F277" s="220"/>
      <c r="G277" s="220"/>
      <c r="H277" s="220"/>
      <c r="I277" s="220"/>
      <c r="J277" s="220"/>
      <c r="K277" s="220"/>
      <c r="L277" s="220"/>
      <c r="M277" s="220"/>
      <c r="N277" s="220"/>
      <c r="O277" s="220"/>
      <c r="P277" s="220"/>
      <c r="Q277" s="220"/>
      <c r="R277" s="220"/>
      <c r="S277" s="220"/>
      <c r="T277" s="220"/>
      <c r="U277" s="220"/>
      <c r="V277" s="220"/>
      <c r="W277" s="220"/>
      <c r="X277" s="220"/>
      <c r="Y277" s="220"/>
      <c r="Z277" s="220"/>
      <c r="AA277" s="220"/>
      <c r="AB277" s="220"/>
      <c r="AC277" s="220"/>
      <c r="AD277" s="220"/>
      <c r="AE277" s="220"/>
      <c r="AF277" s="220"/>
      <c r="AG277" s="220"/>
      <c r="AH277" s="220"/>
      <c r="AI277" s="220"/>
      <c r="AJ277" s="50"/>
      <c r="AK277" s="257"/>
      <c r="AL277" s="257"/>
      <c r="AM277" s="52"/>
      <c r="AN277" s="88"/>
    </row>
    <row r="278" spans="1:40" s="29" customFormat="1" ht="17.25" customHeight="1">
      <c r="A278" s="48"/>
      <c r="B278" s="49"/>
      <c r="C278" s="220"/>
      <c r="D278" s="220"/>
      <c r="E278" s="220"/>
      <c r="F278" s="220"/>
      <c r="G278" s="220"/>
      <c r="H278" s="220"/>
      <c r="I278" s="220"/>
      <c r="J278" s="220"/>
      <c r="K278" s="220"/>
      <c r="L278" s="220"/>
      <c r="M278" s="220"/>
      <c r="N278" s="220"/>
      <c r="O278" s="220"/>
      <c r="P278" s="220"/>
      <c r="Q278" s="220"/>
      <c r="R278" s="220"/>
      <c r="S278" s="220"/>
      <c r="T278" s="220"/>
      <c r="U278" s="220"/>
      <c r="V278" s="220"/>
      <c r="W278" s="220"/>
      <c r="X278" s="220"/>
      <c r="Y278" s="220"/>
      <c r="Z278" s="220"/>
      <c r="AA278" s="220"/>
      <c r="AB278" s="220"/>
      <c r="AC278" s="220"/>
      <c r="AD278" s="220"/>
      <c r="AE278" s="220"/>
      <c r="AF278" s="220"/>
      <c r="AG278" s="220"/>
      <c r="AH278" s="220"/>
      <c r="AI278" s="220"/>
      <c r="AJ278" s="50"/>
      <c r="AK278" s="257"/>
      <c r="AL278" s="257"/>
      <c r="AM278" s="52"/>
      <c r="AN278" s="88"/>
    </row>
    <row r="279" spans="1:40" s="29" customFormat="1" ht="17.25" customHeight="1">
      <c r="A279" s="48"/>
      <c r="B279" s="49"/>
      <c r="C279" s="220"/>
      <c r="D279" s="220"/>
      <c r="E279" s="220"/>
      <c r="F279" s="220"/>
      <c r="G279" s="220"/>
      <c r="H279" s="220"/>
      <c r="I279" s="220"/>
      <c r="J279" s="220"/>
      <c r="K279" s="220"/>
      <c r="L279" s="220"/>
      <c r="M279" s="220"/>
      <c r="N279" s="220"/>
      <c r="O279" s="220"/>
      <c r="P279" s="220"/>
      <c r="Q279" s="220"/>
      <c r="R279" s="220"/>
      <c r="S279" s="220"/>
      <c r="T279" s="220"/>
      <c r="U279" s="220"/>
      <c r="V279" s="220"/>
      <c r="W279" s="220"/>
      <c r="X279" s="220"/>
      <c r="Y279" s="220"/>
      <c r="Z279" s="220"/>
      <c r="AA279" s="220"/>
      <c r="AB279" s="220"/>
      <c r="AC279" s="220"/>
      <c r="AD279" s="220"/>
      <c r="AE279" s="220"/>
      <c r="AF279" s="220"/>
      <c r="AG279" s="220"/>
      <c r="AH279" s="220"/>
      <c r="AI279" s="220"/>
      <c r="AJ279" s="50"/>
      <c r="AK279" s="257"/>
      <c r="AL279" s="257"/>
      <c r="AM279" s="52"/>
      <c r="AN279" s="88"/>
    </row>
    <row r="280" spans="1:40" s="29" customFormat="1" ht="17.25" customHeight="1">
      <c r="A280" s="48"/>
      <c r="B280" s="49"/>
      <c r="C280" s="220"/>
      <c r="D280" s="220"/>
      <c r="E280" s="220"/>
      <c r="F280" s="220"/>
      <c r="G280" s="220"/>
      <c r="H280" s="220"/>
      <c r="I280" s="220"/>
      <c r="J280" s="220"/>
      <c r="K280" s="220"/>
      <c r="L280" s="220"/>
      <c r="M280" s="220"/>
      <c r="N280" s="220"/>
      <c r="O280" s="220"/>
      <c r="P280" s="220"/>
      <c r="Q280" s="220"/>
      <c r="R280" s="220"/>
      <c r="S280" s="220"/>
      <c r="T280" s="220"/>
      <c r="U280" s="220"/>
      <c r="V280" s="220"/>
      <c r="W280" s="220"/>
      <c r="X280" s="220"/>
      <c r="Y280" s="220"/>
      <c r="Z280" s="220"/>
      <c r="AA280" s="220"/>
      <c r="AB280" s="220"/>
      <c r="AC280" s="220"/>
      <c r="AD280" s="220"/>
      <c r="AE280" s="220"/>
      <c r="AF280" s="220"/>
      <c r="AG280" s="220"/>
      <c r="AH280" s="220"/>
      <c r="AI280" s="220"/>
      <c r="AJ280" s="50"/>
      <c r="AK280" s="257"/>
      <c r="AL280" s="257"/>
      <c r="AM280" s="52"/>
      <c r="AN280" s="88"/>
    </row>
    <row r="281" spans="1:40" s="29" customFormat="1" ht="17.25" customHeight="1">
      <c r="A281" s="48"/>
      <c r="B281" s="49"/>
      <c r="C281" s="220"/>
      <c r="D281" s="220"/>
      <c r="E281" s="220"/>
      <c r="F281" s="220"/>
      <c r="G281" s="220"/>
      <c r="H281" s="220"/>
      <c r="I281" s="220"/>
      <c r="J281" s="220"/>
      <c r="K281" s="220"/>
      <c r="L281" s="220"/>
      <c r="M281" s="220"/>
      <c r="N281" s="220"/>
      <c r="O281" s="220"/>
      <c r="P281" s="220"/>
      <c r="Q281" s="220"/>
      <c r="R281" s="220"/>
      <c r="S281" s="220"/>
      <c r="T281" s="220"/>
      <c r="U281" s="220"/>
      <c r="V281" s="220"/>
      <c r="W281" s="220"/>
      <c r="X281" s="220"/>
      <c r="Y281" s="220"/>
      <c r="Z281" s="220"/>
      <c r="AA281" s="220"/>
      <c r="AB281" s="220"/>
      <c r="AC281" s="220"/>
      <c r="AD281" s="220"/>
      <c r="AE281" s="220"/>
      <c r="AF281" s="220"/>
      <c r="AG281" s="220"/>
      <c r="AH281" s="220"/>
      <c r="AI281" s="220"/>
      <c r="AJ281" s="50"/>
      <c r="AK281" s="257"/>
      <c r="AL281" s="257"/>
      <c r="AM281" s="52"/>
      <c r="AN281" s="88"/>
    </row>
    <row r="282" spans="1:40" s="29" customFormat="1" ht="17.25" customHeight="1">
      <c r="A282" s="48"/>
      <c r="B282" s="49"/>
      <c r="C282" s="220"/>
      <c r="D282" s="220"/>
      <c r="E282" s="220"/>
      <c r="F282" s="220"/>
      <c r="G282" s="220"/>
      <c r="H282" s="220"/>
      <c r="I282" s="220"/>
      <c r="J282" s="220"/>
      <c r="K282" s="220"/>
      <c r="L282" s="220"/>
      <c r="M282" s="220"/>
      <c r="N282" s="220"/>
      <c r="O282" s="220"/>
      <c r="P282" s="220"/>
      <c r="Q282" s="220"/>
      <c r="R282" s="220"/>
      <c r="S282" s="220"/>
      <c r="T282" s="220"/>
      <c r="U282" s="220"/>
      <c r="V282" s="220"/>
      <c r="W282" s="220"/>
      <c r="X282" s="220"/>
      <c r="Y282" s="220"/>
      <c r="Z282" s="220"/>
      <c r="AA282" s="220"/>
      <c r="AB282" s="220"/>
      <c r="AC282" s="220"/>
      <c r="AD282" s="220"/>
      <c r="AE282" s="220"/>
      <c r="AF282" s="220"/>
      <c r="AG282" s="220"/>
      <c r="AH282" s="220"/>
      <c r="AI282" s="220"/>
      <c r="AJ282" s="50"/>
      <c r="AK282" s="257"/>
      <c r="AL282" s="257"/>
      <c r="AM282" s="52"/>
      <c r="AN282" s="88"/>
    </row>
    <row r="283" spans="1:40" s="29" customFormat="1" ht="17.25" customHeight="1">
      <c r="A283" s="48"/>
      <c r="B283" s="49"/>
      <c r="C283" s="220"/>
      <c r="D283" s="220"/>
      <c r="E283" s="220"/>
      <c r="F283" s="220"/>
      <c r="G283" s="220"/>
      <c r="H283" s="220"/>
      <c r="I283" s="220"/>
      <c r="J283" s="220"/>
      <c r="K283" s="220"/>
      <c r="L283" s="220"/>
      <c r="M283" s="220"/>
      <c r="N283" s="220"/>
      <c r="O283" s="220"/>
      <c r="P283" s="220"/>
      <c r="Q283" s="220"/>
      <c r="R283" s="220"/>
      <c r="S283" s="220"/>
      <c r="T283" s="220"/>
      <c r="U283" s="220"/>
      <c r="V283" s="220"/>
      <c r="W283" s="220"/>
      <c r="X283" s="220"/>
      <c r="Y283" s="220"/>
      <c r="Z283" s="220"/>
      <c r="AA283" s="220"/>
      <c r="AB283" s="220"/>
      <c r="AC283" s="220"/>
      <c r="AD283" s="220"/>
      <c r="AE283" s="220"/>
      <c r="AF283" s="220"/>
      <c r="AG283" s="220"/>
      <c r="AH283" s="220"/>
      <c r="AI283" s="220"/>
      <c r="AJ283" s="50"/>
      <c r="AK283" s="257"/>
      <c r="AL283" s="257"/>
      <c r="AM283" s="52"/>
      <c r="AN283" s="88"/>
    </row>
    <row r="284" spans="1:40" s="29" customFormat="1" ht="17.25" customHeight="1">
      <c r="A284" s="48"/>
      <c r="B284" s="49"/>
      <c r="C284" s="220"/>
      <c r="D284" s="220"/>
      <c r="E284" s="220"/>
      <c r="F284" s="220"/>
      <c r="G284" s="220"/>
      <c r="H284" s="220"/>
      <c r="I284" s="220"/>
      <c r="J284" s="220"/>
      <c r="K284" s="220"/>
      <c r="L284" s="220"/>
      <c r="M284" s="220"/>
      <c r="N284" s="220"/>
      <c r="O284" s="220"/>
      <c r="P284" s="220"/>
      <c r="Q284" s="220"/>
      <c r="R284" s="220"/>
      <c r="S284" s="220"/>
      <c r="T284" s="220"/>
      <c r="U284" s="220"/>
      <c r="V284" s="220"/>
      <c r="W284" s="220"/>
      <c r="X284" s="220"/>
      <c r="Y284" s="220"/>
      <c r="Z284" s="220"/>
      <c r="AA284" s="220"/>
      <c r="AB284" s="220"/>
      <c r="AC284" s="220"/>
      <c r="AD284" s="220"/>
      <c r="AE284" s="220"/>
      <c r="AF284" s="220"/>
      <c r="AG284" s="220"/>
      <c r="AH284" s="220"/>
      <c r="AI284" s="220"/>
      <c r="AJ284" s="50"/>
      <c r="AK284" s="257"/>
      <c r="AL284" s="257"/>
      <c r="AM284" s="52"/>
      <c r="AN284" s="88"/>
    </row>
    <row r="285" spans="1:40" s="29" customFormat="1" ht="17.25" customHeight="1">
      <c r="A285" s="48"/>
      <c r="B285" s="49"/>
      <c r="C285" s="220"/>
      <c r="D285" s="220"/>
      <c r="E285" s="220"/>
      <c r="F285" s="220"/>
      <c r="G285" s="220"/>
      <c r="H285" s="220"/>
      <c r="I285" s="220"/>
      <c r="J285" s="220"/>
      <c r="K285" s="220"/>
      <c r="L285" s="220"/>
      <c r="M285" s="220"/>
      <c r="N285" s="220"/>
      <c r="O285" s="220"/>
      <c r="P285" s="220"/>
      <c r="Q285" s="220"/>
      <c r="R285" s="220"/>
      <c r="S285" s="220"/>
      <c r="T285" s="220"/>
      <c r="U285" s="220"/>
      <c r="V285" s="220"/>
      <c r="W285" s="220"/>
      <c r="X285" s="220"/>
      <c r="Y285" s="220"/>
      <c r="Z285" s="220"/>
      <c r="AA285" s="220"/>
      <c r="AB285" s="220"/>
      <c r="AC285" s="220"/>
      <c r="AD285" s="220"/>
      <c r="AE285" s="220"/>
      <c r="AF285" s="220"/>
      <c r="AG285" s="220"/>
      <c r="AH285" s="220"/>
      <c r="AI285" s="220"/>
      <c r="AJ285" s="50"/>
      <c r="AK285" s="257"/>
      <c r="AL285" s="257"/>
      <c r="AM285" s="52"/>
      <c r="AN285" s="88"/>
    </row>
    <row r="286" spans="1:40" s="29" customFormat="1" ht="17.25" customHeight="1">
      <c r="A286" s="48"/>
      <c r="B286" s="49"/>
      <c r="C286" s="220"/>
      <c r="D286" s="220"/>
      <c r="E286" s="220"/>
      <c r="F286" s="220"/>
      <c r="G286" s="220"/>
      <c r="H286" s="220"/>
      <c r="I286" s="220"/>
      <c r="J286" s="220"/>
      <c r="K286" s="220"/>
      <c r="L286" s="220"/>
      <c r="M286" s="220"/>
      <c r="N286" s="220"/>
      <c r="O286" s="220"/>
      <c r="P286" s="220"/>
      <c r="Q286" s="220"/>
      <c r="R286" s="220"/>
      <c r="S286" s="220"/>
      <c r="T286" s="220"/>
      <c r="U286" s="220"/>
      <c r="V286" s="220"/>
      <c r="W286" s="220"/>
      <c r="X286" s="220"/>
      <c r="Y286" s="220"/>
      <c r="Z286" s="220"/>
      <c r="AA286" s="220"/>
      <c r="AB286" s="220"/>
      <c r="AC286" s="220"/>
      <c r="AD286" s="220"/>
      <c r="AE286" s="220"/>
      <c r="AF286" s="220"/>
      <c r="AG286" s="220"/>
      <c r="AH286" s="220"/>
      <c r="AI286" s="220"/>
      <c r="AJ286" s="50"/>
      <c r="AK286" s="257"/>
      <c r="AL286" s="257"/>
      <c r="AM286" s="52"/>
      <c r="AN286" s="88"/>
    </row>
    <row r="287" spans="1:40" s="29" customFormat="1" ht="17.25" customHeight="1">
      <c r="A287" s="48"/>
      <c r="B287" s="49"/>
      <c r="C287" s="220"/>
      <c r="D287" s="220"/>
      <c r="E287" s="220"/>
      <c r="F287" s="220"/>
      <c r="G287" s="220"/>
      <c r="H287" s="220"/>
      <c r="I287" s="220"/>
      <c r="J287" s="220"/>
      <c r="K287" s="220"/>
      <c r="L287" s="220"/>
      <c r="M287" s="220"/>
      <c r="N287" s="220"/>
      <c r="O287" s="220"/>
      <c r="P287" s="220"/>
      <c r="Q287" s="220"/>
      <c r="R287" s="220"/>
      <c r="S287" s="220"/>
      <c r="T287" s="220"/>
      <c r="U287" s="220"/>
      <c r="V287" s="220"/>
      <c r="W287" s="220"/>
      <c r="X287" s="220"/>
      <c r="Y287" s="220"/>
      <c r="Z287" s="220"/>
      <c r="AA287" s="220"/>
      <c r="AB287" s="220"/>
      <c r="AC287" s="220"/>
      <c r="AD287" s="220"/>
      <c r="AE287" s="220"/>
      <c r="AF287" s="220"/>
      <c r="AG287" s="220"/>
      <c r="AH287" s="220"/>
      <c r="AI287" s="220"/>
      <c r="AJ287" s="50"/>
      <c r="AK287" s="257"/>
      <c r="AL287" s="257"/>
      <c r="AM287" s="52"/>
      <c r="AN287" s="88"/>
    </row>
    <row r="288" spans="1:40" s="29" customFormat="1" ht="17.25" customHeight="1">
      <c r="A288" s="48"/>
      <c r="B288" s="49"/>
      <c r="C288" s="220"/>
      <c r="D288" s="220"/>
      <c r="E288" s="220"/>
      <c r="F288" s="220"/>
      <c r="G288" s="220"/>
      <c r="H288" s="220"/>
      <c r="I288" s="220"/>
      <c r="J288" s="220"/>
      <c r="K288" s="220"/>
      <c r="L288" s="220"/>
      <c r="M288" s="220"/>
      <c r="N288" s="220"/>
      <c r="O288" s="220"/>
      <c r="P288" s="220"/>
      <c r="Q288" s="220"/>
      <c r="R288" s="220"/>
      <c r="S288" s="220"/>
      <c r="T288" s="220"/>
      <c r="U288" s="220"/>
      <c r="V288" s="220"/>
      <c r="W288" s="220"/>
      <c r="X288" s="220"/>
      <c r="Y288" s="220"/>
      <c r="Z288" s="220"/>
      <c r="AA288" s="220"/>
      <c r="AB288" s="220"/>
      <c r="AC288" s="220"/>
      <c r="AD288" s="220"/>
      <c r="AE288" s="220"/>
      <c r="AF288" s="220"/>
      <c r="AG288" s="220"/>
      <c r="AH288" s="220"/>
      <c r="AI288" s="220"/>
      <c r="AJ288" s="50"/>
      <c r="AK288" s="257"/>
      <c r="AL288" s="257"/>
      <c r="AM288" s="52"/>
      <c r="AN288" s="88"/>
    </row>
    <row r="289" spans="1:40" s="29" customFormat="1" ht="17.25" customHeight="1">
      <c r="A289" s="48"/>
      <c r="B289" s="49"/>
      <c r="C289" s="220"/>
      <c r="D289" s="220"/>
      <c r="E289" s="220"/>
      <c r="F289" s="220"/>
      <c r="G289" s="220"/>
      <c r="H289" s="220"/>
      <c r="I289" s="220"/>
      <c r="J289" s="220"/>
      <c r="K289" s="220"/>
      <c r="L289" s="220"/>
      <c r="M289" s="220"/>
      <c r="N289" s="220"/>
      <c r="O289" s="220"/>
      <c r="P289" s="220"/>
      <c r="Q289" s="220"/>
      <c r="R289" s="220"/>
      <c r="S289" s="220"/>
      <c r="T289" s="220"/>
      <c r="U289" s="220"/>
      <c r="V289" s="220"/>
      <c r="W289" s="220"/>
      <c r="X289" s="220"/>
      <c r="Y289" s="220"/>
      <c r="Z289" s="220"/>
      <c r="AA289" s="220"/>
      <c r="AB289" s="220"/>
      <c r="AC289" s="220"/>
      <c r="AD289" s="220"/>
      <c r="AE289" s="220"/>
      <c r="AF289" s="220"/>
      <c r="AG289" s="220"/>
      <c r="AH289" s="220"/>
      <c r="AI289" s="220"/>
      <c r="AJ289" s="50"/>
      <c r="AK289" s="257"/>
      <c r="AL289" s="257"/>
      <c r="AM289" s="52"/>
      <c r="AN289" s="88"/>
    </row>
    <row r="290" spans="1:40" s="29" customFormat="1" ht="17.25" customHeight="1">
      <c r="A290" s="48"/>
      <c r="B290" s="49"/>
      <c r="C290" s="220"/>
      <c r="D290" s="220"/>
      <c r="E290" s="220"/>
      <c r="F290" s="220"/>
      <c r="G290" s="220"/>
      <c r="H290" s="220"/>
      <c r="I290" s="220"/>
      <c r="J290" s="220"/>
      <c r="K290" s="220"/>
      <c r="L290" s="220"/>
      <c r="M290" s="220"/>
      <c r="N290" s="220"/>
      <c r="O290" s="220"/>
      <c r="P290" s="220"/>
      <c r="Q290" s="220"/>
      <c r="R290" s="220"/>
      <c r="S290" s="220"/>
      <c r="T290" s="220"/>
      <c r="U290" s="220"/>
      <c r="V290" s="220"/>
      <c r="W290" s="220"/>
      <c r="X290" s="220"/>
      <c r="Y290" s="220"/>
      <c r="Z290" s="220"/>
      <c r="AA290" s="220"/>
      <c r="AB290" s="220"/>
      <c r="AC290" s="220"/>
      <c r="AD290" s="220"/>
      <c r="AE290" s="220"/>
      <c r="AF290" s="220"/>
      <c r="AG290" s="220"/>
      <c r="AH290" s="220"/>
      <c r="AI290" s="220"/>
      <c r="AJ290" s="50"/>
      <c r="AK290" s="257"/>
      <c r="AL290" s="257"/>
      <c r="AM290" s="52"/>
      <c r="AN290" s="88"/>
    </row>
    <row r="291" spans="1:40" s="29" customFormat="1" ht="17.25" customHeight="1">
      <c r="A291" s="48"/>
      <c r="B291" s="49"/>
      <c r="C291" s="220"/>
      <c r="D291" s="220"/>
      <c r="E291" s="220"/>
      <c r="F291" s="220"/>
      <c r="G291" s="220"/>
      <c r="H291" s="220"/>
      <c r="I291" s="220"/>
      <c r="J291" s="220"/>
      <c r="K291" s="220"/>
      <c r="L291" s="220"/>
      <c r="M291" s="220"/>
      <c r="N291" s="220"/>
      <c r="O291" s="220"/>
      <c r="P291" s="220"/>
      <c r="Q291" s="220"/>
      <c r="R291" s="220"/>
      <c r="S291" s="220"/>
      <c r="T291" s="220"/>
      <c r="U291" s="220"/>
      <c r="V291" s="220"/>
      <c r="W291" s="220"/>
      <c r="X291" s="220"/>
      <c r="Y291" s="220"/>
      <c r="Z291" s="220"/>
      <c r="AA291" s="220"/>
      <c r="AB291" s="220"/>
      <c r="AC291" s="220"/>
      <c r="AD291" s="220"/>
      <c r="AE291" s="220"/>
      <c r="AF291" s="220"/>
      <c r="AG291" s="220"/>
      <c r="AH291" s="220"/>
      <c r="AI291" s="220"/>
      <c r="AJ291" s="50"/>
      <c r="AK291" s="257"/>
      <c r="AL291" s="257"/>
      <c r="AM291" s="52"/>
      <c r="AN291" s="88"/>
    </row>
    <row r="292" spans="1:40" s="29" customFormat="1" ht="17.25" customHeight="1">
      <c r="A292" s="48"/>
      <c r="B292" s="49"/>
      <c r="C292" s="220"/>
      <c r="D292" s="220"/>
      <c r="E292" s="220"/>
      <c r="F292" s="220"/>
      <c r="G292" s="220"/>
      <c r="H292" s="220"/>
      <c r="I292" s="220"/>
      <c r="J292" s="220"/>
      <c r="K292" s="220"/>
      <c r="L292" s="220"/>
      <c r="M292" s="220"/>
      <c r="N292" s="220"/>
      <c r="O292" s="220"/>
      <c r="P292" s="220"/>
      <c r="Q292" s="220"/>
      <c r="R292" s="220"/>
      <c r="S292" s="220"/>
      <c r="T292" s="220"/>
      <c r="U292" s="220"/>
      <c r="V292" s="220"/>
      <c r="W292" s="220"/>
      <c r="X292" s="220"/>
      <c r="Y292" s="220"/>
      <c r="Z292" s="220"/>
      <c r="AA292" s="220"/>
      <c r="AB292" s="220"/>
      <c r="AC292" s="220"/>
      <c r="AD292" s="220"/>
      <c r="AE292" s="220"/>
      <c r="AF292" s="220"/>
      <c r="AG292" s="220"/>
      <c r="AH292" s="220"/>
      <c r="AI292" s="220"/>
      <c r="AJ292" s="50"/>
      <c r="AK292" s="257"/>
      <c r="AL292" s="257"/>
      <c r="AM292" s="52"/>
      <c r="AN292" s="88"/>
    </row>
    <row r="293" spans="1:40" s="29" customFormat="1" ht="17.25" customHeight="1">
      <c r="A293" s="48"/>
      <c r="B293" s="49"/>
      <c r="C293" s="220"/>
      <c r="D293" s="220"/>
      <c r="E293" s="220"/>
      <c r="F293" s="220"/>
      <c r="G293" s="220"/>
      <c r="H293" s="220"/>
      <c r="I293" s="220"/>
      <c r="J293" s="220"/>
      <c r="K293" s="220"/>
      <c r="L293" s="220"/>
      <c r="M293" s="220"/>
      <c r="N293" s="220"/>
      <c r="O293" s="220"/>
      <c r="P293" s="220"/>
      <c r="Q293" s="220"/>
      <c r="R293" s="220"/>
      <c r="S293" s="220"/>
      <c r="T293" s="220"/>
      <c r="U293" s="220"/>
      <c r="V293" s="220"/>
      <c r="W293" s="220"/>
      <c r="X293" s="220"/>
      <c r="Y293" s="220"/>
      <c r="Z293" s="220"/>
      <c r="AA293" s="220"/>
      <c r="AB293" s="220"/>
      <c r="AC293" s="220"/>
      <c r="AD293" s="220"/>
      <c r="AE293" s="220"/>
      <c r="AF293" s="220"/>
      <c r="AG293" s="220"/>
      <c r="AH293" s="220"/>
      <c r="AI293" s="220"/>
      <c r="AJ293" s="50"/>
      <c r="AK293" s="257"/>
      <c r="AL293" s="257"/>
      <c r="AM293" s="52"/>
      <c r="AN293" s="88"/>
    </row>
    <row r="294" spans="1:40" s="29" customFormat="1" ht="17.25" customHeight="1">
      <c r="A294" s="48"/>
      <c r="B294" s="49"/>
      <c r="C294" s="220"/>
      <c r="D294" s="220"/>
      <c r="E294" s="220"/>
      <c r="F294" s="220"/>
      <c r="G294" s="220"/>
      <c r="H294" s="220"/>
      <c r="I294" s="220"/>
      <c r="J294" s="220"/>
      <c r="K294" s="220"/>
      <c r="L294" s="220"/>
      <c r="M294" s="220"/>
      <c r="N294" s="220"/>
      <c r="O294" s="220"/>
      <c r="P294" s="220"/>
      <c r="Q294" s="220"/>
      <c r="R294" s="220"/>
      <c r="S294" s="220"/>
      <c r="T294" s="220"/>
      <c r="U294" s="220"/>
      <c r="V294" s="220"/>
      <c r="W294" s="220"/>
      <c r="X294" s="220"/>
      <c r="Y294" s="220"/>
      <c r="Z294" s="220"/>
      <c r="AA294" s="220"/>
      <c r="AB294" s="220"/>
      <c r="AC294" s="220"/>
      <c r="AD294" s="220"/>
      <c r="AE294" s="220"/>
      <c r="AF294" s="220"/>
      <c r="AG294" s="220"/>
      <c r="AH294" s="220"/>
      <c r="AI294" s="220"/>
      <c r="AJ294" s="50"/>
      <c r="AK294" s="257"/>
      <c r="AL294" s="257"/>
      <c r="AM294" s="52"/>
      <c r="AN294" s="88"/>
    </row>
    <row r="295" spans="1:40" s="29" customFormat="1" ht="17.25" customHeight="1">
      <c r="A295" s="48"/>
      <c r="B295" s="49"/>
      <c r="C295" s="220"/>
      <c r="D295" s="220"/>
      <c r="E295" s="220"/>
      <c r="F295" s="220"/>
      <c r="G295" s="220"/>
      <c r="H295" s="220"/>
      <c r="I295" s="220"/>
      <c r="J295" s="220"/>
      <c r="K295" s="220"/>
      <c r="L295" s="220"/>
      <c r="M295" s="220"/>
      <c r="N295" s="220"/>
      <c r="O295" s="220"/>
      <c r="P295" s="220"/>
      <c r="Q295" s="220"/>
      <c r="R295" s="220"/>
      <c r="S295" s="220"/>
      <c r="T295" s="220"/>
      <c r="U295" s="220"/>
      <c r="V295" s="220"/>
      <c r="W295" s="220"/>
      <c r="X295" s="220"/>
      <c r="Y295" s="220"/>
      <c r="Z295" s="220"/>
      <c r="AA295" s="220"/>
      <c r="AB295" s="220"/>
      <c r="AC295" s="220"/>
      <c r="AD295" s="220"/>
      <c r="AE295" s="220"/>
      <c r="AF295" s="220"/>
      <c r="AG295" s="220"/>
      <c r="AH295" s="220"/>
      <c r="AI295" s="220"/>
      <c r="AJ295" s="50"/>
      <c r="AK295" s="257"/>
      <c r="AL295" s="257"/>
      <c r="AM295" s="52"/>
      <c r="AN295" s="88"/>
    </row>
    <row r="296" spans="1:40" s="29" customFormat="1" ht="17.25" customHeight="1">
      <c r="A296" s="48"/>
      <c r="B296" s="49"/>
      <c r="C296" s="220"/>
      <c r="D296" s="220"/>
      <c r="E296" s="220"/>
      <c r="F296" s="220"/>
      <c r="G296" s="220"/>
      <c r="H296" s="220"/>
      <c r="I296" s="220"/>
      <c r="J296" s="220"/>
      <c r="K296" s="220"/>
      <c r="L296" s="220"/>
      <c r="M296" s="220"/>
      <c r="N296" s="220"/>
      <c r="O296" s="220"/>
      <c r="P296" s="220"/>
      <c r="Q296" s="220"/>
      <c r="R296" s="220"/>
      <c r="S296" s="220"/>
      <c r="T296" s="220"/>
      <c r="U296" s="220"/>
      <c r="V296" s="220"/>
      <c r="W296" s="220"/>
      <c r="X296" s="220"/>
      <c r="Y296" s="220"/>
      <c r="Z296" s="220"/>
      <c r="AA296" s="220"/>
      <c r="AB296" s="220"/>
      <c r="AC296" s="220"/>
      <c r="AD296" s="220"/>
      <c r="AE296" s="220"/>
      <c r="AF296" s="220"/>
      <c r="AG296" s="220"/>
      <c r="AH296" s="220"/>
      <c r="AI296" s="220"/>
      <c r="AJ296" s="50"/>
      <c r="AK296" s="257"/>
      <c r="AL296" s="257"/>
      <c r="AM296" s="52"/>
      <c r="AN296" s="88"/>
    </row>
    <row r="297" spans="1:40" s="29" customFormat="1" ht="17.25" customHeight="1">
      <c r="A297" s="48"/>
      <c r="B297" s="49"/>
      <c r="C297" s="220"/>
      <c r="D297" s="220"/>
      <c r="E297" s="220"/>
      <c r="F297" s="220"/>
      <c r="G297" s="220"/>
      <c r="H297" s="220"/>
      <c r="I297" s="220"/>
      <c r="J297" s="220"/>
      <c r="K297" s="220"/>
      <c r="L297" s="220"/>
      <c r="M297" s="220"/>
      <c r="N297" s="220"/>
      <c r="O297" s="220"/>
      <c r="P297" s="220"/>
      <c r="Q297" s="220"/>
      <c r="R297" s="220"/>
      <c r="S297" s="220"/>
      <c r="T297" s="220"/>
      <c r="U297" s="220"/>
      <c r="V297" s="220"/>
      <c r="W297" s="220"/>
      <c r="X297" s="220"/>
      <c r="Y297" s="220"/>
      <c r="Z297" s="220"/>
      <c r="AA297" s="220"/>
      <c r="AB297" s="220"/>
      <c r="AC297" s="220"/>
      <c r="AD297" s="220"/>
      <c r="AE297" s="220"/>
      <c r="AF297" s="220"/>
      <c r="AG297" s="220"/>
      <c r="AH297" s="220"/>
      <c r="AI297" s="220"/>
      <c r="AJ297" s="50"/>
      <c r="AK297" s="257"/>
      <c r="AL297" s="257"/>
      <c r="AM297" s="52"/>
      <c r="AN297" s="88"/>
    </row>
    <row r="298" spans="1:40" s="29" customFormat="1" ht="17.25" customHeight="1">
      <c r="A298" s="48"/>
      <c r="B298" s="49"/>
      <c r="C298" s="220"/>
      <c r="D298" s="220"/>
      <c r="E298" s="220"/>
      <c r="F298" s="220"/>
      <c r="G298" s="220"/>
      <c r="H298" s="220"/>
      <c r="I298" s="220"/>
      <c r="J298" s="220"/>
      <c r="K298" s="220"/>
      <c r="L298" s="220"/>
      <c r="M298" s="220"/>
      <c r="N298" s="220"/>
      <c r="O298" s="220"/>
      <c r="P298" s="220"/>
      <c r="Q298" s="220"/>
      <c r="R298" s="220"/>
      <c r="S298" s="220"/>
      <c r="T298" s="220"/>
      <c r="U298" s="220"/>
      <c r="V298" s="220"/>
      <c r="W298" s="220"/>
      <c r="X298" s="220"/>
      <c r="Y298" s="220"/>
      <c r="Z298" s="220"/>
      <c r="AA298" s="220"/>
      <c r="AB298" s="220"/>
      <c r="AC298" s="220"/>
      <c r="AD298" s="220"/>
      <c r="AE298" s="220"/>
      <c r="AF298" s="220"/>
      <c r="AG298" s="220"/>
      <c r="AH298" s="220"/>
      <c r="AI298" s="220"/>
      <c r="AJ298" s="50"/>
      <c r="AK298" s="257"/>
      <c r="AL298" s="257"/>
      <c r="AM298" s="52"/>
      <c r="AN298" s="88"/>
    </row>
    <row r="299" spans="1:40" s="29" customFormat="1" ht="17.25" customHeight="1">
      <c r="A299" s="48"/>
      <c r="B299" s="49"/>
      <c r="C299" s="220"/>
      <c r="D299" s="220"/>
      <c r="E299" s="220"/>
      <c r="F299" s="220"/>
      <c r="G299" s="220"/>
      <c r="H299" s="220"/>
      <c r="I299" s="220"/>
      <c r="J299" s="220"/>
      <c r="K299" s="220"/>
      <c r="L299" s="220"/>
      <c r="M299" s="220"/>
      <c r="N299" s="220"/>
      <c r="O299" s="220"/>
      <c r="P299" s="220"/>
      <c r="Q299" s="220"/>
      <c r="R299" s="220"/>
      <c r="S299" s="220"/>
      <c r="T299" s="220"/>
      <c r="U299" s="220"/>
      <c r="V299" s="220"/>
      <c r="W299" s="220"/>
      <c r="X299" s="220"/>
      <c r="Y299" s="220"/>
      <c r="Z299" s="220"/>
      <c r="AA299" s="220"/>
      <c r="AB299" s="220"/>
      <c r="AC299" s="220"/>
      <c r="AD299" s="220"/>
      <c r="AE299" s="220"/>
      <c r="AF299" s="220"/>
      <c r="AG299" s="220"/>
      <c r="AH299" s="220"/>
      <c r="AI299" s="220"/>
      <c r="AJ299" s="50"/>
      <c r="AK299" s="257"/>
      <c r="AL299" s="257"/>
      <c r="AM299" s="52"/>
      <c r="AN299" s="88"/>
    </row>
    <row r="300" spans="1:40" s="29" customFormat="1" ht="17.25" customHeight="1">
      <c r="A300" s="48"/>
      <c r="B300" s="49"/>
      <c r="C300" s="220"/>
      <c r="D300" s="220"/>
      <c r="E300" s="220"/>
      <c r="F300" s="220"/>
      <c r="G300" s="220"/>
      <c r="H300" s="220"/>
      <c r="I300" s="220"/>
      <c r="J300" s="220"/>
      <c r="K300" s="220"/>
      <c r="L300" s="220"/>
      <c r="M300" s="220"/>
      <c r="N300" s="220"/>
      <c r="O300" s="220"/>
      <c r="P300" s="220"/>
      <c r="Q300" s="220"/>
      <c r="R300" s="220"/>
      <c r="S300" s="220"/>
      <c r="T300" s="220"/>
      <c r="U300" s="220"/>
      <c r="V300" s="220"/>
      <c r="W300" s="220"/>
      <c r="X300" s="220"/>
      <c r="Y300" s="220"/>
      <c r="Z300" s="220"/>
      <c r="AA300" s="220"/>
      <c r="AB300" s="220"/>
      <c r="AC300" s="220"/>
      <c r="AD300" s="220"/>
      <c r="AE300" s="220"/>
      <c r="AF300" s="220"/>
      <c r="AG300" s="220"/>
      <c r="AH300" s="220"/>
      <c r="AI300" s="220"/>
      <c r="AJ300" s="50"/>
      <c r="AK300" s="257"/>
      <c r="AL300" s="257"/>
      <c r="AM300" s="52"/>
      <c r="AN300" s="88"/>
    </row>
    <row r="301" spans="1:40" s="29" customFormat="1" ht="17.25" customHeight="1">
      <c r="A301" s="48"/>
      <c r="B301" s="49"/>
      <c r="C301" s="220"/>
      <c r="D301" s="220"/>
      <c r="E301" s="220"/>
      <c r="F301" s="220"/>
      <c r="G301" s="220"/>
      <c r="H301" s="220"/>
      <c r="I301" s="220"/>
      <c r="J301" s="220"/>
      <c r="K301" s="220"/>
      <c r="L301" s="220"/>
      <c r="M301" s="220"/>
      <c r="N301" s="220"/>
      <c r="O301" s="220"/>
      <c r="P301" s="220"/>
      <c r="Q301" s="220"/>
      <c r="R301" s="220"/>
      <c r="S301" s="220"/>
      <c r="T301" s="220"/>
      <c r="U301" s="220"/>
      <c r="V301" s="220"/>
      <c r="W301" s="220"/>
      <c r="X301" s="220"/>
      <c r="Y301" s="220"/>
      <c r="Z301" s="220"/>
      <c r="AA301" s="220"/>
      <c r="AB301" s="220"/>
      <c r="AC301" s="220"/>
      <c r="AD301" s="220"/>
      <c r="AE301" s="220"/>
      <c r="AF301" s="220"/>
      <c r="AG301" s="220"/>
      <c r="AH301" s="220"/>
      <c r="AI301" s="220"/>
      <c r="AJ301" s="50"/>
      <c r="AK301" s="257"/>
      <c r="AL301" s="257"/>
      <c r="AM301" s="52"/>
      <c r="AN301" s="88"/>
    </row>
    <row r="302" spans="1:40" s="29" customFormat="1" ht="17.25" customHeight="1">
      <c r="A302" s="48"/>
      <c r="B302" s="49"/>
      <c r="C302" s="220"/>
      <c r="D302" s="220"/>
      <c r="E302" s="220"/>
      <c r="F302" s="220"/>
      <c r="G302" s="220"/>
      <c r="H302" s="220"/>
      <c r="I302" s="220"/>
      <c r="J302" s="220"/>
      <c r="K302" s="220"/>
      <c r="L302" s="220"/>
      <c r="M302" s="220"/>
      <c r="N302" s="220"/>
      <c r="O302" s="220"/>
      <c r="P302" s="220"/>
      <c r="Q302" s="220"/>
      <c r="R302" s="220"/>
      <c r="S302" s="220"/>
      <c r="T302" s="220"/>
      <c r="U302" s="220"/>
      <c r="V302" s="220"/>
      <c r="W302" s="220"/>
      <c r="X302" s="220"/>
      <c r="Y302" s="220"/>
      <c r="Z302" s="220"/>
      <c r="AA302" s="220"/>
      <c r="AB302" s="220"/>
      <c r="AC302" s="220"/>
      <c r="AD302" s="220"/>
      <c r="AE302" s="220"/>
      <c r="AF302" s="220"/>
      <c r="AG302" s="220"/>
      <c r="AH302" s="220"/>
      <c r="AI302" s="220"/>
      <c r="AJ302" s="50"/>
      <c r="AK302" s="257"/>
      <c r="AL302" s="257"/>
      <c r="AM302" s="52"/>
      <c r="AN302" s="88"/>
    </row>
    <row r="303" spans="1:40" s="29" customFormat="1" ht="17.25" customHeight="1">
      <c r="A303" s="48"/>
      <c r="B303" s="49"/>
      <c r="C303" s="220"/>
      <c r="D303" s="220"/>
      <c r="E303" s="220"/>
      <c r="F303" s="220"/>
      <c r="G303" s="220"/>
      <c r="H303" s="220"/>
      <c r="I303" s="220"/>
      <c r="J303" s="220"/>
      <c r="K303" s="220"/>
      <c r="L303" s="220"/>
      <c r="M303" s="220"/>
      <c r="N303" s="220"/>
      <c r="O303" s="220"/>
      <c r="P303" s="220"/>
      <c r="Q303" s="220"/>
      <c r="R303" s="220"/>
      <c r="S303" s="220"/>
      <c r="T303" s="220"/>
      <c r="U303" s="220"/>
      <c r="V303" s="220"/>
      <c r="W303" s="220"/>
      <c r="X303" s="220"/>
      <c r="Y303" s="220"/>
      <c r="Z303" s="220"/>
      <c r="AA303" s="220"/>
      <c r="AB303" s="220"/>
      <c r="AC303" s="220"/>
      <c r="AD303" s="220"/>
      <c r="AE303" s="220"/>
      <c r="AF303" s="220"/>
      <c r="AG303" s="220"/>
      <c r="AH303" s="220"/>
      <c r="AI303" s="220"/>
      <c r="AJ303" s="50"/>
      <c r="AK303" s="257"/>
      <c r="AL303" s="257"/>
      <c r="AM303" s="52"/>
      <c r="AN303" s="88"/>
    </row>
    <row r="304" spans="1:40" s="29" customFormat="1" ht="17.25" customHeight="1">
      <c r="A304" s="48"/>
      <c r="B304" s="49"/>
      <c r="C304" s="220"/>
      <c r="D304" s="220"/>
      <c r="E304" s="220"/>
      <c r="F304" s="220"/>
      <c r="G304" s="220"/>
      <c r="H304" s="220"/>
      <c r="I304" s="220"/>
      <c r="J304" s="220"/>
      <c r="K304" s="220"/>
      <c r="L304" s="220"/>
      <c r="M304" s="220"/>
      <c r="N304" s="220"/>
      <c r="O304" s="220"/>
      <c r="P304" s="220"/>
      <c r="Q304" s="220"/>
      <c r="R304" s="220"/>
      <c r="S304" s="220"/>
      <c r="T304" s="220"/>
      <c r="U304" s="220"/>
      <c r="V304" s="220"/>
      <c r="W304" s="220"/>
      <c r="X304" s="220"/>
      <c r="Y304" s="220"/>
      <c r="Z304" s="220"/>
      <c r="AA304" s="220"/>
      <c r="AB304" s="220"/>
      <c r="AC304" s="220"/>
      <c r="AD304" s="220"/>
      <c r="AE304" s="220"/>
      <c r="AF304" s="220"/>
      <c r="AG304" s="220"/>
      <c r="AH304" s="220"/>
      <c r="AI304" s="220"/>
      <c r="AJ304" s="50"/>
      <c r="AK304" s="257"/>
      <c r="AL304" s="257"/>
      <c r="AM304" s="52"/>
      <c r="AN304" s="88"/>
    </row>
    <row r="305" spans="1:40" s="29" customFormat="1" ht="17.25" customHeight="1">
      <c r="A305" s="48"/>
      <c r="B305" s="49"/>
      <c r="C305" s="220"/>
      <c r="D305" s="220"/>
      <c r="E305" s="220"/>
      <c r="F305" s="220"/>
      <c r="G305" s="220"/>
      <c r="H305" s="220"/>
      <c r="I305" s="220"/>
      <c r="J305" s="220"/>
      <c r="K305" s="220"/>
      <c r="L305" s="220"/>
      <c r="M305" s="220"/>
      <c r="N305" s="220"/>
      <c r="O305" s="220"/>
      <c r="P305" s="220"/>
      <c r="Q305" s="220"/>
      <c r="R305" s="220"/>
      <c r="S305" s="220"/>
      <c r="T305" s="220"/>
      <c r="U305" s="220"/>
      <c r="V305" s="220"/>
      <c r="W305" s="220"/>
      <c r="X305" s="220"/>
      <c r="Y305" s="220"/>
      <c r="Z305" s="220"/>
      <c r="AA305" s="220"/>
      <c r="AB305" s="220"/>
      <c r="AC305" s="220"/>
      <c r="AD305" s="220"/>
      <c r="AE305" s="220"/>
      <c r="AF305" s="220"/>
      <c r="AG305" s="220"/>
      <c r="AH305" s="220"/>
      <c r="AI305" s="220"/>
      <c r="AJ305" s="50"/>
      <c r="AK305" s="257"/>
      <c r="AL305" s="257"/>
      <c r="AM305" s="52"/>
      <c r="AN305" s="88"/>
    </row>
    <row r="306" spans="1:40" s="29" customFormat="1" ht="17.25" customHeight="1">
      <c r="A306" s="48"/>
      <c r="B306" s="49"/>
      <c r="C306" s="220"/>
      <c r="D306" s="220"/>
      <c r="E306" s="220"/>
      <c r="F306" s="220"/>
      <c r="G306" s="220"/>
      <c r="H306" s="220"/>
      <c r="I306" s="220"/>
      <c r="J306" s="220"/>
      <c r="K306" s="220"/>
      <c r="L306" s="220"/>
      <c r="M306" s="220"/>
      <c r="N306" s="220"/>
      <c r="O306" s="220"/>
      <c r="P306" s="220"/>
      <c r="Q306" s="220"/>
      <c r="R306" s="220"/>
      <c r="S306" s="220"/>
      <c r="T306" s="220"/>
      <c r="U306" s="220"/>
      <c r="V306" s="220"/>
      <c r="W306" s="220"/>
      <c r="X306" s="220"/>
      <c r="Y306" s="220"/>
      <c r="Z306" s="220"/>
      <c r="AA306" s="220"/>
      <c r="AB306" s="220"/>
      <c r="AC306" s="220"/>
      <c r="AD306" s="220"/>
      <c r="AE306" s="220"/>
      <c r="AF306" s="220"/>
      <c r="AG306" s="220"/>
      <c r="AH306" s="220"/>
      <c r="AI306" s="220"/>
      <c r="AJ306" s="50"/>
      <c r="AK306" s="257"/>
      <c r="AL306" s="257"/>
      <c r="AM306" s="52"/>
      <c r="AN306" s="88"/>
    </row>
    <row r="307" spans="1:40" s="29" customFormat="1" ht="17.25" customHeight="1">
      <c r="A307" s="48"/>
      <c r="B307" s="49"/>
      <c r="C307" s="220"/>
      <c r="D307" s="220"/>
      <c r="E307" s="220"/>
      <c r="F307" s="220"/>
      <c r="G307" s="220"/>
      <c r="H307" s="220"/>
      <c r="I307" s="220"/>
      <c r="J307" s="220"/>
      <c r="K307" s="220"/>
      <c r="L307" s="220"/>
      <c r="M307" s="220"/>
      <c r="N307" s="220"/>
      <c r="O307" s="220"/>
      <c r="P307" s="220"/>
      <c r="Q307" s="220"/>
      <c r="R307" s="220"/>
      <c r="S307" s="220"/>
      <c r="T307" s="220"/>
      <c r="U307" s="220"/>
      <c r="V307" s="220"/>
      <c r="W307" s="220"/>
      <c r="X307" s="220"/>
      <c r="Y307" s="220"/>
      <c r="Z307" s="220"/>
      <c r="AA307" s="220"/>
      <c r="AB307" s="220"/>
      <c r="AC307" s="220"/>
      <c r="AD307" s="220"/>
      <c r="AE307" s="220"/>
      <c r="AF307" s="220"/>
      <c r="AG307" s="220"/>
      <c r="AH307" s="220"/>
      <c r="AI307" s="220"/>
      <c r="AJ307" s="50"/>
      <c r="AK307" s="257"/>
      <c r="AL307" s="257"/>
      <c r="AM307" s="52"/>
      <c r="AN307" s="88"/>
    </row>
    <row r="308" spans="1:40" s="29" customFormat="1" ht="17.25" customHeight="1">
      <c r="A308" s="48"/>
      <c r="B308" s="49"/>
      <c r="C308" s="220"/>
      <c r="D308" s="220"/>
      <c r="E308" s="220"/>
      <c r="F308" s="220"/>
      <c r="G308" s="220"/>
      <c r="H308" s="220"/>
      <c r="I308" s="220"/>
      <c r="J308" s="220"/>
      <c r="K308" s="220"/>
      <c r="L308" s="220"/>
      <c r="M308" s="220"/>
      <c r="N308" s="220"/>
      <c r="O308" s="220"/>
      <c r="P308" s="220"/>
      <c r="Q308" s="220"/>
      <c r="R308" s="220"/>
      <c r="S308" s="220"/>
      <c r="T308" s="220"/>
      <c r="U308" s="220"/>
      <c r="V308" s="220"/>
      <c r="W308" s="220"/>
      <c r="X308" s="220"/>
      <c r="Y308" s="220"/>
      <c r="Z308" s="220"/>
      <c r="AA308" s="220"/>
      <c r="AB308" s="220"/>
      <c r="AC308" s="220"/>
      <c r="AD308" s="220"/>
      <c r="AE308" s="220"/>
      <c r="AF308" s="220"/>
      <c r="AG308" s="220"/>
      <c r="AH308" s="220"/>
      <c r="AI308" s="220"/>
      <c r="AJ308" s="50"/>
      <c r="AK308" s="257"/>
      <c r="AL308" s="257"/>
      <c r="AM308" s="52"/>
      <c r="AN308" s="88"/>
    </row>
    <row r="309" spans="1:40" s="29" customFormat="1" ht="17.25" customHeight="1">
      <c r="A309" s="48"/>
      <c r="B309" s="49"/>
      <c r="C309" s="220"/>
      <c r="D309" s="220"/>
      <c r="E309" s="220"/>
      <c r="F309" s="220"/>
      <c r="G309" s="220"/>
      <c r="H309" s="220"/>
      <c r="I309" s="220"/>
      <c r="J309" s="220"/>
      <c r="K309" s="220"/>
      <c r="L309" s="220"/>
      <c r="M309" s="220"/>
      <c r="N309" s="220"/>
      <c r="O309" s="220"/>
      <c r="P309" s="220"/>
      <c r="Q309" s="220"/>
      <c r="R309" s="220"/>
      <c r="S309" s="220"/>
      <c r="T309" s="220"/>
      <c r="U309" s="220"/>
      <c r="V309" s="220"/>
      <c r="W309" s="220"/>
      <c r="X309" s="220"/>
      <c r="Y309" s="220"/>
      <c r="Z309" s="220"/>
      <c r="AA309" s="220"/>
      <c r="AB309" s="220"/>
      <c r="AC309" s="220"/>
      <c r="AD309" s="220"/>
      <c r="AE309" s="220"/>
      <c r="AF309" s="220"/>
      <c r="AG309" s="220"/>
      <c r="AH309" s="220"/>
      <c r="AI309" s="220"/>
      <c r="AJ309" s="50"/>
      <c r="AK309" s="257"/>
      <c r="AL309" s="257"/>
      <c r="AM309" s="52"/>
      <c r="AN309" s="88"/>
    </row>
    <row r="310" spans="1:40" s="29" customFormat="1" ht="17.25" customHeight="1">
      <c r="A310" s="48"/>
      <c r="B310" s="49"/>
      <c r="C310" s="220"/>
      <c r="D310" s="220"/>
      <c r="E310" s="220"/>
      <c r="F310" s="220"/>
      <c r="G310" s="220"/>
      <c r="H310" s="220"/>
      <c r="I310" s="220"/>
      <c r="J310" s="220"/>
      <c r="K310" s="220"/>
      <c r="L310" s="220"/>
      <c r="M310" s="220"/>
      <c r="N310" s="220"/>
      <c r="O310" s="220"/>
      <c r="P310" s="220"/>
      <c r="Q310" s="220"/>
      <c r="R310" s="220"/>
      <c r="S310" s="220"/>
      <c r="T310" s="220"/>
      <c r="U310" s="220"/>
      <c r="V310" s="220"/>
      <c r="W310" s="220"/>
      <c r="X310" s="220"/>
      <c r="Y310" s="220"/>
      <c r="Z310" s="220"/>
      <c r="AA310" s="220"/>
      <c r="AB310" s="220"/>
      <c r="AC310" s="220"/>
      <c r="AD310" s="220"/>
      <c r="AE310" s="220"/>
      <c r="AF310" s="220"/>
      <c r="AG310" s="220"/>
      <c r="AH310" s="220"/>
      <c r="AI310" s="220"/>
      <c r="AJ310" s="50"/>
      <c r="AK310" s="257"/>
      <c r="AL310" s="257"/>
      <c r="AM310" s="52"/>
      <c r="AN310" s="88"/>
    </row>
    <row r="311" spans="1:40" s="29" customFormat="1" ht="17.25" customHeight="1">
      <c r="A311" s="48"/>
      <c r="B311" s="49"/>
      <c r="C311" s="220"/>
      <c r="D311" s="220"/>
      <c r="E311" s="220"/>
      <c r="F311" s="220"/>
      <c r="G311" s="220"/>
      <c r="H311" s="220"/>
      <c r="I311" s="220"/>
      <c r="J311" s="220"/>
      <c r="K311" s="220"/>
      <c r="L311" s="220"/>
      <c r="M311" s="220"/>
      <c r="N311" s="220"/>
      <c r="O311" s="220"/>
      <c r="P311" s="220"/>
      <c r="Q311" s="220"/>
      <c r="R311" s="220"/>
      <c r="S311" s="220"/>
      <c r="T311" s="220"/>
      <c r="U311" s="220"/>
      <c r="V311" s="220"/>
      <c r="W311" s="220"/>
      <c r="X311" s="220"/>
      <c r="Y311" s="220"/>
      <c r="Z311" s="220"/>
      <c r="AA311" s="220"/>
      <c r="AB311" s="220"/>
      <c r="AC311" s="220"/>
      <c r="AD311" s="220"/>
      <c r="AE311" s="220"/>
      <c r="AF311" s="220"/>
      <c r="AG311" s="220"/>
      <c r="AH311" s="220"/>
      <c r="AI311" s="220"/>
      <c r="AJ311" s="50"/>
      <c r="AK311" s="257"/>
      <c r="AL311" s="257"/>
      <c r="AM311" s="52"/>
      <c r="AN311" s="88"/>
    </row>
    <row r="312" spans="1:40" s="29" customFormat="1" ht="17.25" customHeight="1">
      <c r="A312" s="48"/>
      <c r="B312" s="49"/>
      <c r="C312" s="220"/>
      <c r="D312" s="220"/>
      <c r="E312" s="220"/>
      <c r="F312" s="220"/>
      <c r="G312" s="220"/>
      <c r="H312" s="220"/>
      <c r="I312" s="220"/>
      <c r="J312" s="220"/>
      <c r="K312" s="220"/>
      <c r="L312" s="220"/>
      <c r="M312" s="220"/>
      <c r="N312" s="220"/>
      <c r="O312" s="220"/>
      <c r="P312" s="220"/>
      <c r="Q312" s="220"/>
      <c r="R312" s="220"/>
      <c r="S312" s="220"/>
      <c r="T312" s="220"/>
      <c r="U312" s="220"/>
      <c r="V312" s="220"/>
      <c r="W312" s="220"/>
      <c r="X312" s="220"/>
      <c r="Y312" s="220"/>
      <c r="Z312" s="220"/>
      <c r="AA312" s="220"/>
      <c r="AB312" s="220"/>
      <c r="AC312" s="220"/>
      <c r="AD312" s="220"/>
      <c r="AE312" s="220"/>
      <c r="AF312" s="220"/>
      <c r="AG312" s="220"/>
      <c r="AH312" s="220"/>
      <c r="AI312" s="220"/>
      <c r="AJ312" s="50"/>
      <c r="AK312" s="257"/>
      <c r="AL312" s="257"/>
      <c r="AM312" s="52"/>
      <c r="AN312" s="88"/>
    </row>
    <row r="313" spans="1:40" s="29" customFormat="1" ht="17.25" customHeight="1">
      <c r="A313" s="48"/>
      <c r="B313" s="49"/>
      <c r="C313" s="220"/>
      <c r="D313" s="220"/>
      <c r="E313" s="220"/>
      <c r="F313" s="220"/>
      <c r="G313" s="220"/>
      <c r="H313" s="220"/>
      <c r="I313" s="220"/>
      <c r="J313" s="220"/>
      <c r="K313" s="220"/>
      <c r="L313" s="220"/>
      <c r="M313" s="220"/>
      <c r="N313" s="220"/>
      <c r="O313" s="220"/>
      <c r="P313" s="220"/>
      <c r="Q313" s="220"/>
      <c r="R313" s="220"/>
      <c r="S313" s="220"/>
      <c r="T313" s="220"/>
      <c r="U313" s="220"/>
      <c r="V313" s="220"/>
      <c r="W313" s="220"/>
      <c r="X313" s="220"/>
      <c r="Y313" s="220"/>
      <c r="Z313" s="220"/>
      <c r="AA313" s="220"/>
      <c r="AB313" s="220"/>
      <c r="AC313" s="220"/>
      <c r="AD313" s="220"/>
      <c r="AE313" s="220"/>
      <c r="AF313" s="220"/>
      <c r="AG313" s="220"/>
      <c r="AH313" s="220"/>
      <c r="AI313" s="220"/>
      <c r="AJ313" s="50"/>
      <c r="AK313" s="257"/>
      <c r="AL313" s="257"/>
      <c r="AM313" s="52"/>
      <c r="AN313" s="88"/>
    </row>
    <row r="314" spans="1:40" s="29" customFormat="1" ht="17.25" customHeight="1">
      <c r="A314" s="48"/>
      <c r="B314" s="49"/>
      <c r="C314" s="220"/>
      <c r="D314" s="220"/>
      <c r="E314" s="220"/>
      <c r="F314" s="220"/>
      <c r="G314" s="220"/>
      <c r="H314" s="220"/>
      <c r="I314" s="220"/>
      <c r="J314" s="220"/>
      <c r="K314" s="220"/>
      <c r="L314" s="220"/>
      <c r="M314" s="220"/>
      <c r="N314" s="220"/>
      <c r="O314" s="220"/>
      <c r="P314" s="220"/>
      <c r="Q314" s="220"/>
      <c r="R314" s="220"/>
      <c r="S314" s="220"/>
      <c r="T314" s="220"/>
      <c r="U314" s="220"/>
      <c r="V314" s="220"/>
      <c r="W314" s="220"/>
      <c r="X314" s="220"/>
      <c r="Y314" s="220"/>
      <c r="Z314" s="220"/>
      <c r="AA314" s="220"/>
      <c r="AB314" s="220"/>
      <c r="AC314" s="220"/>
      <c r="AD314" s="220"/>
      <c r="AE314" s="220"/>
      <c r="AF314" s="220"/>
      <c r="AG314" s="220"/>
      <c r="AH314" s="220"/>
      <c r="AI314" s="220"/>
      <c r="AJ314" s="50"/>
      <c r="AK314" s="257"/>
      <c r="AL314" s="257"/>
      <c r="AM314" s="52"/>
      <c r="AN314" s="88"/>
    </row>
    <row r="315" spans="1:40" s="29" customFormat="1" ht="17.25" customHeight="1">
      <c r="A315" s="48"/>
      <c r="B315" s="49"/>
      <c r="C315" s="220"/>
      <c r="D315" s="220"/>
      <c r="E315" s="220"/>
      <c r="F315" s="220"/>
      <c r="G315" s="220"/>
      <c r="H315" s="220"/>
      <c r="I315" s="220"/>
      <c r="J315" s="220"/>
      <c r="K315" s="220"/>
      <c r="L315" s="220"/>
      <c r="M315" s="220"/>
      <c r="N315" s="220"/>
      <c r="O315" s="220"/>
      <c r="P315" s="220"/>
      <c r="Q315" s="220"/>
      <c r="R315" s="220"/>
      <c r="S315" s="220"/>
      <c r="T315" s="220"/>
      <c r="U315" s="220"/>
      <c r="V315" s="220"/>
      <c r="W315" s="220"/>
      <c r="X315" s="220"/>
      <c r="Y315" s="220"/>
      <c r="Z315" s="220"/>
      <c r="AA315" s="220"/>
      <c r="AB315" s="220"/>
      <c r="AC315" s="220"/>
      <c r="AD315" s="220"/>
      <c r="AE315" s="220"/>
      <c r="AF315" s="220"/>
      <c r="AG315" s="220"/>
      <c r="AH315" s="220"/>
      <c r="AI315" s="220"/>
      <c r="AJ315" s="50"/>
      <c r="AK315" s="257"/>
      <c r="AL315" s="257"/>
      <c r="AM315" s="52"/>
      <c r="AN315" s="88"/>
    </row>
    <row r="316" spans="1:40" s="29" customFormat="1" ht="17.25" customHeight="1">
      <c r="A316" s="48"/>
      <c r="B316" s="49"/>
      <c r="C316" s="220"/>
      <c r="D316" s="220"/>
      <c r="E316" s="220"/>
      <c r="F316" s="220"/>
      <c r="G316" s="220"/>
      <c r="H316" s="220"/>
      <c r="I316" s="220"/>
      <c r="J316" s="220"/>
      <c r="K316" s="220"/>
      <c r="L316" s="220"/>
      <c r="M316" s="220"/>
      <c r="N316" s="220"/>
      <c r="O316" s="220"/>
      <c r="P316" s="220"/>
      <c r="Q316" s="220"/>
      <c r="R316" s="220"/>
      <c r="S316" s="220"/>
      <c r="T316" s="220"/>
      <c r="U316" s="220"/>
      <c r="V316" s="220"/>
      <c r="W316" s="220"/>
      <c r="X316" s="220"/>
      <c r="Y316" s="220"/>
      <c r="Z316" s="220"/>
      <c r="AA316" s="220"/>
      <c r="AB316" s="220"/>
      <c r="AC316" s="220"/>
      <c r="AD316" s="220"/>
      <c r="AE316" s="220"/>
      <c r="AF316" s="220"/>
      <c r="AG316" s="220"/>
      <c r="AH316" s="220"/>
      <c r="AI316" s="220"/>
      <c r="AJ316" s="50"/>
      <c r="AK316" s="257"/>
      <c r="AL316" s="257"/>
      <c r="AM316" s="52"/>
      <c r="AN316" s="88"/>
    </row>
    <row r="317" spans="1:40" s="29" customFormat="1" ht="17.25" customHeight="1">
      <c r="A317" s="48"/>
      <c r="B317" s="49"/>
      <c r="C317" s="220"/>
      <c r="D317" s="220"/>
      <c r="E317" s="220"/>
      <c r="F317" s="220"/>
      <c r="G317" s="220"/>
      <c r="H317" s="220"/>
      <c r="I317" s="220"/>
      <c r="J317" s="220"/>
      <c r="K317" s="220"/>
      <c r="L317" s="220"/>
      <c r="M317" s="220"/>
      <c r="N317" s="220"/>
      <c r="O317" s="220"/>
      <c r="P317" s="220"/>
      <c r="Q317" s="220"/>
      <c r="R317" s="220"/>
      <c r="S317" s="220"/>
      <c r="T317" s="220"/>
      <c r="U317" s="220"/>
      <c r="V317" s="220"/>
      <c r="W317" s="220"/>
      <c r="X317" s="220"/>
      <c r="Y317" s="220"/>
      <c r="Z317" s="220"/>
      <c r="AA317" s="220"/>
      <c r="AB317" s="220"/>
      <c r="AC317" s="220"/>
      <c r="AD317" s="220"/>
      <c r="AE317" s="220"/>
      <c r="AF317" s="220"/>
      <c r="AG317" s="220"/>
      <c r="AH317" s="220"/>
      <c r="AI317" s="220"/>
      <c r="AJ317" s="50"/>
      <c r="AK317" s="257"/>
      <c r="AL317" s="257"/>
      <c r="AM317" s="52"/>
      <c r="AN317" s="88"/>
    </row>
    <row r="318" spans="1:40" s="29" customFormat="1" ht="17.25" customHeight="1">
      <c r="A318" s="48"/>
      <c r="B318" s="49"/>
      <c r="C318" s="220"/>
      <c r="D318" s="220"/>
      <c r="E318" s="220"/>
      <c r="F318" s="220"/>
      <c r="G318" s="220"/>
      <c r="H318" s="220"/>
      <c r="I318" s="220"/>
      <c r="J318" s="220"/>
      <c r="K318" s="220"/>
      <c r="L318" s="220"/>
      <c r="M318" s="220"/>
      <c r="N318" s="220"/>
      <c r="O318" s="220"/>
      <c r="P318" s="220"/>
      <c r="Q318" s="220"/>
      <c r="R318" s="220"/>
      <c r="S318" s="220"/>
      <c r="T318" s="220"/>
      <c r="U318" s="220"/>
      <c r="V318" s="220"/>
      <c r="W318" s="220"/>
      <c r="X318" s="220"/>
      <c r="Y318" s="220"/>
      <c r="Z318" s="220"/>
      <c r="AA318" s="220"/>
      <c r="AB318" s="220"/>
      <c r="AC318" s="220"/>
      <c r="AD318" s="220"/>
      <c r="AE318" s="220"/>
      <c r="AF318" s="220"/>
      <c r="AG318" s="220"/>
      <c r="AH318" s="220"/>
      <c r="AI318" s="220"/>
      <c r="AJ318" s="50"/>
      <c r="AK318" s="257"/>
      <c r="AL318" s="257"/>
      <c r="AM318" s="52"/>
      <c r="AN318" s="88"/>
    </row>
    <row r="319" spans="1:40" s="29" customFormat="1" ht="17.25" customHeight="1">
      <c r="A319" s="48"/>
      <c r="B319" s="49"/>
      <c r="C319" s="220"/>
      <c r="D319" s="220"/>
      <c r="E319" s="220"/>
      <c r="F319" s="220"/>
      <c r="G319" s="220"/>
      <c r="H319" s="220"/>
      <c r="I319" s="220"/>
      <c r="J319" s="220"/>
      <c r="K319" s="220"/>
      <c r="L319" s="220"/>
      <c r="M319" s="220"/>
      <c r="N319" s="220"/>
      <c r="O319" s="220"/>
      <c r="P319" s="220"/>
      <c r="Q319" s="220"/>
      <c r="R319" s="220"/>
      <c r="S319" s="220"/>
      <c r="T319" s="220"/>
      <c r="U319" s="220"/>
      <c r="V319" s="220"/>
      <c r="W319" s="220"/>
      <c r="X319" s="220"/>
      <c r="Y319" s="220"/>
      <c r="Z319" s="220"/>
      <c r="AA319" s="220"/>
      <c r="AB319" s="220"/>
      <c r="AC319" s="220"/>
      <c r="AD319" s="220"/>
      <c r="AE319" s="220"/>
      <c r="AF319" s="220"/>
      <c r="AG319" s="220"/>
      <c r="AH319" s="220"/>
      <c r="AI319" s="220"/>
      <c r="AJ319" s="50"/>
      <c r="AK319" s="257"/>
      <c r="AL319" s="257"/>
      <c r="AM319" s="52"/>
      <c r="AN319" s="88"/>
    </row>
    <row r="320" spans="1:40" s="29" customFormat="1" ht="17.25" customHeight="1">
      <c r="A320" s="48"/>
      <c r="B320" s="49"/>
      <c r="C320" s="220"/>
      <c r="D320" s="220"/>
      <c r="E320" s="220"/>
      <c r="F320" s="220"/>
      <c r="G320" s="220"/>
      <c r="H320" s="220"/>
      <c r="I320" s="220"/>
      <c r="J320" s="220"/>
      <c r="K320" s="220"/>
      <c r="L320" s="220"/>
      <c r="M320" s="220"/>
      <c r="N320" s="220"/>
      <c r="O320" s="220"/>
      <c r="P320" s="220"/>
      <c r="Q320" s="220"/>
      <c r="R320" s="220"/>
      <c r="S320" s="220"/>
      <c r="T320" s="220"/>
      <c r="U320" s="220"/>
      <c r="V320" s="220"/>
      <c r="W320" s="220"/>
      <c r="X320" s="220"/>
      <c r="Y320" s="220"/>
      <c r="Z320" s="220"/>
      <c r="AA320" s="220"/>
      <c r="AB320" s="220"/>
      <c r="AC320" s="220"/>
      <c r="AD320" s="220"/>
      <c r="AE320" s="220"/>
      <c r="AF320" s="220"/>
      <c r="AG320" s="220"/>
      <c r="AH320" s="220"/>
      <c r="AI320" s="220"/>
      <c r="AJ320" s="50"/>
      <c r="AK320" s="257"/>
      <c r="AL320" s="257"/>
      <c r="AM320" s="52"/>
      <c r="AN320" s="88"/>
    </row>
    <row r="321" spans="1:40" s="29" customFormat="1" ht="17.25" customHeight="1">
      <c r="A321" s="48"/>
      <c r="B321" s="49"/>
      <c r="C321" s="220"/>
      <c r="D321" s="220"/>
      <c r="E321" s="220"/>
      <c r="F321" s="220"/>
      <c r="G321" s="220"/>
      <c r="H321" s="220"/>
      <c r="I321" s="220"/>
      <c r="J321" s="220"/>
      <c r="K321" s="220"/>
      <c r="L321" s="220"/>
      <c r="M321" s="220"/>
      <c r="N321" s="220"/>
      <c r="O321" s="220"/>
      <c r="P321" s="220"/>
      <c r="Q321" s="220"/>
      <c r="R321" s="220"/>
      <c r="S321" s="220"/>
      <c r="T321" s="220"/>
      <c r="U321" s="220"/>
      <c r="V321" s="220"/>
      <c r="W321" s="220"/>
      <c r="X321" s="220"/>
      <c r="Y321" s="220"/>
      <c r="Z321" s="220"/>
      <c r="AA321" s="220"/>
      <c r="AB321" s="220"/>
      <c r="AC321" s="220"/>
      <c r="AD321" s="220"/>
      <c r="AE321" s="220"/>
      <c r="AF321" s="220"/>
      <c r="AG321" s="220"/>
      <c r="AH321" s="220"/>
      <c r="AI321" s="220"/>
      <c r="AJ321" s="50"/>
      <c r="AK321" s="257"/>
      <c r="AL321" s="257"/>
      <c r="AM321" s="52"/>
      <c r="AN321" s="88"/>
    </row>
    <row r="322" spans="1:40" s="29" customFormat="1" ht="17.25" customHeight="1">
      <c r="A322" s="48"/>
      <c r="B322" s="49"/>
      <c r="C322" s="220"/>
      <c r="D322" s="220"/>
      <c r="E322" s="220"/>
      <c r="F322" s="220"/>
      <c r="G322" s="220"/>
      <c r="H322" s="220"/>
      <c r="I322" s="220"/>
      <c r="J322" s="220"/>
      <c r="K322" s="220"/>
      <c r="L322" s="220"/>
      <c r="M322" s="220"/>
      <c r="N322" s="220"/>
      <c r="O322" s="220"/>
      <c r="P322" s="220"/>
      <c r="Q322" s="220"/>
      <c r="R322" s="220"/>
      <c r="S322" s="220"/>
      <c r="T322" s="220"/>
      <c r="U322" s="220"/>
      <c r="V322" s="220"/>
      <c r="W322" s="220"/>
      <c r="X322" s="220"/>
      <c r="Y322" s="220"/>
      <c r="Z322" s="220"/>
      <c r="AA322" s="220"/>
      <c r="AB322" s="220"/>
      <c r="AC322" s="220"/>
      <c r="AD322" s="220"/>
      <c r="AE322" s="220"/>
      <c r="AF322" s="220"/>
      <c r="AG322" s="220"/>
      <c r="AH322" s="220"/>
      <c r="AI322" s="220"/>
      <c r="AJ322" s="50"/>
      <c r="AK322" s="257"/>
      <c r="AL322" s="257"/>
      <c r="AM322" s="52"/>
      <c r="AN322" s="88"/>
    </row>
    <row r="323" spans="1:40" s="29" customFormat="1" ht="17.25" customHeight="1">
      <c r="A323" s="48"/>
      <c r="B323" s="49"/>
      <c r="C323" s="220"/>
      <c r="D323" s="220"/>
      <c r="E323" s="220"/>
      <c r="F323" s="220"/>
      <c r="G323" s="220"/>
      <c r="H323" s="220"/>
      <c r="I323" s="220"/>
      <c r="J323" s="220"/>
      <c r="K323" s="220"/>
      <c r="L323" s="220"/>
      <c r="M323" s="220"/>
      <c r="N323" s="220"/>
      <c r="O323" s="220"/>
      <c r="P323" s="220"/>
      <c r="Q323" s="220"/>
      <c r="R323" s="220"/>
      <c r="S323" s="220"/>
      <c r="T323" s="220"/>
      <c r="U323" s="220"/>
      <c r="V323" s="220"/>
      <c r="W323" s="220"/>
      <c r="X323" s="220"/>
      <c r="Y323" s="220"/>
      <c r="Z323" s="220"/>
      <c r="AA323" s="220"/>
      <c r="AB323" s="220"/>
      <c r="AC323" s="220"/>
      <c r="AD323" s="220"/>
      <c r="AE323" s="220"/>
      <c r="AF323" s="220"/>
      <c r="AG323" s="220"/>
      <c r="AH323" s="220"/>
      <c r="AI323" s="220"/>
      <c r="AJ323" s="50"/>
      <c r="AK323" s="257"/>
      <c r="AL323" s="257"/>
      <c r="AM323" s="52"/>
      <c r="AN323" s="88"/>
    </row>
    <row r="324" spans="1:40" s="29" customFormat="1" ht="17.25" customHeight="1">
      <c r="A324" s="48"/>
      <c r="B324" s="49"/>
      <c r="C324" s="220"/>
      <c r="D324" s="220"/>
      <c r="E324" s="220"/>
      <c r="F324" s="220"/>
      <c r="G324" s="220"/>
      <c r="H324" s="220"/>
      <c r="I324" s="220"/>
      <c r="J324" s="220"/>
      <c r="K324" s="220"/>
      <c r="L324" s="220"/>
      <c r="M324" s="220"/>
      <c r="N324" s="220"/>
      <c r="O324" s="220"/>
      <c r="P324" s="220"/>
      <c r="Q324" s="220"/>
      <c r="R324" s="220"/>
      <c r="S324" s="220"/>
      <c r="T324" s="220"/>
      <c r="U324" s="220"/>
      <c r="V324" s="220"/>
      <c r="W324" s="220"/>
      <c r="X324" s="220"/>
      <c r="Y324" s="220"/>
      <c r="Z324" s="220"/>
      <c r="AA324" s="220"/>
      <c r="AB324" s="220"/>
      <c r="AC324" s="220"/>
      <c r="AD324" s="220"/>
      <c r="AE324" s="220"/>
      <c r="AF324" s="220"/>
      <c r="AG324" s="220"/>
      <c r="AH324" s="220"/>
      <c r="AI324" s="220"/>
      <c r="AJ324" s="50"/>
      <c r="AK324" s="257"/>
      <c r="AL324" s="257"/>
      <c r="AM324" s="52"/>
      <c r="AN324" s="88"/>
    </row>
    <row r="325" spans="1:40" s="29" customFormat="1" ht="17.25" customHeight="1">
      <c r="A325" s="48"/>
      <c r="B325" s="49"/>
      <c r="C325" s="220"/>
      <c r="D325" s="220"/>
      <c r="E325" s="220"/>
      <c r="F325" s="220"/>
      <c r="G325" s="220"/>
      <c r="H325" s="220"/>
      <c r="I325" s="220"/>
      <c r="J325" s="220"/>
      <c r="K325" s="220"/>
      <c r="L325" s="220"/>
      <c r="M325" s="220"/>
      <c r="N325" s="220"/>
      <c r="O325" s="220"/>
      <c r="P325" s="220"/>
      <c r="Q325" s="220"/>
      <c r="R325" s="220"/>
      <c r="S325" s="220"/>
      <c r="T325" s="220"/>
      <c r="U325" s="220"/>
      <c r="V325" s="220"/>
      <c r="W325" s="220"/>
      <c r="X325" s="220"/>
      <c r="Y325" s="220"/>
      <c r="Z325" s="220"/>
      <c r="AA325" s="220"/>
      <c r="AB325" s="220"/>
      <c r="AC325" s="220"/>
      <c r="AD325" s="220"/>
      <c r="AE325" s="220"/>
      <c r="AF325" s="220"/>
      <c r="AG325" s="220"/>
      <c r="AH325" s="220"/>
      <c r="AI325" s="220"/>
      <c r="AJ325" s="50"/>
      <c r="AK325" s="257"/>
      <c r="AL325" s="257"/>
      <c r="AM325" s="52"/>
      <c r="AN325" s="88"/>
    </row>
    <row r="326" spans="1:40" s="29" customFormat="1" ht="17.25" customHeight="1">
      <c r="A326" s="48"/>
      <c r="B326" s="49"/>
      <c r="C326" s="220"/>
      <c r="D326" s="220"/>
      <c r="E326" s="220"/>
      <c r="F326" s="220"/>
      <c r="G326" s="220"/>
      <c r="H326" s="220"/>
      <c r="I326" s="220"/>
      <c r="J326" s="220"/>
      <c r="K326" s="220"/>
      <c r="L326" s="220"/>
      <c r="M326" s="220"/>
      <c r="N326" s="220"/>
      <c r="O326" s="220"/>
      <c r="P326" s="220"/>
      <c r="Q326" s="220"/>
      <c r="R326" s="220"/>
      <c r="S326" s="220"/>
      <c r="T326" s="220"/>
      <c r="U326" s="220"/>
      <c r="V326" s="220"/>
      <c r="W326" s="220"/>
      <c r="X326" s="220"/>
      <c r="Y326" s="220"/>
      <c r="Z326" s="220"/>
      <c r="AA326" s="220"/>
      <c r="AB326" s="220"/>
      <c r="AC326" s="220"/>
      <c r="AD326" s="220"/>
      <c r="AE326" s="220"/>
      <c r="AF326" s="220"/>
      <c r="AG326" s="220"/>
      <c r="AH326" s="220"/>
      <c r="AI326" s="220"/>
      <c r="AJ326" s="50"/>
      <c r="AK326" s="257"/>
      <c r="AL326" s="257"/>
      <c r="AM326" s="52"/>
      <c r="AN326" s="88"/>
    </row>
    <row r="327" spans="1:40" s="29" customFormat="1" ht="17.25" customHeight="1">
      <c r="A327" s="48"/>
      <c r="B327" s="49"/>
      <c r="C327" s="220"/>
      <c r="D327" s="220"/>
      <c r="E327" s="220"/>
      <c r="F327" s="220"/>
      <c r="G327" s="220"/>
      <c r="H327" s="220"/>
      <c r="I327" s="220"/>
      <c r="J327" s="220"/>
      <c r="K327" s="220"/>
      <c r="L327" s="220"/>
      <c r="M327" s="220"/>
      <c r="N327" s="220"/>
      <c r="O327" s="220"/>
      <c r="P327" s="220"/>
      <c r="Q327" s="220"/>
      <c r="R327" s="220"/>
      <c r="S327" s="220"/>
      <c r="T327" s="220"/>
      <c r="U327" s="220"/>
      <c r="V327" s="220"/>
      <c r="W327" s="220"/>
      <c r="X327" s="220"/>
      <c r="Y327" s="220"/>
      <c r="Z327" s="220"/>
      <c r="AA327" s="220"/>
      <c r="AB327" s="220"/>
      <c r="AC327" s="220"/>
      <c r="AD327" s="220"/>
      <c r="AE327" s="220"/>
      <c r="AF327" s="220"/>
      <c r="AG327" s="220"/>
      <c r="AH327" s="220"/>
      <c r="AI327" s="220"/>
      <c r="AJ327" s="50"/>
      <c r="AK327" s="257"/>
      <c r="AL327" s="257"/>
      <c r="AM327" s="52"/>
      <c r="AN327" s="88"/>
    </row>
    <row r="328" spans="1:40" s="29" customFormat="1" ht="17.25" customHeight="1">
      <c r="A328" s="48"/>
      <c r="B328" s="49"/>
      <c r="C328" s="220"/>
      <c r="D328" s="220"/>
      <c r="E328" s="220"/>
      <c r="F328" s="220"/>
      <c r="G328" s="220"/>
      <c r="H328" s="220"/>
      <c r="I328" s="220"/>
      <c r="J328" s="220"/>
      <c r="K328" s="220"/>
      <c r="L328" s="220"/>
      <c r="M328" s="220"/>
      <c r="N328" s="220"/>
      <c r="O328" s="220"/>
      <c r="P328" s="220"/>
      <c r="Q328" s="220"/>
      <c r="R328" s="220"/>
      <c r="S328" s="220"/>
      <c r="T328" s="220"/>
      <c r="U328" s="220"/>
      <c r="V328" s="220"/>
      <c r="W328" s="220"/>
      <c r="X328" s="220"/>
      <c r="Y328" s="220"/>
      <c r="Z328" s="220"/>
      <c r="AA328" s="220"/>
      <c r="AB328" s="220"/>
      <c r="AC328" s="220"/>
      <c r="AD328" s="220"/>
      <c r="AE328" s="220"/>
      <c r="AF328" s="220"/>
      <c r="AG328" s="220"/>
      <c r="AH328" s="220"/>
      <c r="AI328" s="220"/>
      <c r="AJ328" s="50"/>
      <c r="AK328" s="257"/>
      <c r="AL328" s="257"/>
      <c r="AM328" s="52"/>
      <c r="AN328" s="88"/>
    </row>
    <row r="329" spans="1:40" s="29" customFormat="1" ht="17.25" customHeight="1">
      <c r="A329" s="48"/>
      <c r="B329" s="49"/>
      <c r="C329" s="220"/>
      <c r="D329" s="220"/>
      <c r="E329" s="220"/>
      <c r="F329" s="220"/>
      <c r="G329" s="220"/>
      <c r="H329" s="220"/>
      <c r="I329" s="220"/>
      <c r="J329" s="220"/>
      <c r="K329" s="220"/>
      <c r="L329" s="220"/>
      <c r="M329" s="220"/>
      <c r="N329" s="220"/>
      <c r="O329" s="220"/>
      <c r="P329" s="220"/>
      <c r="Q329" s="220"/>
      <c r="R329" s="220"/>
      <c r="S329" s="220"/>
      <c r="T329" s="220"/>
      <c r="U329" s="220"/>
      <c r="V329" s="220"/>
      <c r="W329" s="220"/>
      <c r="X329" s="220"/>
      <c r="Y329" s="220"/>
      <c r="Z329" s="220"/>
      <c r="AA329" s="220"/>
      <c r="AB329" s="220"/>
      <c r="AC329" s="220"/>
      <c r="AD329" s="220"/>
      <c r="AE329" s="220"/>
      <c r="AF329" s="220"/>
      <c r="AG329" s="220"/>
      <c r="AH329" s="220"/>
      <c r="AI329" s="220"/>
      <c r="AJ329" s="50"/>
      <c r="AK329" s="257"/>
      <c r="AL329" s="257"/>
      <c r="AM329" s="52"/>
      <c r="AN329" s="88"/>
    </row>
    <row r="330" spans="1:40" s="29" customFormat="1" ht="17.25" customHeight="1">
      <c r="A330" s="48"/>
      <c r="B330" s="49"/>
      <c r="C330" s="220"/>
      <c r="D330" s="220"/>
      <c r="E330" s="220"/>
      <c r="F330" s="220"/>
      <c r="G330" s="220"/>
      <c r="H330" s="220"/>
      <c r="I330" s="220"/>
      <c r="J330" s="220"/>
      <c r="K330" s="220"/>
      <c r="L330" s="220"/>
      <c r="M330" s="220"/>
      <c r="N330" s="220"/>
      <c r="O330" s="220"/>
      <c r="P330" s="220"/>
      <c r="Q330" s="220"/>
      <c r="R330" s="220"/>
      <c r="S330" s="220"/>
      <c r="T330" s="220"/>
      <c r="U330" s="220"/>
      <c r="V330" s="220"/>
      <c r="W330" s="220"/>
      <c r="X330" s="220"/>
      <c r="Y330" s="220"/>
      <c r="Z330" s="220"/>
      <c r="AA330" s="220"/>
      <c r="AB330" s="220"/>
      <c r="AC330" s="220"/>
      <c r="AD330" s="220"/>
      <c r="AE330" s="220"/>
      <c r="AF330" s="220"/>
      <c r="AG330" s="220"/>
      <c r="AH330" s="220"/>
      <c r="AI330" s="220"/>
      <c r="AJ330" s="50"/>
      <c r="AK330" s="257"/>
      <c r="AL330" s="257"/>
      <c r="AM330" s="52"/>
      <c r="AN330" s="88"/>
    </row>
    <row r="331" spans="1:40" s="29" customFormat="1" ht="17.25" customHeight="1">
      <c r="A331" s="48"/>
      <c r="B331" s="49"/>
      <c r="C331" s="220"/>
      <c r="D331" s="220"/>
      <c r="E331" s="220"/>
      <c r="F331" s="220"/>
      <c r="G331" s="220"/>
      <c r="H331" s="220"/>
      <c r="I331" s="220"/>
      <c r="J331" s="220"/>
      <c r="K331" s="220"/>
      <c r="L331" s="220"/>
      <c r="M331" s="220"/>
      <c r="N331" s="220"/>
      <c r="O331" s="220"/>
      <c r="P331" s="220"/>
      <c r="Q331" s="220"/>
      <c r="R331" s="220"/>
      <c r="S331" s="220"/>
      <c r="T331" s="220"/>
      <c r="U331" s="220"/>
      <c r="V331" s="220"/>
      <c r="W331" s="220"/>
      <c r="X331" s="220"/>
      <c r="Y331" s="220"/>
      <c r="Z331" s="220"/>
      <c r="AA331" s="220"/>
      <c r="AB331" s="220"/>
      <c r="AC331" s="220"/>
      <c r="AD331" s="220"/>
      <c r="AE331" s="220"/>
      <c r="AF331" s="220"/>
      <c r="AG331" s="220"/>
      <c r="AH331" s="220"/>
      <c r="AI331" s="220"/>
      <c r="AJ331" s="50"/>
      <c r="AK331" s="257"/>
      <c r="AL331" s="257"/>
      <c r="AM331" s="52"/>
      <c r="AN331" s="88"/>
    </row>
    <row r="332" spans="1:40" s="29" customFormat="1" ht="17.25" customHeight="1">
      <c r="A332" s="48"/>
      <c r="B332" s="49"/>
      <c r="C332" s="220"/>
      <c r="D332" s="220"/>
      <c r="E332" s="220"/>
      <c r="F332" s="220"/>
      <c r="G332" s="220"/>
      <c r="H332" s="220"/>
      <c r="I332" s="220"/>
      <c r="J332" s="220"/>
      <c r="K332" s="220"/>
      <c r="L332" s="220"/>
      <c r="M332" s="220"/>
      <c r="N332" s="220"/>
      <c r="O332" s="220"/>
      <c r="P332" s="220"/>
      <c r="Q332" s="220"/>
      <c r="R332" s="220"/>
      <c r="S332" s="220"/>
      <c r="T332" s="220"/>
      <c r="U332" s="220"/>
      <c r="V332" s="220"/>
      <c r="W332" s="220"/>
      <c r="X332" s="220"/>
      <c r="Y332" s="220"/>
      <c r="Z332" s="220"/>
      <c r="AA332" s="220"/>
      <c r="AB332" s="220"/>
      <c r="AC332" s="220"/>
      <c r="AD332" s="220"/>
      <c r="AE332" s="220"/>
      <c r="AF332" s="220"/>
      <c r="AG332" s="220"/>
      <c r="AH332" s="220"/>
      <c r="AI332" s="220"/>
      <c r="AJ332" s="50"/>
      <c r="AK332" s="257"/>
      <c r="AL332" s="257"/>
      <c r="AM332" s="52"/>
      <c r="AN332" s="88"/>
    </row>
    <row r="333" spans="1:40" s="29" customFormat="1" ht="17.25" customHeight="1">
      <c r="A333" s="48"/>
      <c r="B333" s="49"/>
      <c r="C333" s="220"/>
      <c r="D333" s="220"/>
      <c r="E333" s="220"/>
      <c r="F333" s="220"/>
      <c r="G333" s="220"/>
      <c r="H333" s="220"/>
      <c r="I333" s="220"/>
      <c r="J333" s="220"/>
      <c r="K333" s="220"/>
      <c r="L333" s="220"/>
      <c r="M333" s="220"/>
      <c r="N333" s="220"/>
      <c r="O333" s="220"/>
      <c r="P333" s="220"/>
      <c r="Q333" s="220"/>
      <c r="R333" s="220"/>
      <c r="S333" s="220"/>
      <c r="T333" s="220"/>
      <c r="U333" s="220"/>
      <c r="V333" s="220"/>
      <c r="W333" s="220"/>
      <c r="X333" s="220"/>
      <c r="Y333" s="220"/>
      <c r="Z333" s="220"/>
      <c r="AA333" s="220"/>
      <c r="AB333" s="220"/>
      <c r="AC333" s="220"/>
      <c r="AD333" s="220"/>
      <c r="AE333" s="220"/>
      <c r="AF333" s="220"/>
      <c r="AG333" s="220"/>
      <c r="AH333" s="220"/>
      <c r="AI333" s="220"/>
      <c r="AJ333" s="50"/>
      <c r="AK333" s="257"/>
      <c r="AL333" s="257"/>
      <c r="AM333" s="52"/>
      <c r="AN333" s="88"/>
    </row>
    <row r="334" spans="1:40" s="29" customFormat="1" ht="17.25" customHeight="1">
      <c r="A334" s="48"/>
      <c r="B334" s="49"/>
      <c r="C334" s="220"/>
      <c r="D334" s="220"/>
      <c r="E334" s="220"/>
      <c r="F334" s="220"/>
      <c r="G334" s="220"/>
      <c r="H334" s="220"/>
      <c r="I334" s="220"/>
      <c r="J334" s="220"/>
      <c r="K334" s="220"/>
      <c r="L334" s="220"/>
      <c r="M334" s="220"/>
      <c r="N334" s="220"/>
      <c r="O334" s="220"/>
      <c r="P334" s="220"/>
      <c r="Q334" s="220"/>
      <c r="R334" s="220"/>
      <c r="S334" s="220"/>
      <c r="T334" s="220"/>
      <c r="U334" s="220"/>
      <c r="V334" s="220"/>
      <c r="W334" s="220"/>
      <c r="X334" s="220"/>
      <c r="Y334" s="220"/>
      <c r="Z334" s="220"/>
      <c r="AA334" s="220"/>
      <c r="AB334" s="220"/>
      <c r="AC334" s="220"/>
      <c r="AD334" s="220"/>
      <c r="AE334" s="220"/>
      <c r="AF334" s="220"/>
      <c r="AG334" s="220"/>
      <c r="AH334" s="220"/>
      <c r="AI334" s="220"/>
      <c r="AJ334" s="50"/>
      <c r="AK334" s="257"/>
      <c r="AL334" s="257"/>
      <c r="AM334" s="52"/>
      <c r="AN334" s="88"/>
    </row>
    <row r="335" spans="1:40" s="29" customFormat="1" ht="17.25" customHeight="1">
      <c r="A335" s="48"/>
      <c r="B335" s="49"/>
      <c r="C335" s="220"/>
      <c r="D335" s="220"/>
      <c r="E335" s="220"/>
      <c r="F335" s="220"/>
      <c r="G335" s="220"/>
      <c r="H335" s="220"/>
      <c r="I335" s="220"/>
      <c r="J335" s="220"/>
      <c r="K335" s="220"/>
      <c r="L335" s="220"/>
      <c r="M335" s="220"/>
      <c r="N335" s="220"/>
      <c r="O335" s="220"/>
      <c r="P335" s="220"/>
      <c r="Q335" s="220"/>
      <c r="R335" s="220"/>
      <c r="S335" s="220"/>
      <c r="T335" s="220"/>
      <c r="U335" s="220"/>
      <c r="V335" s="220"/>
      <c r="W335" s="220"/>
      <c r="X335" s="220"/>
      <c r="Y335" s="220"/>
      <c r="Z335" s="220"/>
      <c r="AA335" s="220"/>
      <c r="AB335" s="220"/>
      <c r="AC335" s="220"/>
      <c r="AD335" s="220"/>
      <c r="AE335" s="220"/>
      <c r="AF335" s="220"/>
      <c r="AG335" s="220"/>
      <c r="AH335" s="220"/>
      <c r="AI335" s="220"/>
      <c r="AJ335" s="50"/>
      <c r="AK335" s="257"/>
      <c r="AL335" s="257"/>
      <c r="AM335" s="52"/>
      <c r="AN335" s="88"/>
    </row>
    <row r="336" spans="1:40" s="29" customFormat="1" ht="17.25" customHeight="1">
      <c r="A336" s="48"/>
      <c r="B336" s="49"/>
      <c r="C336" s="220"/>
      <c r="D336" s="220"/>
      <c r="E336" s="220"/>
      <c r="F336" s="220"/>
      <c r="G336" s="220"/>
      <c r="H336" s="220"/>
      <c r="I336" s="220"/>
      <c r="J336" s="220"/>
      <c r="K336" s="220"/>
      <c r="L336" s="220"/>
      <c r="M336" s="220"/>
      <c r="N336" s="220"/>
      <c r="O336" s="220"/>
      <c r="P336" s="220"/>
      <c r="Q336" s="220"/>
      <c r="R336" s="220"/>
      <c r="S336" s="220"/>
      <c r="T336" s="220"/>
      <c r="U336" s="220"/>
      <c r="V336" s="220"/>
      <c r="W336" s="220"/>
      <c r="X336" s="220"/>
      <c r="Y336" s="220"/>
      <c r="Z336" s="220"/>
      <c r="AA336" s="220"/>
      <c r="AB336" s="220"/>
      <c r="AC336" s="220"/>
      <c r="AD336" s="220"/>
      <c r="AE336" s="220"/>
      <c r="AF336" s="220"/>
      <c r="AG336" s="220"/>
      <c r="AH336" s="220"/>
      <c r="AI336" s="220"/>
      <c r="AJ336" s="50"/>
      <c r="AK336" s="257"/>
      <c r="AL336" s="257"/>
      <c r="AM336" s="52"/>
      <c r="AN336" s="88"/>
    </row>
    <row r="337" spans="1:40" s="29" customFormat="1" ht="17.25" customHeight="1">
      <c r="A337" s="48"/>
      <c r="B337" s="49"/>
      <c r="C337" s="220"/>
      <c r="D337" s="220"/>
      <c r="E337" s="220"/>
      <c r="F337" s="220"/>
      <c r="G337" s="220"/>
      <c r="H337" s="220"/>
      <c r="I337" s="220"/>
      <c r="J337" s="220"/>
      <c r="K337" s="220"/>
      <c r="L337" s="220"/>
      <c r="M337" s="220"/>
      <c r="N337" s="220"/>
      <c r="O337" s="220"/>
      <c r="P337" s="220"/>
      <c r="Q337" s="220"/>
      <c r="R337" s="220"/>
      <c r="S337" s="220"/>
      <c r="T337" s="220"/>
      <c r="U337" s="220"/>
      <c r="V337" s="220"/>
      <c r="W337" s="220"/>
      <c r="X337" s="220"/>
      <c r="Y337" s="220"/>
      <c r="Z337" s="220"/>
      <c r="AA337" s="220"/>
      <c r="AB337" s="220"/>
      <c r="AC337" s="220"/>
      <c r="AD337" s="220"/>
      <c r="AE337" s="220"/>
      <c r="AF337" s="220"/>
      <c r="AG337" s="220"/>
      <c r="AH337" s="220"/>
      <c r="AI337" s="220"/>
      <c r="AJ337" s="50"/>
      <c r="AK337" s="257"/>
      <c r="AL337" s="257"/>
      <c r="AM337" s="52"/>
      <c r="AN337" s="88"/>
    </row>
    <row r="338" spans="1:40" s="29" customFormat="1" ht="17.25" customHeight="1">
      <c r="A338" s="48"/>
      <c r="B338" s="49"/>
      <c r="C338" s="220"/>
      <c r="D338" s="220"/>
      <c r="E338" s="220"/>
      <c r="F338" s="220"/>
      <c r="G338" s="220"/>
      <c r="H338" s="220"/>
      <c r="I338" s="220"/>
      <c r="J338" s="220"/>
      <c r="K338" s="220"/>
      <c r="L338" s="220"/>
      <c r="M338" s="220"/>
      <c r="N338" s="220"/>
      <c r="O338" s="220"/>
      <c r="P338" s="220"/>
      <c r="Q338" s="220"/>
      <c r="R338" s="220"/>
      <c r="S338" s="220"/>
      <c r="T338" s="220"/>
      <c r="U338" s="220"/>
      <c r="V338" s="220"/>
      <c r="W338" s="220"/>
      <c r="X338" s="220"/>
      <c r="Y338" s="220"/>
      <c r="Z338" s="220"/>
      <c r="AA338" s="220"/>
      <c r="AB338" s="220"/>
      <c r="AC338" s="220"/>
      <c r="AD338" s="220"/>
      <c r="AE338" s="220"/>
      <c r="AF338" s="220"/>
      <c r="AG338" s="220"/>
      <c r="AH338" s="220"/>
      <c r="AI338" s="220"/>
      <c r="AJ338" s="50"/>
      <c r="AK338" s="257"/>
      <c r="AL338" s="257"/>
      <c r="AM338" s="52"/>
      <c r="AN338" s="88"/>
    </row>
    <row r="339" spans="1:40" s="29" customFormat="1" ht="17.25" customHeight="1">
      <c r="A339" s="48"/>
      <c r="B339" s="49"/>
      <c r="C339" s="220"/>
      <c r="D339" s="220"/>
      <c r="E339" s="220"/>
      <c r="F339" s="220"/>
      <c r="G339" s="220"/>
      <c r="H339" s="220"/>
      <c r="I339" s="220"/>
      <c r="J339" s="220"/>
      <c r="K339" s="220"/>
      <c r="L339" s="220"/>
      <c r="M339" s="220"/>
      <c r="N339" s="220"/>
      <c r="O339" s="220"/>
      <c r="P339" s="220"/>
      <c r="Q339" s="220"/>
      <c r="R339" s="220"/>
      <c r="S339" s="220"/>
      <c r="T339" s="220"/>
      <c r="U339" s="220"/>
      <c r="V339" s="220"/>
      <c r="W339" s="220"/>
      <c r="X339" s="220"/>
      <c r="Y339" s="220"/>
      <c r="Z339" s="220"/>
      <c r="AA339" s="220"/>
      <c r="AB339" s="220"/>
      <c r="AC339" s="220"/>
      <c r="AD339" s="220"/>
      <c r="AE339" s="220"/>
      <c r="AF339" s="220"/>
      <c r="AG339" s="220"/>
      <c r="AH339" s="220"/>
      <c r="AI339" s="220"/>
      <c r="AJ339" s="50"/>
      <c r="AK339" s="257"/>
      <c r="AL339" s="257"/>
      <c r="AM339" s="52"/>
      <c r="AN339" s="88"/>
    </row>
    <row r="340" spans="1:40" s="29" customFormat="1" ht="17.25" customHeight="1">
      <c r="A340" s="48"/>
      <c r="B340" s="49"/>
      <c r="C340" s="220"/>
      <c r="D340" s="220"/>
      <c r="E340" s="220"/>
      <c r="F340" s="220"/>
      <c r="G340" s="220"/>
      <c r="H340" s="220"/>
      <c r="I340" s="220"/>
      <c r="J340" s="220"/>
      <c r="K340" s="220"/>
      <c r="L340" s="220"/>
      <c r="M340" s="220"/>
      <c r="N340" s="220"/>
      <c r="O340" s="220"/>
      <c r="P340" s="220"/>
      <c r="Q340" s="220"/>
      <c r="R340" s="220"/>
      <c r="S340" s="220"/>
      <c r="T340" s="220"/>
      <c r="U340" s="220"/>
      <c r="V340" s="220"/>
      <c r="W340" s="220"/>
      <c r="X340" s="220"/>
      <c r="Y340" s="220"/>
      <c r="Z340" s="220"/>
      <c r="AA340" s="220"/>
      <c r="AB340" s="220"/>
      <c r="AC340" s="220"/>
      <c r="AD340" s="220"/>
      <c r="AE340" s="220"/>
      <c r="AF340" s="220"/>
      <c r="AG340" s="220"/>
      <c r="AH340" s="220"/>
      <c r="AI340" s="220"/>
      <c r="AJ340" s="50"/>
      <c r="AK340" s="257"/>
      <c r="AL340" s="257"/>
      <c r="AM340" s="52"/>
      <c r="AN340" s="88"/>
    </row>
    <row r="341" spans="1:40" s="29" customFormat="1" ht="17.25" customHeight="1">
      <c r="A341" s="48"/>
      <c r="B341" s="49"/>
      <c r="C341" s="220"/>
      <c r="D341" s="220"/>
      <c r="E341" s="220"/>
      <c r="F341" s="220"/>
      <c r="G341" s="220"/>
      <c r="H341" s="220"/>
      <c r="I341" s="220"/>
      <c r="J341" s="220"/>
      <c r="K341" s="220"/>
      <c r="L341" s="220"/>
      <c r="M341" s="220"/>
      <c r="N341" s="220"/>
      <c r="O341" s="220"/>
      <c r="P341" s="220"/>
      <c r="Q341" s="220"/>
      <c r="R341" s="220"/>
      <c r="S341" s="220"/>
      <c r="T341" s="220"/>
      <c r="U341" s="220"/>
      <c r="V341" s="220"/>
      <c r="W341" s="220"/>
      <c r="X341" s="220"/>
      <c r="Y341" s="220"/>
      <c r="Z341" s="220"/>
      <c r="AA341" s="220"/>
      <c r="AB341" s="220"/>
      <c r="AC341" s="220"/>
      <c r="AD341" s="220"/>
      <c r="AE341" s="220"/>
      <c r="AF341" s="220"/>
      <c r="AG341" s="220"/>
      <c r="AH341" s="220"/>
      <c r="AI341" s="220"/>
      <c r="AJ341" s="50"/>
      <c r="AK341" s="257"/>
      <c r="AL341" s="257"/>
      <c r="AM341" s="52"/>
      <c r="AN341" s="88"/>
    </row>
    <row r="342" spans="1:40" s="29" customFormat="1" ht="17.25" customHeight="1">
      <c r="A342" s="48"/>
      <c r="B342" s="49"/>
      <c r="C342" s="220"/>
      <c r="D342" s="220"/>
      <c r="E342" s="220"/>
      <c r="F342" s="220"/>
      <c r="G342" s="220"/>
      <c r="H342" s="220"/>
      <c r="I342" s="220"/>
      <c r="J342" s="220"/>
      <c r="K342" s="220"/>
      <c r="L342" s="220"/>
      <c r="M342" s="220"/>
      <c r="N342" s="220"/>
      <c r="O342" s="220"/>
      <c r="P342" s="220"/>
      <c r="Q342" s="220"/>
      <c r="R342" s="220"/>
      <c r="S342" s="220"/>
      <c r="T342" s="220"/>
      <c r="U342" s="220"/>
      <c r="V342" s="220"/>
      <c r="W342" s="220"/>
      <c r="X342" s="220"/>
      <c r="Y342" s="220"/>
      <c r="Z342" s="220"/>
      <c r="AA342" s="220"/>
      <c r="AB342" s="220"/>
      <c r="AC342" s="220"/>
      <c r="AD342" s="220"/>
      <c r="AE342" s="220"/>
      <c r="AF342" s="220"/>
      <c r="AG342" s="220"/>
      <c r="AH342" s="220"/>
      <c r="AI342" s="220"/>
      <c r="AJ342" s="50"/>
      <c r="AK342" s="257"/>
      <c r="AL342" s="257"/>
      <c r="AM342" s="52"/>
      <c r="AN342" s="88"/>
    </row>
    <row r="343" spans="1:40" s="29" customFormat="1" ht="17.25" customHeight="1">
      <c r="A343" s="48"/>
      <c r="B343" s="49"/>
      <c r="C343" s="220"/>
      <c r="D343" s="220"/>
      <c r="E343" s="220"/>
      <c r="F343" s="220"/>
      <c r="G343" s="220"/>
      <c r="H343" s="220"/>
      <c r="I343" s="220"/>
      <c r="J343" s="220"/>
      <c r="K343" s="220"/>
      <c r="L343" s="220"/>
      <c r="M343" s="220"/>
      <c r="N343" s="220"/>
      <c r="O343" s="220"/>
      <c r="P343" s="220"/>
      <c r="Q343" s="220"/>
      <c r="R343" s="220"/>
      <c r="S343" s="220"/>
      <c r="T343" s="220"/>
      <c r="U343" s="220"/>
      <c r="V343" s="220"/>
      <c r="W343" s="220"/>
      <c r="X343" s="220"/>
      <c r="Y343" s="220"/>
      <c r="Z343" s="220"/>
      <c r="AA343" s="220"/>
      <c r="AB343" s="220"/>
      <c r="AC343" s="220"/>
      <c r="AD343" s="220"/>
      <c r="AE343" s="220"/>
      <c r="AF343" s="220"/>
      <c r="AG343" s="220"/>
      <c r="AH343" s="220"/>
      <c r="AI343" s="220"/>
      <c r="AJ343" s="50"/>
      <c r="AK343" s="257"/>
      <c r="AL343" s="257"/>
      <c r="AM343" s="52"/>
      <c r="AN343" s="88"/>
    </row>
    <row r="344" spans="1:40" s="29" customFormat="1" ht="17.25" customHeight="1">
      <c r="A344" s="48"/>
      <c r="B344" s="49"/>
      <c r="C344" s="220"/>
      <c r="D344" s="220"/>
      <c r="E344" s="220"/>
      <c r="F344" s="220"/>
      <c r="G344" s="220"/>
      <c r="H344" s="220"/>
      <c r="I344" s="220"/>
      <c r="J344" s="220"/>
      <c r="K344" s="220"/>
      <c r="L344" s="220"/>
      <c r="M344" s="220"/>
      <c r="N344" s="220"/>
      <c r="O344" s="220"/>
      <c r="P344" s="220"/>
      <c r="Q344" s="220"/>
      <c r="R344" s="220"/>
      <c r="S344" s="220"/>
      <c r="T344" s="220"/>
      <c r="U344" s="220"/>
      <c r="V344" s="220"/>
      <c r="W344" s="220"/>
      <c r="X344" s="220"/>
      <c r="Y344" s="220"/>
      <c r="Z344" s="220"/>
      <c r="AA344" s="220"/>
      <c r="AB344" s="220"/>
      <c r="AC344" s="220"/>
      <c r="AD344" s="220"/>
      <c r="AE344" s="220"/>
      <c r="AF344" s="220"/>
      <c r="AG344" s="220"/>
      <c r="AH344" s="220"/>
      <c r="AI344" s="220"/>
      <c r="AJ344" s="50"/>
      <c r="AK344" s="257"/>
      <c r="AL344" s="257"/>
      <c r="AM344" s="52"/>
      <c r="AN344" s="88"/>
    </row>
    <row r="345" spans="1:40" s="29" customFormat="1" ht="17.25" customHeight="1">
      <c r="A345" s="48"/>
      <c r="B345" s="49"/>
      <c r="C345" s="220"/>
      <c r="D345" s="220"/>
      <c r="E345" s="220"/>
      <c r="F345" s="220"/>
      <c r="G345" s="220"/>
      <c r="H345" s="220"/>
      <c r="I345" s="220"/>
      <c r="J345" s="220"/>
      <c r="K345" s="220"/>
      <c r="L345" s="220"/>
      <c r="M345" s="220"/>
      <c r="N345" s="220"/>
      <c r="O345" s="220"/>
      <c r="P345" s="220"/>
      <c r="Q345" s="220"/>
      <c r="R345" s="220"/>
      <c r="S345" s="220"/>
      <c r="T345" s="220"/>
      <c r="U345" s="220"/>
      <c r="V345" s="220"/>
      <c r="W345" s="220"/>
      <c r="X345" s="220"/>
      <c r="Y345" s="220"/>
      <c r="Z345" s="220"/>
      <c r="AA345" s="220"/>
      <c r="AB345" s="220"/>
      <c r="AC345" s="220"/>
      <c r="AD345" s="220"/>
      <c r="AE345" s="220"/>
      <c r="AF345" s="220"/>
      <c r="AG345" s="220"/>
      <c r="AH345" s="220"/>
      <c r="AI345" s="220"/>
      <c r="AJ345" s="50"/>
      <c r="AK345" s="257"/>
      <c r="AL345" s="257"/>
      <c r="AM345" s="52"/>
      <c r="AN345" s="88"/>
    </row>
    <row r="346" spans="1:40" s="29" customFormat="1" ht="17.25" customHeight="1">
      <c r="A346" s="48"/>
      <c r="B346" s="49"/>
      <c r="C346" s="220"/>
      <c r="D346" s="220"/>
      <c r="E346" s="220"/>
      <c r="F346" s="220"/>
      <c r="G346" s="220"/>
      <c r="H346" s="220"/>
      <c r="I346" s="220"/>
      <c r="J346" s="220"/>
      <c r="K346" s="220"/>
      <c r="L346" s="220"/>
      <c r="M346" s="220"/>
      <c r="N346" s="220"/>
      <c r="O346" s="220"/>
      <c r="P346" s="220"/>
      <c r="Q346" s="220"/>
      <c r="R346" s="220"/>
      <c r="S346" s="220"/>
      <c r="T346" s="220"/>
      <c r="U346" s="220"/>
      <c r="V346" s="220"/>
      <c r="W346" s="220"/>
      <c r="X346" s="220"/>
      <c r="Y346" s="220"/>
      <c r="Z346" s="220"/>
      <c r="AA346" s="220"/>
      <c r="AB346" s="220"/>
      <c r="AC346" s="220"/>
      <c r="AD346" s="220"/>
      <c r="AE346" s="220"/>
      <c r="AF346" s="220"/>
      <c r="AG346" s="220"/>
      <c r="AH346" s="220"/>
      <c r="AI346" s="220"/>
      <c r="AJ346" s="50"/>
      <c r="AK346" s="257"/>
      <c r="AL346" s="257"/>
      <c r="AM346" s="52"/>
      <c r="AN346" s="88"/>
    </row>
    <row r="347" spans="1:40" s="29" customFormat="1" ht="17.25" customHeight="1">
      <c r="A347" s="48"/>
      <c r="B347" s="49"/>
      <c r="C347" s="220"/>
      <c r="D347" s="220"/>
      <c r="E347" s="220"/>
      <c r="F347" s="220"/>
      <c r="G347" s="220"/>
      <c r="H347" s="220"/>
      <c r="I347" s="220"/>
      <c r="J347" s="220"/>
      <c r="K347" s="220"/>
      <c r="L347" s="220"/>
      <c r="M347" s="220"/>
      <c r="N347" s="220"/>
      <c r="O347" s="220"/>
      <c r="P347" s="220"/>
      <c r="Q347" s="220"/>
      <c r="R347" s="220"/>
      <c r="S347" s="220"/>
      <c r="T347" s="220"/>
      <c r="U347" s="220"/>
      <c r="V347" s="220"/>
      <c r="W347" s="220"/>
      <c r="X347" s="220"/>
      <c r="Y347" s="220"/>
      <c r="Z347" s="220"/>
      <c r="AA347" s="220"/>
      <c r="AB347" s="220"/>
      <c r="AC347" s="220"/>
      <c r="AD347" s="220"/>
      <c r="AE347" s="220"/>
      <c r="AF347" s="220"/>
      <c r="AG347" s="220"/>
      <c r="AH347" s="220"/>
      <c r="AI347" s="220"/>
      <c r="AJ347" s="50"/>
      <c r="AK347" s="257"/>
      <c r="AL347" s="257"/>
      <c r="AM347" s="52"/>
      <c r="AN347" s="88"/>
    </row>
    <row r="348" spans="1:40" s="29" customFormat="1" ht="17.25" customHeight="1">
      <c r="A348" s="48"/>
      <c r="B348" s="49"/>
      <c r="C348" s="220"/>
      <c r="D348" s="220"/>
      <c r="E348" s="220"/>
      <c r="F348" s="220"/>
      <c r="G348" s="220"/>
      <c r="H348" s="220"/>
      <c r="I348" s="220"/>
      <c r="J348" s="220"/>
      <c r="K348" s="220"/>
      <c r="L348" s="220"/>
      <c r="M348" s="220"/>
      <c r="N348" s="220"/>
      <c r="O348" s="220"/>
      <c r="P348" s="220"/>
      <c r="Q348" s="220"/>
      <c r="R348" s="220"/>
      <c r="S348" s="220"/>
      <c r="T348" s="220"/>
      <c r="U348" s="220"/>
      <c r="V348" s="220"/>
      <c r="W348" s="220"/>
      <c r="X348" s="220"/>
      <c r="Y348" s="220"/>
      <c r="Z348" s="220"/>
      <c r="AA348" s="220"/>
      <c r="AB348" s="220"/>
      <c r="AC348" s="220"/>
      <c r="AD348" s="220"/>
      <c r="AE348" s="220"/>
      <c r="AF348" s="220"/>
      <c r="AG348" s="220"/>
      <c r="AH348" s="220"/>
      <c r="AI348" s="220"/>
      <c r="AJ348" s="50"/>
      <c r="AK348" s="257"/>
      <c r="AL348" s="257"/>
      <c r="AM348" s="52"/>
      <c r="AN348" s="88"/>
    </row>
    <row r="349" spans="1:40" s="29" customFormat="1" ht="17.25" customHeight="1">
      <c r="A349" s="48"/>
      <c r="B349" s="49"/>
      <c r="C349" s="220"/>
      <c r="D349" s="220"/>
      <c r="E349" s="220"/>
      <c r="F349" s="220"/>
      <c r="G349" s="220"/>
      <c r="H349" s="220"/>
      <c r="I349" s="220"/>
      <c r="J349" s="220"/>
      <c r="K349" s="220"/>
      <c r="L349" s="220"/>
      <c r="M349" s="220"/>
      <c r="N349" s="220"/>
      <c r="O349" s="220"/>
      <c r="P349" s="220"/>
      <c r="Q349" s="220"/>
      <c r="R349" s="220"/>
      <c r="S349" s="220"/>
      <c r="T349" s="220"/>
      <c r="U349" s="220"/>
      <c r="V349" s="220"/>
      <c r="W349" s="220"/>
      <c r="X349" s="220"/>
      <c r="Y349" s="220"/>
      <c r="Z349" s="220"/>
      <c r="AA349" s="220"/>
      <c r="AB349" s="220"/>
      <c r="AC349" s="220"/>
      <c r="AD349" s="220"/>
      <c r="AE349" s="220"/>
      <c r="AF349" s="220"/>
      <c r="AG349" s="220"/>
      <c r="AH349" s="220"/>
      <c r="AI349" s="220"/>
      <c r="AJ349" s="50"/>
      <c r="AK349" s="257"/>
      <c r="AL349" s="257"/>
      <c r="AM349" s="52"/>
      <c r="AN349" s="88"/>
    </row>
    <row r="350" spans="1:40" s="29" customFormat="1" ht="17.25" customHeight="1">
      <c r="A350" s="48"/>
      <c r="B350" s="49"/>
      <c r="C350" s="220"/>
      <c r="D350" s="220"/>
      <c r="E350" s="220"/>
      <c r="F350" s="220"/>
      <c r="G350" s="220"/>
      <c r="H350" s="220"/>
      <c r="I350" s="220"/>
      <c r="J350" s="220"/>
      <c r="K350" s="220"/>
      <c r="L350" s="220"/>
      <c r="M350" s="220"/>
      <c r="N350" s="220"/>
      <c r="O350" s="220"/>
      <c r="P350" s="220"/>
      <c r="Q350" s="220"/>
      <c r="R350" s="220"/>
      <c r="S350" s="220"/>
      <c r="T350" s="220"/>
      <c r="U350" s="220"/>
      <c r="V350" s="220"/>
      <c r="W350" s="220"/>
      <c r="X350" s="220"/>
      <c r="Y350" s="220"/>
      <c r="Z350" s="220"/>
      <c r="AA350" s="220"/>
      <c r="AB350" s="220"/>
      <c r="AC350" s="220"/>
      <c r="AD350" s="220"/>
      <c r="AE350" s="220"/>
      <c r="AF350" s="220"/>
      <c r="AG350" s="220"/>
      <c r="AH350" s="220"/>
      <c r="AI350" s="220"/>
      <c r="AJ350" s="50"/>
      <c r="AK350" s="257"/>
      <c r="AL350" s="257"/>
      <c r="AM350" s="52"/>
      <c r="AN350" s="88"/>
    </row>
    <row r="351" spans="1:40" ht="31.5" customHeight="1">
      <c r="AK351" s="257"/>
    </row>
    <row r="352" spans="1:40" ht="31.5" customHeight="1">
      <c r="AK352" s="257"/>
    </row>
    <row r="353" ht="31.5" customHeight="1"/>
    <row r="354" ht="31.5" customHeight="1"/>
  </sheetData>
  <mergeCells count="23">
    <mergeCell ref="F8:J8"/>
    <mergeCell ref="K8:O8"/>
    <mergeCell ref="P8:T8"/>
    <mergeCell ref="U8:Y8"/>
    <mergeCell ref="Z8:AD8"/>
    <mergeCell ref="A8:A10"/>
    <mergeCell ref="B8:B10"/>
    <mergeCell ref="C8:C9"/>
    <mergeCell ref="D8:D9"/>
    <mergeCell ref="E8:E9"/>
    <mergeCell ref="AM8:AN8"/>
    <mergeCell ref="AJ8:AJ9"/>
    <mergeCell ref="AL8:AL9"/>
    <mergeCell ref="AK8:AK9"/>
    <mergeCell ref="AE8:AI8"/>
    <mergeCell ref="A7:C7"/>
    <mergeCell ref="AC7:AG7"/>
    <mergeCell ref="A1:AN1"/>
    <mergeCell ref="A2:AN2"/>
    <mergeCell ref="A3:AN3"/>
    <mergeCell ref="A4:AN4"/>
    <mergeCell ref="A5:C5"/>
    <mergeCell ref="A6:C6"/>
  </mergeCells>
  <printOptions horizontalCentered="1" verticalCentered="1"/>
  <pageMargins left="0.39370078740157483" right="0.31496062992125984" top="0.51181102362204722" bottom="0.31496062992125984" header="0.31496062992125984" footer="0.11811023622047245"/>
  <pageSetup paperSize="9" scale="46" orientation="landscape" r:id="rId1"/>
  <headerFooter>
    <oddFooter>&amp;R&amp;"Times New Roman,Italic"&amp;10Trang &amp;P</oddFooter>
  </headerFooter>
  <colBreaks count="1" manualBreakCount="1">
    <brk id="40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B9E1-7904-489C-BF39-FDD1BD4384F2}">
  <sheetPr>
    <tabColor rgb="FF7030A0"/>
  </sheetPr>
  <dimension ref="A1:AP355"/>
  <sheetViews>
    <sheetView view="pageBreakPreview" topLeftCell="O258" zoomScaleNormal="55" zoomScaleSheetLayoutView="100" workbookViewId="0">
      <selection activeCell="AD275" sqref="AD275"/>
    </sheetView>
  </sheetViews>
  <sheetFormatPr defaultColWidth="8.90625" defaultRowHeight="15.6"/>
  <cols>
    <col min="1" max="1" width="4" style="18" customWidth="1"/>
    <col min="2" max="2" width="9.453125" style="22" customWidth="1"/>
    <col min="3" max="3" width="5.90625" style="22" customWidth="1"/>
    <col min="4" max="4" width="6.54296875" style="189" customWidth="1"/>
    <col min="5" max="6" width="6" style="18" customWidth="1"/>
    <col min="7" max="7" width="5.453125" style="18" customWidth="1"/>
    <col min="8" max="8" width="5" style="18" customWidth="1"/>
    <col min="9" max="9" width="5.1796875" style="18" customWidth="1"/>
    <col min="10" max="11" width="7.453125" style="18" customWidth="1"/>
    <col min="12" max="14" width="6.6328125" style="18" customWidth="1"/>
    <col min="15" max="15" width="7.08984375" style="18" customWidth="1"/>
    <col min="16" max="16" width="6.6328125" style="18" customWidth="1"/>
    <col min="17" max="19" width="5.6328125" style="18" customWidth="1"/>
    <col min="20" max="20" width="6.54296875" style="18" customWidth="1"/>
    <col min="21" max="21" width="6.36328125" style="18" customWidth="1"/>
    <col min="22" max="22" width="7.08984375" style="18" customWidth="1"/>
    <col min="23" max="23" width="7.36328125" style="18" customWidth="1"/>
    <col min="24" max="26" width="7" style="18" customWidth="1"/>
    <col min="27" max="29" width="5.6328125" style="20" customWidth="1"/>
    <col min="30" max="31" width="7.08984375" style="20" customWidth="1"/>
    <col min="32" max="32" width="5.36328125" style="18" customWidth="1"/>
    <col min="33" max="34" width="4.90625" style="18" customWidth="1"/>
    <col min="35" max="35" width="6.1796875" style="18" customWidth="1"/>
    <col min="36" max="36" width="6.08984375" style="18" customWidth="1"/>
    <col min="37" max="37" width="6.81640625" style="18" customWidth="1"/>
    <col min="38" max="38" width="7.453125" style="18" customWidth="1"/>
    <col min="39" max="39" width="10.54296875" style="18" customWidth="1"/>
    <col min="40" max="40" width="10.08984375" style="18" customWidth="1"/>
    <col min="41" max="41" width="15.453125" style="18" customWidth="1"/>
    <col min="42" max="249" width="8.90625" style="18" customWidth="1"/>
    <col min="250" max="16384" width="8.90625" style="18"/>
  </cols>
  <sheetData>
    <row r="1" spans="1:40" ht="17.25" customHeight="1">
      <c r="A1" s="342" t="s">
        <v>147</v>
      </c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  <c r="Q1" s="343"/>
      <c r="R1" s="343"/>
      <c r="S1" s="343"/>
      <c r="T1" s="343"/>
      <c r="U1" s="343"/>
      <c r="V1" s="343"/>
      <c r="W1" s="343"/>
      <c r="X1" s="343"/>
      <c r="Y1" s="343"/>
      <c r="Z1" s="343"/>
      <c r="AA1" s="343"/>
      <c r="AB1" s="343"/>
      <c r="AC1" s="343"/>
      <c r="AD1" s="343"/>
      <c r="AE1" s="343"/>
      <c r="AF1" s="343"/>
      <c r="AG1" s="343"/>
      <c r="AH1" s="343"/>
      <c r="AI1" s="343"/>
      <c r="AJ1" s="343"/>
      <c r="AK1" s="343"/>
      <c r="AL1" s="343"/>
      <c r="AM1" s="343"/>
      <c r="AN1" s="344"/>
    </row>
    <row r="2" spans="1:40" ht="17.25" customHeight="1">
      <c r="A2" s="345" t="s">
        <v>148</v>
      </c>
      <c r="B2" s="346"/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46"/>
      <c r="R2" s="346"/>
      <c r="S2" s="346"/>
      <c r="T2" s="346"/>
      <c r="U2" s="346"/>
      <c r="V2" s="346"/>
      <c r="W2" s="346"/>
      <c r="X2" s="346"/>
      <c r="Y2" s="346"/>
      <c r="Z2" s="346"/>
      <c r="AA2" s="346"/>
      <c r="AB2" s="346"/>
      <c r="AC2" s="346"/>
      <c r="AD2" s="346"/>
      <c r="AE2" s="346"/>
      <c r="AF2" s="346"/>
      <c r="AG2" s="346"/>
      <c r="AH2" s="346"/>
      <c r="AI2" s="346"/>
      <c r="AJ2" s="346"/>
      <c r="AK2" s="346"/>
      <c r="AL2" s="346"/>
      <c r="AM2" s="346"/>
      <c r="AN2" s="347"/>
    </row>
    <row r="3" spans="1:40" ht="17.25" customHeight="1">
      <c r="A3" s="345" t="s">
        <v>149</v>
      </c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  <c r="Q3" s="346"/>
      <c r="R3" s="346"/>
      <c r="S3" s="346"/>
      <c r="T3" s="346"/>
      <c r="U3" s="346"/>
      <c r="V3" s="346"/>
      <c r="W3" s="346"/>
      <c r="X3" s="346"/>
      <c r="Y3" s="346"/>
      <c r="Z3" s="346"/>
      <c r="AA3" s="346"/>
      <c r="AB3" s="346"/>
      <c r="AC3" s="346"/>
      <c r="AD3" s="346"/>
      <c r="AE3" s="346"/>
      <c r="AF3" s="346"/>
      <c r="AG3" s="346"/>
      <c r="AH3" s="346"/>
      <c r="AI3" s="346"/>
      <c r="AJ3" s="346"/>
      <c r="AK3" s="346"/>
      <c r="AL3" s="346"/>
      <c r="AM3" s="346"/>
      <c r="AN3" s="347"/>
    </row>
    <row r="4" spans="1:40" s="19" customFormat="1" ht="17.25" customHeight="1">
      <c r="A4" s="348" t="s">
        <v>121</v>
      </c>
      <c r="B4" s="349"/>
      <c r="C4" s="349"/>
      <c r="D4" s="349"/>
      <c r="E4" s="349"/>
      <c r="F4" s="349"/>
      <c r="G4" s="349"/>
      <c r="H4" s="349"/>
      <c r="I4" s="349"/>
      <c r="J4" s="349"/>
      <c r="K4" s="349"/>
      <c r="L4" s="349"/>
      <c r="M4" s="349"/>
      <c r="N4" s="349"/>
      <c r="O4" s="349"/>
      <c r="P4" s="349"/>
      <c r="Q4" s="349"/>
      <c r="R4" s="349"/>
      <c r="S4" s="349"/>
      <c r="T4" s="349"/>
      <c r="U4" s="349"/>
      <c r="V4" s="349"/>
      <c r="W4" s="349"/>
      <c r="X4" s="349"/>
      <c r="Y4" s="349"/>
      <c r="Z4" s="349"/>
      <c r="AA4" s="349"/>
      <c r="AB4" s="349"/>
      <c r="AC4" s="349"/>
      <c r="AD4" s="349"/>
      <c r="AE4" s="349"/>
      <c r="AF4" s="349"/>
      <c r="AG4" s="349"/>
      <c r="AH4" s="349"/>
      <c r="AI4" s="349"/>
      <c r="AJ4" s="349"/>
      <c r="AK4" s="349"/>
      <c r="AL4" s="349"/>
      <c r="AM4" s="349"/>
      <c r="AN4" s="350"/>
    </row>
    <row r="5" spans="1:40" s="19" customFormat="1" ht="17.25" customHeight="1">
      <c r="A5" s="351" t="s">
        <v>122</v>
      </c>
      <c r="B5" s="352"/>
      <c r="C5" s="352"/>
      <c r="D5" s="234"/>
      <c r="E5" s="234"/>
      <c r="F5" s="234"/>
      <c r="G5" s="234"/>
      <c r="H5" s="234"/>
      <c r="I5" s="234"/>
      <c r="J5" s="234"/>
      <c r="K5" s="234"/>
      <c r="L5" s="234"/>
      <c r="M5" s="235"/>
      <c r="N5" s="235"/>
      <c r="O5" s="235"/>
      <c r="P5" s="235"/>
      <c r="Q5" s="235"/>
      <c r="R5" s="234"/>
      <c r="S5" s="234"/>
      <c r="T5" s="234"/>
      <c r="U5" s="234"/>
      <c r="V5" s="234"/>
      <c r="W5" s="234"/>
      <c r="X5" s="234"/>
      <c r="Y5" s="234"/>
      <c r="Z5" s="234"/>
      <c r="AA5" s="234" t="s">
        <v>123</v>
      </c>
      <c r="AB5" s="234"/>
      <c r="AC5" s="234"/>
      <c r="AD5" s="234"/>
      <c r="AE5" s="234"/>
      <c r="AF5" s="234"/>
      <c r="AG5" s="234"/>
      <c r="AH5" s="234"/>
      <c r="AI5" s="234"/>
      <c r="AJ5" s="234"/>
      <c r="AK5" s="234"/>
      <c r="AL5" s="234"/>
      <c r="AM5" s="234"/>
      <c r="AN5" s="238"/>
    </row>
    <row r="6" spans="1:40" s="19" customFormat="1" ht="17.25" customHeight="1">
      <c r="A6" s="353" t="s">
        <v>124</v>
      </c>
      <c r="B6" s="354"/>
      <c r="C6" s="354"/>
      <c r="D6" s="236"/>
      <c r="E6" s="236"/>
      <c r="F6" s="236"/>
      <c r="G6" s="236"/>
      <c r="H6" s="236"/>
      <c r="I6" s="236"/>
      <c r="J6" s="236"/>
      <c r="K6" s="236"/>
      <c r="L6" s="236"/>
      <c r="M6" s="237"/>
      <c r="N6" s="237"/>
      <c r="O6" s="237"/>
      <c r="P6" s="237"/>
      <c r="Q6" s="237"/>
      <c r="R6" s="236"/>
      <c r="S6" s="236"/>
      <c r="T6" s="236"/>
      <c r="U6" s="236"/>
      <c r="V6" s="236"/>
      <c r="W6" s="236"/>
      <c r="X6" s="236"/>
      <c r="Y6" s="236"/>
      <c r="Z6" s="236"/>
      <c r="AA6" s="236" t="s">
        <v>125</v>
      </c>
      <c r="AB6" s="236"/>
      <c r="AC6" s="220">
        <f>C11</f>
        <v>1049</v>
      </c>
      <c r="AD6" s="258"/>
      <c r="AE6" s="258"/>
      <c r="AF6" s="236"/>
      <c r="AG6" s="236"/>
      <c r="AH6" s="236"/>
      <c r="AI6" s="236"/>
      <c r="AJ6" s="236"/>
      <c r="AK6" s="236"/>
      <c r="AL6" s="236"/>
      <c r="AM6" s="236"/>
      <c r="AN6" s="239"/>
    </row>
    <row r="7" spans="1:40" s="19" customFormat="1" ht="17.25" customHeight="1">
      <c r="A7" s="339" t="s">
        <v>126</v>
      </c>
      <c r="B7" s="340" t="s">
        <v>143</v>
      </c>
      <c r="C7" s="340"/>
      <c r="D7" s="240" t="s">
        <v>153</v>
      </c>
      <c r="E7" s="240"/>
      <c r="F7" s="240"/>
      <c r="G7" s="240"/>
      <c r="H7" s="240"/>
      <c r="I7" s="240"/>
      <c r="J7" s="240"/>
      <c r="K7" s="240"/>
      <c r="L7" s="240"/>
      <c r="M7" s="241"/>
      <c r="N7" s="241"/>
      <c r="O7" s="241"/>
      <c r="P7" s="241"/>
      <c r="Q7" s="241"/>
      <c r="R7" s="240"/>
      <c r="S7" s="240"/>
      <c r="T7" s="240"/>
      <c r="U7" s="240"/>
      <c r="V7" s="240"/>
      <c r="W7" s="240"/>
      <c r="X7" s="240"/>
      <c r="Y7" s="240"/>
      <c r="Z7" s="240"/>
      <c r="AA7" s="240" t="s">
        <v>127</v>
      </c>
      <c r="AB7" s="240"/>
      <c r="AC7" s="341">
        <f>B11</f>
        <v>45554</v>
      </c>
      <c r="AD7" s="341"/>
      <c r="AE7" s="341"/>
      <c r="AF7" s="341"/>
      <c r="AG7" s="341"/>
      <c r="AH7" s="240"/>
      <c r="AI7" s="240"/>
      <c r="AJ7" s="240"/>
      <c r="AK7" s="240"/>
      <c r="AL7" s="240"/>
      <c r="AM7" s="240"/>
      <c r="AN7" s="242"/>
    </row>
    <row r="8" spans="1:40" s="46" customFormat="1" ht="47.25" customHeight="1">
      <c r="A8" s="357" t="s">
        <v>1</v>
      </c>
      <c r="B8" s="359" t="s">
        <v>2</v>
      </c>
      <c r="C8" s="360" t="s">
        <v>10</v>
      </c>
      <c r="D8" s="360" t="s">
        <v>3</v>
      </c>
      <c r="E8" s="357" t="s">
        <v>11</v>
      </c>
      <c r="F8" s="362" t="s">
        <v>70</v>
      </c>
      <c r="G8" s="363"/>
      <c r="H8" s="363"/>
      <c r="I8" s="363"/>
      <c r="J8" s="364"/>
      <c r="K8" s="362" t="s">
        <v>98</v>
      </c>
      <c r="L8" s="363"/>
      <c r="M8" s="363"/>
      <c r="N8" s="363"/>
      <c r="O8" s="364"/>
      <c r="P8" s="362" t="s">
        <v>99</v>
      </c>
      <c r="Q8" s="363"/>
      <c r="R8" s="363"/>
      <c r="S8" s="363"/>
      <c r="T8" s="364"/>
      <c r="U8" s="362" t="s">
        <v>71</v>
      </c>
      <c r="V8" s="363"/>
      <c r="W8" s="363"/>
      <c r="X8" s="363"/>
      <c r="Y8" s="364"/>
      <c r="Z8" s="355" t="s">
        <v>100</v>
      </c>
      <c r="AA8" s="358"/>
      <c r="AB8" s="358"/>
      <c r="AC8" s="358"/>
      <c r="AD8" s="356"/>
      <c r="AE8" s="355" t="s">
        <v>101</v>
      </c>
      <c r="AF8" s="358"/>
      <c r="AG8" s="358"/>
      <c r="AH8" s="358"/>
      <c r="AI8" s="356"/>
      <c r="AJ8" s="357" t="s">
        <v>73</v>
      </c>
      <c r="AK8" s="357" t="s">
        <v>72</v>
      </c>
      <c r="AL8" s="357" t="s">
        <v>144</v>
      </c>
      <c r="AM8" s="355" t="s">
        <v>66</v>
      </c>
      <c r="AN8" s="356"/>
    </row>
    <row r="9" spans="1:40" s="29" customFormat="1" ht="40.5" customHeight="1">
      <c r="A9" s="357"/>
      <c r="B9" s="359"/>
      <c r="C9" s="361"/>
      <c r="D9" s="361"/>
      <c r="E9" s="357"/>
      <c r="F9" s="47" t="s">
        <v>145</v>
      </c>
      <c r="G9" s="47" t="s">
        <v>6</v>
      </c>
      <c r="H9" s="47" t="s">
        <v>7</v>
      </c>
      <c r="I9" s="47" t="s">
        <v>8</v>
      </c>
      <c r="J9" s="47" t="s">
        <v>146</v>
      </c>
      <c r="K9" s="47" t="s">
        <v>145</v>
      </c>
      <c r="L9" s="47" t="s">
        <v>6</v>
      </c>
      <c r="M9" s="47" t="s">
        <v>7</v>
      </c>
      <c r="N9" s="47" t="s">
        <v>8</v>
      </c>
      <c r="O9" s="47" t="s">
        <v>146</v>
      </c>
      <c r="P9" s="47" t="s">
        <v>145</v>
      </c>
      <c r="Q9" s="47" t="s">
        <v>6</v>
      </c>
      <c r="R9" s="47" t="s">
        <v>7</v>
      </c>
      <c r="S9" s="47" t="s">
        <v>8</v>
      </c>
      <c r="T9" s="47" t="s">
        <v>146</v>
      </c>
      <c r="U9" s="47" t="s">
        <v>145</v>
      </c>
      <c r="V9" s="47" t="s">
        <v>6</v>
      </c>
      <c r="W9" s="47" t="s">
        <v>7</v>
      </c>
      <c r="X9" s="47" t="s">
        <v>8</v>
      </c>
      <c r="Y9" s="47" t="s">
        <v>146</v>
      </c>
      <c r="Z9" s="47" t="s">
        <v>145</v>
      </c>
      <c r="AA9" s="47" t="s">
        <v>6</v>
      </c>
      <c r="AB9" s="47" t="s">
        <v>7</v>
      </c>
      <c r="AC9" s="47" t="s">
        <v>8</v>
      </c>
      <c r="AD9" s="47" t="s">
        <v>146</v>
      </c>
      <c r="AE9" s="47" t="s">
        <v>145</v>
      </c>
      <c r="AF9" s="47" t="s">
        <v>6</v>
      </c>
      <c r="AG9" s="47" t="s">
        <v>7</v>
      </c>
      <c r="AH9" s="47" t="s">
        <v>8</v>
      </c>
      <c r="AI9" s="47" t="s">
        <v>146</v>
      </c>
      <c r="AJ9" s="357"/>
      <c r="AK9" s="357"/>
      <c r="AL9" s="357"/>
      <c r="AM9" s="47" t="s">
        <v>67</v>
      </c>
      <c r="AN9" s="87" t="s">
        <v>68</v>
      </c>
    </row>
    <row r="10" spans="1:40" s="29" customFormat="1" ht="20.100000000000001" customHeight="1">
      <c r="A10" s="357"/>
      <c r="B10" s="359"/>
      <c r="C10" s="49" t="s">
        <v>0</v>
      </c>
      <c r="D10" s="49" t="s">
        <v>0</v>
      </c>
      <c r="E10" s="48" t="s">
        <v>0</v>
      </c>
      <c r="F10" s="48" t="s">
        <v>0</v>
      </c>
      <c r="G10" s="48" t="s">
        <v>0</v>
      </c>
      <c r="H10" s="48" t="s">
        <v>0</v>
      </c>
      <c r="I10" s="48" t="s">
        <v>0</v>
      </c>
      <c r="J10" s="48" t="s">
        <v>0</v>
      </c>
      <c r="K10" s="48" t="s">
        <v>0</v>
      </c>
      <c r="L10" s="48" t="s">
        <v>0</v>
      </c>
      <c r="M10" s="48" t="s">
        <v>0</v>
      </c>
      <c r="N10" s="48" t="s">
        <v>0</v>
      </c>
      <c r="O10" s="48" t="s">
        <v>0</v>
      </c>
      <c r="P10" s="48" t="s">
        <v>0</v>
      </c>
      <c r="Q10" s="48" t="s">
        <v>0</v>
      </c>
      <c r="R10" s="48" t="s">
        <v>0</v>
      </c>
      <c r="S10" s="48" t="s">
        <v>0</v>
      </c>
      <c r="T10" s="48" t="s">
        <v>0</v>
      </c>
      <c r="U10" s="48" t="s">
        <v>0</v>
      </c>
      <c r="V10" s="48" t="s">
        <v>0</v>
      </c>
      <c r="W10" s="48" t="s">
        <v>0</v>
      </c>
      <c r="X10" s="48" t="s">
        <v>0</v>
      </c>
      <c r="Y10" s="48" t="s">
        <v>0</v>
      </c>
      <c r="Z10" s="48" t="s">
        <v>9</v>
      </c>
      <c r="AA10" s="48" t="s">
        <v>9</v>
      </c>
      <c r="AB10" s="48" t="s">
        <v>9</v>
      </c>
      <c r="AC10" s="48" t="s">
        <v>9</v>
      </c>
      <c r="AD10" s="48" t="s">
        <v>9</v>
      </c>
      <c r="AE10" s="48" t="s">
        <v>9</v>
      </c>
      <c r="AF10" s="48" t="s">
        <v>9</v>
      </c>
      <c r="AG10" s="48" t="s">
        <v>9</v>
      </c>
      <c r="AH10" s="48" t="s">
        <v>9</v>
      </c>
      <c r="AI10" s="48" t="s">
        <v>9</v>
      </c>
      <c r="AJ10" s="48" t="s">
        <v>0</v>
      </c>
      <c r="AK10" s="48" t="s">
        <v>0</v>
      </c>
      <c r="AL10" s="48" t="s">
        <v>0</v>
      </c>
      <c r="AM10" s="48"/>
      <c r="AN10" s="67"/>
    </row>
    <row r="11" spans="1:40" s="261" customFormat="1" ht="17.25" customHeight="1">
      <c r="A11" s="76">
        <v>2</v>
      </c>
      <c r="B11" s="77">
        <v>45554</v>
      </c>
      <c r="C11" s="213">
        <v>1049</v>
      </c>
      <c r="D11" s="213">
        <v>2200</v>
      </c>
      <c r="E11" s="213">
        <v>3269</v>
      </c>
      <c r="F11" s="213">
        <v>660</v>
      </c>
      <c r="G11" s="213">
        <v>690</v>
      </c>
      <c r="H11" s="213">
        <v>670</v>
      </c>
      <c r="I11" s="213">
        <v>720</v>
      </c>
      <c r="J11" s="213">
        <v>620</v>
      </c>
      <c r="K11" s="213">
        <v>2609</v>
      </c>
      <c r="L11" s="213">
        <v>2579</v>
      </c>
      <c r="M11" s="213">
        <v>2599</v>
      </c>
      <c r="N11" s="213">
        <v>2549</v>
      </c>
      <c r="O11" s="213">
        <v>2649</v>
      </c>
      <c r="P11" s="213">
        <v>2000</v>
      </c>
      <c r="Q11" s="213">
        <v>2000</v>
      </c>
      <c r="R11" s="213">
        <v>2000</v>
      </c>
      <c r="S11" s="213">
        <v>2000</v>
      </c>
      <c r="T11" s="213">
        <v>2000</v>
      </c>
      <c r="U11" s="213">
        <v>609</v>
      </c>
      <c r="V11" s="213">
        <v>579</v>
      </c>
      <c r="W11" s="213">
        <v>599</v>
      </c>
      <c r="X11" s="213">
        <v>549</v>
      </c>
      <c r="Y11" s="213">
        <v>649</v>
      </c>
      <c r="Z11" s="213">
        <v>0</v>
      </c>
      <c r="AA11" s="213">
        <v>0</v>
      </c>
      <c r="AB11" s="213">
        <v>0</v>
      </c>
      <c r="AC11" s="213">
        <v>0</v>
      </c>
      <c r="AD11" s="213">
        <v>0</v>
      </c>
      <c r="AE11" s="213">
        <v>0</v>
      </c>
      <c r="AF11" s="213">
        <v>0</v>
      </c>
      <c r="AG11" s="213">
        <v>0</v>
      </c>
      <c r="AH11" s="213">
        <v>0</v>
      </c>
      <c r="AI11" s="213">
        <v>0</v>
      </c>
      <c r="AJ11" s="50">
        <f>W11/1000</f>
        <v>0.59899999999999998</v>
      </c>
      <c r="AK11" s="259"/>
      <c r="AL11" s="257">
        <f>AK11</f>
        <v>0</v>
      </c>
      <c r="AM11" s="81"/>
      <c r="AN11" s="260"/>
    </row>
    <row r="12" spans="1:40" s="29" customFormat="1" ht="17.25" customHeight="1">
      <c r="A12" s="48">
        <v>3</v>
      </c>
      <c r="B12" s="49">
        <f t="shared" ref="B12:B75" si="0">B11+1</f>
        <v>45555</v>
      </c>
      <c r="C12" s="220">
        <f t="shared" ref="C12:C75" si="1">+C11</f>
        <v>1049</v>
      </c>
      <c r="D12" s="220">
        <f>D11+26</f>
        <v>2226</v>
      </c>
      <c r="E12" s="220">
        <f t="shared" ref="E12:E75" si="2">+C12+D12</f>
        <v>3275</v>
      </c>
      <c r="F12" s="220">
        <f t="shared" ref="F12:F74" si="3">E12-K12</f>
        <v>668</v>
      </c>
      <c r="G12" s="220">
        <f t="shared" ref="G12:G74" si="4">E12-L12</f>
        <v>699</v>
      </c>
      <c r="H12" s="220">
        <f t="shared" ref="H12:H74" si="5">E12-M12</f>
        <v>679</v>
      </c>
      <c r="I12" s="220">
        <f t="shared" ref="I12:I74" si="6">E12-N12</f>
        <v>729</v>
      </c>
      <c r="J12" s="220">
        <f t="shared" ref="J12:J74" si="7">E12-O12</f>
        <v>628</v>
      </c>
      <c r="K12" s="220">
        <f t="shared" ref="K12:O61" si="8">P12+U12</f>
        <v>2607</v>
      </c>
      <c r="L12" s="220">
        <f t="shared" si="8"/>
        <v>2576</v>
      </c>
      <c r="M12" s="220">
        <f t="shared" si="8"/>
        <v>2596</v>
      </c>
      <c r="N12" s="220">
        <f t="shared" si="8"/>
        <v>2546</v>
      </c>
      <c r="O12" s="220">
        <f t="shared" si="8"/>
        <v>2647</v>
      </c>
      <c r="P12" s="220">
        <f t="shared" ref="P12:T27" si="9">+P11</f>
        <v>2000</v>
      </c>
      <c r="Q12" s="220">
        <f t="shared" si="9"/>
        <v>2000</v>
      </c>
      <c r="R12" s="220">
        <f t="shared" si="9"/>
        <v>2000</v>
      </c>
      <c r="S12" s="220">
        <f t="shared" si="9"/>
        <v>2000</v>
      </c>
      <c r="T12" s="220">
        <f t="shared" si="9"/>
        <v>2000</v>
      </c>
      <c r="U12" s="220">
        <f t="shared" ref="U12:Y27" si="10">U11-Z12</f>
        <v>607</v>
      </c>
      <c r="V12" s="220">
        <f t="shared" si="10"/>
        <v>576</v>
      </c>
      <c r="W12" s="220">
        <f t="shared" si="10"/>
        <v>596</v>
      </c>
      <c r="X12" s="220">
        <f t="shared" si="10"/>
        <v>546</v>
      </c>
      <c r="Y12" s="220">
        <f t="shared" si="10"/>
        <v>647</v>
      </c>
      <c r="Z12" s="220">
        <v>2</v>
      </c>
      <c r="AA12" s="220">
        <v>3</v>
      </c>
      <c r="AB12" s="220">
        <v>3</v>
      </c>
      <c r="AC12" s="220">
        <v>3</v>
      </c>
      <c r="AD12" s="220">
        <v>2</v>
      </c>
      <c r="AE12" s="220">
        <f>AE11-Z12</f>
        <v>-2</v>
      </c>
      <c r="AF12" s="220">
        <f>AF11-AA12</f>
        <v>-3</v>
      </c>
      <c r="AG12" s="220">
        <f>AG11-AB12</f>
        <v>-3</v>
      </c>
      <c r="AH12" s="220">
        <f>AH11-AC12</f>
        <v>-3</v>
      </c>
      <c r="AI12" s="220">
        <f>AI11-AD12</f>
        <v>-2</v>
      </c>
      <c r="AJ12" s="50">
        <f>AJ11-AB12/1000+AK12</f>
        <v>0.89599999999999991</v>
      </c>
      <c r="AK12" s="259">
        <v>0.3</v>
      </c>
      <c r="AL12" s="257">
        <f>AL11+AK12</f>
        <v>0.3</v>
      </c>
      <c r="AM12" s="52"/>
      <c r="AN12" s="88"/>
    </row>
    <row r="13" spans="1:40" s="29" customFormat="1" ht="17.25" customHeight="1">
      <c r="A13" s="48">
        <v>4</v>
      </c>
      <c r="B13" s="49">
        <f t="shared" si="0"/>
        <v>45556</v>
      </c>
      <c r="C13" s="220">
        <f t="shared" si="1"/>
        <v>1049</v>
      </c>
      <c r="D13" s="220">
        <f>D12+32</f>
        <v>2258</v>
      </c>
      <c r="E13" s="220">
        <f t="shared" si="2"/>
        <v>3307</v>
      </c>
      <c r="F13" s="220">
        <f t="shared" si="3"/>
        <v>703</v>
      </c>
      <c r="G13" s="220">
        <f t="shared" si="4"/>
        <v>733</v>
      </c>
      <c r="H13" s="220">
        <f t="shared" si="5"/>
        <v>713</v>
      </c>
      <c r="I13" s="220">
        <f t="shared" si="6"/>
        <v>764</v>
      </c>
      <c r="J13" s="220">
        <f t="shared" si="7"/>
        <v>663</v>
      </c>
      <c r="K13" s="220">
        <f t="shared" si="8"/>
        <v>2604</v>
      </c>
      <c r="L13" s="220">
        <f t="shared" si="8"/>
        <v>2574</v>
      </c>
      <c r="M13" s="220">
        <f t="shared" si="8"/>
        <v>2594</v>
      </c>
      <c r="N13" s="220">
        <f t="shared" si="8"/>
        <v>2543</v>
      </c>
      <c r="O13" s="220">
        <f t="shared" si="8"/>
        <v>2644</v>
      </c>
      <c r="P13" s="220">
        <f t="shared" si="9"/>
        <v>2000</v>
      </c>
      <c r="Q13" s="220">
        <f t="shared" si="9"/>
        <v>2000</v>
      </c>
      <c r="R13" s="220">
        <f t="shared" si="9"/>
        <v>2000</v>
      </c>
      <c r="S13" s="220">
        <f t="shared" si="9"/>
        <v>2000</v>
      </c>
      <c r="T13" s="220">
        <f t="shared" si="9"/>
        <v>2000</v>
      </c>
      <c r="U13" s="220">
        <f t="shared" si="10"/>
        <v>604</v>
      </c>
      <c r="V13" s="220">
        <f t="shared" si="10"/>
        <v>574</v>
      </c>
      <c r="W13" s="220">
        <f t="shared" si="10"/>
        <v>594</v>
      </c>
      <c r="X13" s="220">
        <f t="shared" si="10"/>
        <v>543</v>
      </c>
      <c r="Y13" s="220">
        <f t="shared" si="10"/>
        <v>644</v>
      </c>
      <c r="Z13" s="220">
        <v>3</v>
      </c>
      <c r="AA13" s="220">
        <v>2</v>
      </c>
      <c r="AB13" s="220">
        <v>2</v>
      </c>
      <c r="AC13" s="220">
        <v>3</v>
      </c>
      <c r="AD13" s="220">
        <v>3</v>
      </c>
      <c r="AE13" s="220">
        <f t="shared" ref="AE13:AI27" si="11">AE12-Z13</f>
        <v>-5</v>
      </c>
      <c r="AF13" s="220">
        <f t="shared" si="11"/>
        <v>-5</v>
      </c>
      <c r="AG13" s="220">
        <f t="shared" si="11"/>
        <v>-5</v>
      </c>
      <c r="AH13" s="220">
        <f t="shared" si="11"/>
        <v>-6</v>
      </c>
      <c r="AI13" s="220">
        <f t="shared" si="11"/>
        <v>-5</v>
      </c>
      <c r="AJ13" s="50">
        <f t="shared" ref="AJ13:AJ75" si="12">AJ12-AB13/1000+AK13</f>
        <v>0.89399999999999991</v>
      </c>
      <c r="AK13" s="257"/>
      <c r="AL13" s="257">
        <f t="shared" ref="AL13:AL75" si="13">AL12+AK13</f>
        <v>0.3</v>
      </c>
      <c r="AM13" s="52"/>
      <c r="AN13" s="88"/>
    </row>
    <row r="14" spans="1:40" s="29" customFormat="1" ht="17.25" customHeight="1">
      <c r="A14" s="48">
        <v>5</v>
      </c>
      <c r="B14" s="49">
        <f t="shared" si="0"/>
        <v>45557</v>
      </c>
      <c r="C14" s="220">
        <f t="shared" si="1"/>
        <v>1049</v>
      </c>
      <c r="D14" s="220">
        <f>D13-18</f>
        <v>2240</v>
      </c>
      <c r="E14" s="220">
        <f t="shared" si="2"/>
        <v>3289</v>
      </c>
      <c r="F14" s="220">
        <f t="shared" si="3"/>
        <v>688</v>
      </c>
      <c r="G14" s="220">
        <f t="shared" si="4"/>
        <v>719</v>
      </c>
      <c r="H14" s="220">
        <f t="shared" si="5"/>
        <v>699</v>
      </c>
      <c r="I14" s="220">
        <f t="shared" si="6"/>
        <v>748</v>
      </c>
      <c r="J14" s="220">
        <f t="shared" si="7"/>
        <v>648</v>
      </c>
      <c r="K14" s="220">
        <f t="shared" si="8"/>
        <v>2601</v>
      </c>
      <c r="L14" s="220">
        <f t="shared" si="8"/>
        <v>2570</v>
      </c>
      <c r="M14" s="220">
        <f t="shared" si="8"/>
        <v>2590</v>
      </c>
      <c r="N14" s="220">
        <f t="shared" si="8"/>
        <v>2541</v>
      </c>
      <c r="O14" s="220">
        <f t="shared" si="8"/>
        <v>2641</v>
      </c>
      <c r="P14" s="220">
        <f t="shared" si="9"/>
        <v>2000</v>
      </c>
      <c r="Q14" s="220">
        <f t="shared" si="9"/>
        <v>2000</v>
      </c>
      <c r="R14" s="220">
        <f t="shared" si="9"/>
        <v>2000</v>
      </c>
      <c r="S14" s="220">
        <f t="shared" si="9"/>
        <v>2000</v>
      </c>
      <c r="T14" s="220">
        <f t="shared" si="9"/>
        <v>2000</v>
      </c>
      <c r="U14" s="220">
        <f t="shared" si="10"/>
        <v>601</v>
      </c>
      <c r="V14" s="220">
        <f t="shared" si="10"/>
        <v>570</v>
      </c>
      <c r="W14" s="220">
        <f t="shared" si="10"/>
        <v>590</v>
      </c>
      <c r="X14" s="220">
        <f t="shared" si="10"/>
        <v>541</v>
      </c>
      <c r="Y14" s="220">
        <f t="shared" si="10"/>
        <v>641</v>
      </c>
      <c r="Z14" s="220">
        <v>3</v>
      </c>
      <c r="AA14" s="220">
        <v>4</v>
      </c>
      <c r="AB14" s="220">
        <v>4</v>
      </c>
      <c r="AC14" s="220">
        <v>2</v>
      </c>
      <c r="AD14" s="220">
        <v>3</v>
      </c>
      <c r="AE14" s="220">
        <f t="shared" si="11"/>
        <v>-8</v>
      </c>
      <c r="AF14" s="220">
        <f t="shared" si="11"/>
        <v>-9</v>
      </c>
      <c r="AG14" s="220">
        <f t="shared" si="11"/>
        <v>-9</v>
      </c>
      <c r="AH14" s="220">
        <f t="shared" si="11"/>
        <v>-8</v>
      </c>
      <c r="AI14" s="220">
        <f t="shared" si="11"/>
        <v>-8</v>
      </c>
      <c r="AJ14" s="50">
        <f t="shared" si="12"/>
        <v>0.8899999999999999</v>
      </c>
      <c r="AK14" s="257"/>
      <c r="AL14" s="257">
        <f t="shared" si="13"/>
        <v>0.3</v>
      </c>
      <c r="AM14" s="52"/>
      <c r="AN14" s="88"/>
    </row>
    <row r="15" spans="1:40" s="29" customFormat="1" ht="17.25" customHeight="1">
      <c r="A15" s="48">
        <v>6</v>
      </c>
      <c r="B15" s="49">
        <f t="shared" si="0"/>
        <v>45558</v>
      </c>
      <c r="C15" s="220">
        <f t="shared" si="1"/>
        <v>1049</v>
      </c>
      <c r="D15" s="220">
        <f>D14-26</f>
        <v>2214</v>
      </c>
      <c r="E15" s="220">
        <f t="shared" si="2"/>
        <v>3263</v>
      </c>
      <c r="F15" s="220">
        <f t="shared" si="3"/>
        <v>665</v>
      </c>
      <c r="G15" s="220">
        <f t="shared" si="4"/>
        <v>697</v>
      </c>
      <c r="H15" s="220">
        <f t="shared" si="5"/>
        <v>677</v>
      </c>
      <c r="I15" s="220">
        <f t="shared" si="6"/>
        <v>724</v>
      </c>
      <c r="J15" s="220">
        <f t="shared" si="7"/>
        <v>625</v>
      </c>
      <c r="K15" s="220">
        <f t="shared" si="8"/>
        <v>2598</v>
      </c>
      <c r="L15" s="220">
        <f t="shared" si="8"/>
        <v>2566</v>
      </c>
      <c r="M15" s="220">
        <f t="shared" si="8"/>
        <v>2586</v>
      </c>
      <c r="N15" s="220">
        <f t="shared" si="8"/>
        <v>2539</v>
      </c>
      <c r="O15" s="220">
        <f t="shared" si="8"/>
        <v>2638</v>
      </c>
      <c r="P15" s="220">
        <f t="shared" si="9"/>
        <v>2000</v>
      </c>
      <c r="Q15" s="220">
        <f t="shared" si="9"/>
        <v>2000</v>
      </c>
      <c r="R15" s="220">
        <f t="shared" si="9"/>
        <v>2000</v>
      </c>
      <c r="S15" s="220">
        <f t="shared" si="9"/>
        <v>2000</v>
      </c>
      <c r="T15" s="220">
        <f t="shared" si="9"/>
        <v>2000</v>
      </c>
      <c r="U15" s="220">
        <f t="shared" si="10"/>
        <v>598</v>
      </c>
      <c r="V15" s="220">
        <f t="shared" si="10"/>
        <v>566</v>
      </c>
      <c r="W15" s="220">
        <f t="shared" si="10"/>
        <v>586</v>
      </c>
      <c r="X15" s="220">
        <f t="shared" si="10"/>
        <v>539</v>
      </c>
      <c r="Y15" s="220">
        <f t="shared" si="10"/>
        <v>638</v>
      </c>
      <c r="Z15" s="220">
        <v>3</v>
      </c>
      <c r="AA15" s="220">
        <v>4</v>
      </c>
      <c r="AB15" s="220">
        <v>4</v>
      </c>
      <c r="AC15" s="220">
        <v>2</v>
      </c>
      <c r="AD15" s="220">
        <v>3</v>
      </c>
      <c r="AE15" s="220">
        <f t="shared" si="11"/>
        <v>-11</v>
      </c>
      <c r="AF15" s="220">
        <f t="shared" si="11"/>
        <v>-13</v>
      </c>
      <c r="AG15" s="220">
        <f t="shared" si="11"/>
        <v>-13</v>
      </c>
      <c r="AH15" s="220">
        <f t="shared" si="11"/>
        <v>-10</v>
      </c>
      <c r="AI15" s="220">
        <f t="shared" si="11"/>
        <v>-11</v>
      </c>
      <c r="AJ15" s="50">
        <f t="shared" si="12"/>
        <v>0.8859999999999999</v>
      </c>
      <c r="AK15" s="257"/>
      <c r="AL15" s="257">
        <f t="shared" si="13"/>
        <v>0.3</v>
      </c>
      <c r="AM15" s="52"/>
      <c r="AN15" s="88"/>
    </row>
    <row r="16" spans="1:40" s="261" customFormat="1" ht="17.25" customHeight="1">
      <c r="A16" s="76">
        <v>7</v>
      </c>
      <c r="B16" s="77">
        <f t="shared" si="0"/>
        <v>45559</v>
      </c>
      <c r="C16" s="213">
        <f t="shared" si="1"/>
        <v>1049</v>
      </c>
      <c r="D16" s="213">
        <f t="shared" ref="D16" si="14">D15+15</f>
        <v>2229</v>
      </c>
      <c r="E16" s="213">
        <f t="shared" si="2"/>
        <v>3278</v>
      </c>
      <c r="F16" s="213">
        <f t="shared" si="3"/>
        <v>683</v>
      </c>
      <c r="G16" s="213">
        <f t="shared" si="4"/>
        <v>716</v>
      </c>
      <c r="H16" s="213">
        <f t="shared" si="5"/>
        <v>696</v>
      </c>
      <c r="I16" s="213">
        <f t="shared" si="6"/>
        <v>742</v>
      </c>
      <c r="J16" s="213">
        <f t="shared" si="7"/>
        <v>643</v>
      </c>
      <c r="K16" s="213">
        <f t="shared" si="8"/>
        <v>2595</v>
      </c>
      <c r="L16" s="213">
        <f t="shared" si="8"/>
        <v>2562</v>
      </c>
      <c r="M16" s="213">
        <f t="shared" si="8"/>
        <v>2582</v>
      </c>
      <c r="N16" s="213">
        <f t="shared" si="8"/>
        <v>2536</v>
      </c>
      <c r="O16" s="213">
        <f t="shared" si="8"/>
        <v>2635</v>
      </c>
      <c r="P16" s="213">
        <f t="shared" si="9"/>
        <v>2000</v>
      </c>
      <c r="Q16" s="213">
        <f t="shared" si="9"/>
        <v>2000</v>
      </c>
      <c r="R16" s="213">
        <f t="shared" si="9"/>
        <v>2000</v>
      </c>
      <c r="S16" s="213">
        <f t="shared" si="9"/>
        <v>2000</v>
      </c>
      <c r="T16" s="213">
        <f t="shared" si="9"/>
        <v>2000</v>
      </c>
      <c r="U16" s="213">
        <f t="shared" si="10"/>
        <v>595</v>
      </c>
      <c r="V16" s="213">
        <f t="shared" si="10"/>
        <v>562</v>
      </c>
      <c r="W16" s="213">
        <f t="shared" si="10"/>
        <v>582</v>
      </c>
      <c r="X16" s="213">
        <f t="shared" si="10"/>
        <v>536</v>
      </c>
      <c r="Y16" s="213">
        <f t="shared" si="10"/>
        <v>635</v>
      </c>
      <c r="Z16" s="213">
        <v>3</v>
      </c>
      <c r="AA16" s="213">
        <v>4</v>
      </c>
      <c r="AB16" s="213">
        <v>4</v>
      </c>
      <c r="AC16" s="213">
        <v>3</v>
      </c>
      <c r="AD16" s="213">
        <v>3</v>
      </c>
      <c r="AE16" s="213">
        <f t="shared" si="11"/>
        <v>-14</v>
      </c>
      <c r="AF16" s="213">
        <f t="shared" si="11"/>
        <v>-17</v>
      </c>
      <c r="AG16" s="213">
        <f t="shared" si="11"/>
        <v>-17</v>
      </c>
      <c r="AH16" s="213">
        <f t="shared" si="11"/>
        <v>-13</v>
      </c>
      <c r="AI16" s="213">
        <f t="shared" si="11"/>
        <v>-14</v>
      </c>
      <c r="AJ16" s="78">
        <f t="shared" si="12"/>
        <v>1.1819999999999999</v>
      </c>
      <c r="AK16" s="259">
        <v>0.3</v>
      </c>
      <c r="AL16" s="259">
        <f t="shared" si="13"/>
        <v>0.6</v>
      </c>
      <c r="AM16" s="81"/>
      <c r="AN16" s="260"/>
    </row>
    <row r="17" spans="1:40" s="29" customFormat="1" ht="17.25" customHeight="1">
      <c r="A17" s="48">
        <v>8</v>
      </c>
      <c r="B17" s="49">
        <f t="shared" si="0"/>
        <v>45560</v>
      </c>
      <c r="C17" s="220">
        <f t="shared" si="1"/>
        <v>1049</v>
      </c>
      <c r="D17" s="220">
        <f t="shared" ref="D17" si="15">D16+26</f>
        <v>2255</v>
      </c>
      <c r="E17" s="220">
        <f t="shared" si="2"/>
        <v>3304</v>
      </c>
      <c r="F17" s="220">
        <f t="shared" si="3"/>
        <v>711</v>
      </c>
      <c r="G17" s="220">
        <f t="shared" si="4"/>
        <v>745</v>
      </c>
      <c r="H17" s="220">
        <f t="shared" si="5"/>
        <v>725</v>
      </c>
      <c r="I17" s="220">
        <f t="shared" si="6"/>
        <v>770</v>
      </c>
      <c r="J17" s="220">
        <f t="shared" si="7"/>
        <v>673</v>
      </c>
      <c r="K17" s="220">
        <f t="shared" si="8"/>
        <v>2593</v>
      </c>
      <c r="L17" s="220">
        <f t="shared" si="8"/>
        <v>2559</v>
      </c>
      <c r="M17" s="220">
        <f t="shared" si="8"/>
        <v>2579</v>
      </c>
      <c r="N17" s="220">
        <f t="shared" si="8"/>
        <v>2534</v>
      </c>
      <c r="O17" s="220">
        <f t="shared" si="8"/>
        <v>2631</v>
      </c>
      <c r="P17" s="220">
        <f t="shared" si="9"/>
        <v>2000</v>
      </c>
      <c r="Q17" s="220">
        <f t="shared" si="9"/>
        <v>2000</v>
      </c>
      <c r="R17" s="220">
        <f t="shared" si="9"/>
        <v>2000</v>
      </c>
      <c r="S17" s="220">
        <f t="shared" si="9"/>
        <v>2000</v>
      </c>
      <c r="T17" s="220">
        <f t="shared" si="9"/>
        <v>2000</v>
      </c>
      <c r="U17" s="220">
        <f t="shared" si="10"/>
        <v>593</v>
      </c>
      <c r="V17" s="220">
        <f t="shared" si="10"/>
        <v>559</v>
      </c>
      <c r="W17" s="220">
        <f t="shared" si="10"/>
        <v>579</v>
      </c>
      <c r="X17" s="220">
        <f t="shared" si="10"/>
        <v>534</v>
      </c>
      <c r="Y17" s="220">
        <f t="shared" si="10"/>
        <v>631</v>
      </c>
      <c r="Z17" s="220">
        <v>2</v>
      </c>
      <c r="AA17" s="220">
        <v>3</v>
      </c>
      <c r="AB17" s="220">
        <v>3</v>
      </c>
      <c r="AC17" s="220">
        <v>2</v>
      </c>
      <c r="AD17" s="220">
        <v>4</v>
      </c>
      <c r="AE17" s="220">
        <f t="shared" si="11"/>
        <v>-16</v>
      </c>
      <c r="AF17" s="220">
        <f t="shared" si="11"/>
        <v>-20</v>
      </c>
      <c r="AG17" s="220">
        <f t="shared" si="11"/>
        <v>-20</v>
      </c>
      <c r="AH17" s="220">
        <f t="shared" si="11"/>
        <v>-15</v>
      </c>
      <c r="AI17" s="220">
        <f t="shared" si="11"/>
        <v>-18</v>
      </c>
      <c r="AJ17" s="50">
        <f t="shared" si="12"/>
        <v>1.179</v>
      </c>
      <c r="AK17" s="257"/>
      <c r="AL17" s="257">
        <f t="shared" si="13"/>
        <v>0.6</v>
      </c>
      <c r="AM17" s="52"/>
      <c r="AN17" s="88"/>
    </row>
    <row r="18" spans="1:40" s="29" customFormat="1" ht="17.25" customHeight="1">
      <c r="A18" s="48">
        <v>9</v>
      </c>
      <c r="B18" s="49">
        <f t="shared" si="0"/>
        <v>45561</v>
      </c>
      <c r="C18" s="220">
        <f t="shared" si="1"/>
        <v>1049</v>
      </c>
      <c r="D18" s="220">
        <f t="shared" ref="D18" si="16">D17+32</f>
        <v>2287</v>
      </c>
      <c r="E18" s="220">
        <f t="shared" si="2"/>
        <v>3336</v>
      </c>
      <c r="F18" s="220">
        <f t="shared" si="3"/>
        <v>747</v>
      </c>
      <c r="G18" s="220">
        <f t="shared" si="4"/>
        <v>780</v>
      </c>
      <c r="H18" s="220">
        <f t="shared" si="5"/>
        <v>761</v>
      </c>
      <c r="I18" s="220">
        <f t="shared" si="6"/>
        <v>806</v>
      </c>
      <c r="J18" s="220">
        <f t="shared" si="7"/>
        <v>709</v>
      </c>
      <c r="K18" s="220">
        <f t="shared" si="8"/>
        <v>2589</v>
      </c>
      <c r="L18" s="220">
        <f t="shared" si="8"/>
        <v>2556</v>
      </c>
      <c r="M18" s="220">
        <f t="shared" si="8"/>
        <v>2575</v>
      </c>
      <c r="N18" s="220">
        <f t="shared" si="8"/>
        <v>2530</v>
      </c>
      <c r="O18" s="220">
        <f t="shared" si="8"/>
        <v>2627</v>
      </c>
      <c r="P18" s="220">
        <f t="shared" si="9"/>
        <v>2000</v>
      </c>
      <c r="Q18" s="220">
        <f t="shared" si="9"/>
        <v>2000</v>
      </c>
      <c r="R18" s="220">
        <f t="shared" si="9"/>
        <v>2000</v>
      </c>
      <c r="S18" s="220">
        <f t="shared" si="9"/>
        <v>2000</v>
      </c>
      <c r="T18" s="220">
        <f t="shared" si="9"/>
        <v>2000</v>
      </c>
      <c r="U18" s="220">
        <f t="shared" si="10"/>
        <v>589</v>
      </c>
      <c r="V18" s="220">
        <f t="shared" si="10"/>
        <v>556</v>
      </c>
      <c r="W18" s="220">
        <f t="shared" si="10"/>
        <v>575</v>
      </c>
      <c r="X18" s="220">
        <f t="shared" si="10"/>
        <v>530</v>
      </c>
      <c r="Y18" s="220">
        <f t="shared" si="10"/>
        <v>627</v>
      </c>
      <c r="Z18" s="220">
        <v>4</v>
      </c>
      <c r="AA18" s="220">
        <v>3</v>
      </c>
      <c r="AB18" s="220">
        <v>4</v>
      </c>
      <c r="AC18" s="220">
        <v>4</v>
      </c>
      <c r="AD18" s="220">
        <v>4</v>
      </c>
      <c r="AE18" s="220">
        <f t="shared" si="11"/>
        <v>-20</v>
      </c>
      <c r="AF18" s="220">
        <f t="shared" si="11"/>
        <v>-23</v>
      </c>
      <c r="AG18" s="220">
        <f t="shared" si="11"/>
        <v>-24</v>
      </c>
      <c r="AH18" s="220">
        <f t="shared" si="11"/>
        <v>-19</v>
      </c>
      <c r="AI18" s="220">
        <f t="shared" si="11"/>
        <v>-22</v>
      </c>
      <c r="AJ18" s="50">
        <f t="shared" si="12"/>
        <v>1.175</v>
      </c>
      <c r="AK18" s="257"/>
      <c r="AL18" s="257">
        <f t="shared" si="13"/>
        <v>0.6</v>
      </c>
      <c r="AM18" s="52"/>
      <c r="AN18" s="88"/>
    </row>
    <row r="19" spans="1:40" s="29" customFormat="1" ht="17.25" customHeight="1">
      <c r="A19" s="48">
        <v>10</v>
      </c>
      <c r="B19" s="49">
        <f t="shared" si="0"/>
        <v>45562</v>
      </c>
      <c r="C19" s="220">
        <f t="shared" si="1"/>
        <v>1049</v>
      </c>
      <c r="D19" s="220">
        <f t="shared" ref="D19" si="17">D18-18</f>
        <v>2269</v>
      </c>
      <c r="E19" s="220">
        <f t="shared" si="2"/>
        <v>3318</v>
      </c>
      <c r="F19" s="220">
        <f t="shared" si="3"/>
        <v>732</v>
      </c>
      <c r="G19" s="220">
        <f t="shared" si="4"/>
        <v>767</v>
      </c>
      <c r="H19" s="220">
        <f t="shared" si="5"/>
        <v>748</v>
      </c>
      <c r="I19" s="220">
        <f t="shared" si="6"/>
        <v>792</v>
      </c>
      <c r="J19" s="220">
        <f t="shared" si="7"/>
        <v>694</v>
      </c>
      <c r="K19" s="220">
        <f t="shared" si="8"/>
        <v>2586</v>
      </c>
      <c r="L19" s="220">
        <f t="shared" si="8"/>
        <v>2551</v>
      </c>
      <c r="M19" s="220">
        <f t="shared" si="8"/>
        <v>2570</v>
      </c>
      <c r="N19" s="220">
        <f t="shared" si="8"/>
        <v>2526</v>
      </c>
      <c r="O19" s="220">
        <f t="shared" si="8"/>
        <v>2624</v>
      </c>
      <c r="P19" s="220">
        <f t="shared" si="9"/>
        <v>2000</v>
      </c>
      <c r="Q19" s="220">
        <f t="shared" si="9"/>
        <v>2000</v>
      </c>
      <c r="R19" s="220">
        <f t="shared" si="9"/>
        <v>2000</v>
      </c>
      <c r="S19" s="220">
        <f t="shared" si="9"/>
        <v>2000</v>
      </c>
      <c r="T19" s="220">
        <f t="shared" si="9"/>
        <v>2000</v>
      </c>
      <c r="U19" s="220">
        <f t="shared" si="10"/>
        <v>586</v>
      </c>
      <c r="V19" s="220">
        <f t="shared" si="10"/>
        <v>551</v>
      </c>
      <c r="W19" s="220">
        <f t="shared" si="10"/>
        <v>570</v>
      </c>
      <c r="X19" s="220">
        <f t="shared" si="10"/>
        <v>526</v>
      </c>
      <c r="Y19" s="220">
        <f t="shared" si="10"/>
        <v>624</v>
      </c>
      <c r="Z19" s="220">
        <v>3</v>
      </c>
      <c r="AA19" s="220">
        <v>5</v>
      </c>
      <c r="AB19" s="220">
        <v>5</v>
      </c>
      <c r="AC19" s="220">
        <v>4</v>
      </c>
      <c r="AD19" s="220">
        <v>3</v>
      </c>
      <c r="AE19" s="220">
        <f t="shared" si="11"/>
        <v>-23</v>
      </c>
      <c r="AF19" s="220">
        <f t="shared" si="11"/>
        <v>-28</v>
      </c>
      <c r="AG19" s="220">
        <f t="shared" si="11"/>
        <v>-29</v>
      </c>
      <c r="AH19" s="220">
        <f t="shared" si="11"/>
        <v>-23</v>
      </c>
      <c r="AI19" s="220">
        <f t="shared" si="11"/>
        <v>-25</v>
      </c>
      <c r="AJ19" s="50">
        <f t="shared" si="12"/>
        <v>1.1700000000000002</v>
      </c>
      <c r="AK19" s="257"/>
      <c r="AL19" s="257">
        <f t="shared" si="13"/>
        <v>0.6</v>
      </c>
      <c r="AM19" s="52"/>
      <c r="AN19" s="88"/>
    </row>
    <row r="20" spans="1:40" s="29" customFormat="1" ht="17.25" customHeight="1">
      <c r="A20" s="48">
        <v>11</v>
      </c>
      <c r="B20" s="49">
        <f t="shared" si="0"/>
        <v>45563</v>
      </c>
      <c r="C20" s="220">
        <f t="shared" si="1"/>
        <v>1049</v>
      </c>
      <c r="D20" s="220">
        <f t="shared" ref="D20" si="18">D19-26</f>
        <v>2243</v>
      </c>
      <c r="E20" s="220">
        <f t="shared" si="2"/>
        <v>3292</v>
      </c>
      <c r="F20" s="220">
        <f t="shared" si="3"/>
        <v>711</v>
      </c>
      <c r="G20" s="220">
        <f t="shared" si="4"/>
        <v>745</v>
      </c>
      <c r="H20" s="220">
        <f t="shared" si="5"/>
        <v>727</v>
      </c>
      <c r="I20" s="220">
        <f t="shared" si="6"/>
        <v>769</v>
      </c>
      <c r="J20" s="220">
        <f t="shared" si="7"/>
        <v>673</v>
      </c>
      <c r="K20" s="220">
        <f t="shared" si="8"/>
        <v>2581</v>
      </c>
      <c r="L20" s="220">
        <f t="shared" si="8"/>
        <v>2547</v>
      </c>
      <c r="M20" s="220">
        <f t="shared" si="8"/>
        <v>2565</v>
      </c>
      <c r="N20" s="220">
        <f t="shared" si="8"/>
        <v>2523</v>
      </c>
      <c r="O20" s="220">
        <f t="shared" si="8"/>
        <v>2619</v>
      </c>
      <c r="P20" s="220">
        <f t="shared" si="9"/>
        <v>2000</v>
      </c>
      <c r="Q20" s="220">
        <f t="shared" si="9"/>
        <v>2000</v>
      </c>
      <c r="R20" s="220">
        <f t="shared" si="9"/>
        <v>2000</v>
      </c>
      <c r="S20" s="220">
        <f t="shared" si="9"/>
        <v>2000</v>
      </c>
      <c r="T20" s="220">
        <f t="shared" si="9"/>
        <v>2000</v>
      </c>
      <c r="U20" s="220">
        <f t="shared" si="10"/>
        <v>581</v>
      </c>
      <c r="V20" s="220">
        <f t="shared" si="10"/>
        <v>547</v>
      </c>
      <c r="W20" s="220">
        <f t="shared" si="10"/>
        <v>565</v>
      </c>
      <c r="X20" s="220">
        <f t="shared" si="10"/>
        <v>523</v>
      </c>
      <c r="Y20" s="220">
        <f t="shared" si="10"/>
        <v>619</v>
      </c>
      <c r="Z20" s="220">
        <v>5</v>
      </c>
      <c r="AA20" s="220">
        <v>4</v>
      </c>
      <c r="AB20" s="220">
        <v>5</v>
      </c>
      <c r="AC20" s="220">
        <v>3</v>
      </c>
      <c r="AD20" s="220">
        <v>5</v>
      </c>
      <c r="AE20" s="220">
        <f t="shared" si="11"/>
        <v>-28</v>
      </c>
      <c r="AF20" s="220">
        <f t="shared" si="11"/>
        <v>-32</v>
      </c>
      <c r="AG20" s="220">
        <f t="shared" si="11"/>
        <v>-34</v>
      </c>
      <c r="AH20" s="220">
        <f t="shared" si="11"/>
        <v>-26</v>
      </c>
      <c r="AI20" s="220">
        <f t="shared" si="11"/>
        <v>-30</v>
      </c>
      <c r="AJ20" s="50">
        <f t="shared" si="12"/>
        <v>1.1650000000000003</v>
      </c>
      <c r="AK20" s="257"/>
      <c r="AL20" s="257">
        <f t="shared" si="13"/>
        <v>0.6</v>
      </c>
      <c r="AM20" s="52"/>
      <c r="AN20" s="88"/>
    </row>
    <row r="21" spans="1:40" s="261" customFormat="1" ht="17.25" customHeight="1">
      <c r="A21" s="76">
        <v>12</v>
      </c>
      <c r="B21" s="77">
        <f t="shared" si="0"/>
        <v>45564</v>
      </c>
      <c r="C21" s="213">
        <f t="shared" si="1"/>
        <v>1049</v>
      </c>
      <c r="D21" s="213">
        <f t="shared" ref="D21" si="19">D20+15</f>
        <v>2258</v>
      </c>
      <c r="E21" s="213">
        <f t="shared" si="2"/>
        <v>3307</v>
      </c>
      <c r="F21" s="213">
        <f t="shared" si="3"/>
        <v>729</v>
      </c>
      <c r="G21" s="213">
        <f t="shared" si="4"/>
        <v>763</v>
      </c>
      <c r="H21" s="213">
        <f t="shared" si="5"/>
        <v>748</v>
      </c>
      <c r="I21" s="213">
        <f t="shared" si="6"/>
        <v>788</v>
      </c>
      <c r="J21" s="213">
        <f t="shared" si="7"/>
        <v>691</v>
      </c>
      <c r="K21" s="213">
        <f t="shared" si="8"/>
        <v>2578</v>
      </c>
      <c r="L21" s="213">
        <f t="shared" si="8"/>
        <v>2544</v>
      </c>
      <c r="M21" s="213">
        <f t="shared" si="8"/>
        <v>2559</v>
      </c>
      <c r="N21" s="213">
        <f t="shared" si="8"/>
        <v>2519</v>
      </c>
      <c r="O21" s="213">
        <f t="shared" si="8"/>
        <v>2616</v>
      </c>
      <c r="P21" s="213">
        <f t="shared" si="9"/>
        <v>2000</v>
      </c>
      <c r="Q21" s="213">
        <f t="shared" si="9"/>
        <v>2000</v>
      </c>
      <c r="R21" s="213">
        <f t="shared" si="9"/>
        <v>2000</v>
      </c>
      <c r="S21" s="213">
        <f t="shared" si="9"/>
        <v>2000</v>
      </c>
      <c r="T21" s="213">
        <f t="shared" si="9"/>
        <v>2000</v>
      </c>
      <c r="U21" s="213">
        <f t="shared" si="10"/>
        <v>578</v>
      </c>
      <c r="V21" s="213">
        <f t="shared" si="10"/>
        <v>544</v>
      </c>
      <c r="W21" s="213">
        <f t="shared" si="10"/>
        <v>559</v>
      </c>
      <c r="X21" s="213">
        <f t="shared" si="10"/>
        <v>519</v>
      </c>
      <c r="Y21" s="213">
        <f t="shared" si="10"/>
        <v>616</v>
      </c>
      <c r="Z21" s="213">
        <v>3</v>
      </c>
      <c r="AA21" s="213">
        <v>3</v>
      </c>
      <c r="AB21" s="213">
        <v>6</v>
      </c>
      <c r="AC21" s="213">
        <v>4</v>
      </c>
      <c r="AD21" s="213">
        <v>3</v>
      </c>
      <c r="AE21" s="213">
        <f t="shared" si="11"/>
        <v>-31</v>
      </c>
      <c r="AF21" s="213">
        <f t="shared" si="11"/>
        <v>-35</v>
      </c>
      <c r="AG21" s="213">
        <f t="shared" si="11"/>
        <v>-40</v>
      </c>
      <c r="AH21" s="213">
        <f t="shared" si="11"/>
        <v>-30</v>
      </c>
      <c r="AI21" s="213">
        <f t="shared" si="11"/>
        <v>-33</v>
      </c>
      <c r="AJ21" s="78">
        <f t="shared" si="12"/>
        <v>1.4590000000000003</v>
      </c>
      <c r="AK21" s="259">
        <v>0.3</v>
      </c>
      <c r="AL21" s="259">
        <f t="shared" si="13"/>
        <v>0.89999999999999991</v>
      </c>
      <c r="AM21" s="81"/>
      <c r="AN21" s="260"/>
    </row>
    <row r="22" spans="1:40" s="29" customFormat="1" ht="17.25" customHeight="1">
      <c r="A22" s="48">
        <v>13</v>
      </c>
      <c r="B22" s="49">
        <f t="shared" si="0"/>
        <v>45565</v>
      </c>
      <c r="C22" s="220">
        <f t="shared" si="1"/>
        <v>1049</v>
      </c>
      <c r="D22" s="220">
        <f t="shared" ref="D22" si="20">D21+26</f>
        <v>2284</v>
      </c>
      <c r="E22" s="220">
        <f t="shared" si="2"/>
        <v>3333</v>
      </c>
      <c r="F22" s="220">
        <f t="shared" si="3"/>
        <v>758</v>
      </c>
      <c r="G22" s="220">
        <f t="shared" si="4"/>
        <v>792</v>
      </c>
      <c r="H22" s="220">
        <f t="shared" si="5"/>
        <v>780</v>
      </c>
      <c r="I22" s="220">
        <f t="shared" si="6"/>
        <v>818</v>
      </c>
      <c r="J22" s="220">
        <f t="shared" si="7"/>
        <v>719</v>
      </c>
      <c r="K22" s="220">
        <f t="shared" si="8"/>
        <v>2575</v>
      </c>
      <c r="L22" s="220">
        <f t="shared" si="8"/>
        <v>2541</v>
      </c>
      <c r="M22" s="220">
        <f t="shared" si="8"/>
        <v>2553</v>
      </c>
      <c r="N22" s="220">
        <f t="shared" si="8"/>
        <v>2515</v>
      </c>
      <c r="O22" s="220">
        <f t="shared" si="8"/>
        <v>2614</v>
      </c>
      <c r="P22" s="220">
        <f t="shared" si="9"/>
        <v>2000</v>
      </c>
      <c r="Q22" s="220">
        <f t="shared" si="9"/>
        <v>2000</v>
      </c>
      <c r="R22" s="220">
        <f t="shared" si="9"/>
        <v>2000</v>
      </c>
      <c r="S22" s="220">
        <f t="shared" si="9"/>
        <v>2000</v>
      </c>
      <c r="T22" s="220">
        <f t="shared" si="9"/>
        <v>2000</v>
      </c>
      <c r="U22" s="220">
        <f t="shared" si="10"/>
        <v>575</v>
      </c>
      <c r="V22" s="220">
        <f t="shared" si="10"/>
        <v>541</v>
      </c>
      <c r="W22" s="220">
        <f t="shared" si="10"/>
        <v>553</v>
      </c>
      <c r="X22" s="220">
        <f t="shared" si="10"/>
        <v>515</v>
      </c>
      <c r="Y22" s="220">
        <f t="shared" si="10"/>
        <v>614</v>
      </c>
      <c r="Z22" s="220">
        <v>3</v>
      </c>
      <c r="AA22" s="220">
        <v>3</v>
      </c>
      <c r="AB22" s="220">
        <v>6</v>
      </c>
      <c r="AC22" s="220">
        <v>4</v>
      </c>
      <c r="AD22" s="220">
        <v>2</v>
      </c>
      <c r="AE22" s="220">
        <f t="shared" si="11"/>
        <v>-34</v>
      </c>
      <c r="AF22" s="220">
        <f t="shared" si="11"/>
        <v>-38</v>
      </c>
      <c r="AG22" s="220">
        <f t="shared" si="11"/>
        <v>-46</v>
      </c>
      <c r="AH22" s="220">
        <f t="shared" si="11"/>
        <v>-34</v>
      </c>
      <c r="AI22" s="220">
        <f t="shared" si="11"/>
        <v>-35</v>
      </c>
      <c r="AJ22" s="50">
        <f t="shared" si="12"/>
        <v>1.4530000000000003</v>
      </c>
      <c r="AK22" s="257"/>
      <c r="AL22" s="257">
        <f t="shared" si="13"/>
        <v>0.89999999999999991</v>
      </c>
      <c r="AM22" s="52"/>
      <c r="AN22" s="88"/>
    </row>
    <row r="23" spans="1:40" s="29" customFormat="1" ht="17.25" customHeight="1">
      <c r="A23" s="48">
        <v>14</v>
      </c>
      <c r="B23" s="49">
        <f t="shared" si="0"/>
        <v>45566</v>
      </c>
      <c r="C23" s="220">
        <f t="shared" si="1"/>
        <v>1049</v>
      </c>
      <c r="D23" s="220">
        <f t="shared" ref="D23" si="21">D22+32</f>
        <v>2316</v>
      </c>
      <c r="E23" s="220">
        <f t="shared" si="2"/>
        <v>3365</v>
      </c>
      <c r="F23" s="220">
        <f t="shared" si="3"/>
        <v>794</v>
      </c>
      <c r="G23" s="220">
        <f t="shared" si="4"/>
        <v>829</v>
      </c>
      <c r="H23" s="220">
        <f t="shared" si="5"/>
        <v>817</v>
      </c>
      <c r="I23" s="220">
        <f t="shared" si="6"/>
        <v>855</v>
      </c>
      <c r="J23" s="220">
        <f t="shared" si="7"/>
        <v>755</v>
      </c>
      <c r="K23" s="220">
        <f t="shared" si="8"/>
        <v>2571</v>
      </c>
      <c r="L23" s="220">
        <f t="shared" si="8"/>
        <v>2536</v>
      </c>
      <c r="M23" s="220">
        <f t="shared" si="8"/>
        <v>2548</v>
      </c>
      <c r="N23" s="220">
        <f t="shared" si="8"/>
        <v>2510</v>
      </c>
      <c r="O23" s="220">
        <f t="shared" si="8"/>
        <v>2610</v>
      </c>
      <c r="P23" s="220">
        <f t="shared" si="9"/>
        <v>2000</v>
      </c>
      <c r="Q23" s="220">
        <f t="shared" si="9"/>
        <v>2000</v>
      </c>
      <c r="R23" s="220">
        <f t="shared" si="9"/>
        <v>2000</v>
      </c>
      <c r="S23" s="220">
        <f t="shared" si="9"/>
        <v>2000</v>
      </c>
      <c r="T23" s="220">
        <f t="shared" si="9"/>
        <v>2000</v>
      </c>
      <c r="U23" s="220">
        <f t="shared" si="10"/>
        <v>571</v>
      </c>
      <c r="V23" s="220">
        <f t="shared" si="10"/>
        <v>536</v>
      </c>
      <c r="W23" s="220">
        <f t="shared" si="10"/>
        <v>548</v>
      </c>
      <c r="X23" s="220">
        <f t="shared" si="10"/>
        <v>510</v>
      </c>
      <c r="Y23" s="220">
        <f t="shared" si="10"/>
        <v>610</v>
      </c>
      <c r="Z23" s="220">
        <v>4</v>
      </c>
      <c r="AA23" s="220">
        <v>5</v>
      </c>
      <c r="AB23" s="220">
        <v>5</v>
      </c>
      <c r="AC23" s="220">
        <v>5</v>
      </c>
      <c r="AD23" s="220">
        <v>4</v>
      </c>
      <c r="AE23" s="220">
        <f t="shared" si="11"/>
        <v>-38</v>
      </c>
      <c r="AF23" s="220">
        <f t="shared" si="11"/>
        <v>-43</v>
      </c>
      <c r="AG23" s="220">
        <f t="shared" si="11"/>
        <v>-51</v>
      </c>
      <c r="AH23" s="220">
        <f t="shared" si="11"/>
        <v>-39</v>
      </c>
      <c r="AI23" s="220">
        <f t="shared" si="11"/>
        <v>-39</v>
      </c>
      <c r="AJ23" s="50">
        <f t="shared" si="12"/>
        <v>1.4480000000000004</v>
      </c>
      <c r="AK23" s="257"/>
      <c r="AL23" s="257">
        <f t="shared" si="13"/>
        <v>0.89999999999999991</v>
      </c>
      <c r="AM23" s="52"/>
      <c r="AN23" s="88"/>
    </row>
    <row r="24" spans="1:40" s="29" customFormat="1" ht="17.25" customHeight="1">
      <c r="A24" s="48">
        <v>15</v>
      </c>
      <c r="B24" s="49">
        <f t="shared" si="0"/>
        <v>45567</v>
      </c>
      <c r="C24" s="220">
        <f t="shared" si="1"/>
        <v>1049</v>
      </c>
      <c r="D24" s="220">
        <f t="shared" ref="D24" si="22">D23-18</f>
        <v>2298</v>
      </c>
      <c r="E24" s="220">
        <f t="shared" si="2"/>
        <v>3347</v>
      </c>
      <c r="F24" s="220">
        <f t="shared" si="3"/>
        <v>779</v>
      </c>
      <c r="G24" s="220">
        <f t="shared" si="4"/>
        <v>815</v>
      </c>
      <c r="H24" s="220">
        <f t="shared" si="5"/>
        <v>804</v>
      </c>
      <c r="I24" s="220">
        <f t="shared" si="6"/>
        <v>841</v>
      </c>
      <c r="J24" s="220">
        <f t="shared" si="7"/>
        <v>740</v>
      </c>
      <c r="K24" s="220">
        <f t="shared" si="8"/>
        <v>2568</v>
      </c>
      <c r="L24" s="220">
        <f t="shared" si="8"/>
        <v>2532</v>
      </c>
      <c r="M24" s="220">
        <f t="shared" si="8"/>
        <v>2543</v>
      </c>
      <c r="N24" s="220">
        <f t="shared" si="8"/>
        <v>2506</v>
      </c>
      <c r="O24" s="220">
        <f t="shared" si="8"/>
        <v>2607</v>
      </c>
      <c r="P24" s="220">
        <f t="shared" si="9"/>
        <v>2000</v>
      </c>
      <c r="Q24" s="220">
        <f t="shared" si="9"/>
        <v>2000</v>
      </c>
      <c r="R24" s="220">
        <f t="shared" si="9"/>
        <v>2000</v>
      </c>
      <c r="S24" s="220">
        <f t="shared" si="9"/>
        <v>2000</v>
      </c>
      <c r="T24" s="220">
        <f t="shared" si="9"/>
        <v>2000</v>
      </c>
      <c r="U24" s="220">
        <f t="shared" si="10"/>
        <v>568</v>
      </c>
      <c r="V24" s="220">
        <f t="shared" si="10"/>
        <v>532</v>
      </c>
      <c r="W24" s="220">
        <f t="shared" si="10"/>
        <v>543</v>
      </c>
      <c r="X24" s="220">
        <f t="shared" si="10"/>
        <v>506</v>
      </c>
      <c r="Y24" s="220">
        <f t="shared" si="10"/>
        <v>607</v>
      </c>
      <c r="Z24" s="220">
        <v>3</v>
      </c>
      <c r="AA24" s="220">
        <v>4</v>
      </c>
      <c r="AB24" s="220">
        <v>5</v>
      </c>
      <c r="AC24" s="220">
        <v>4</v>
      </c>
      <c r="AD24" s="220">
        <v>3</v>
      </c>
      <c r="AE24" s="220">
        <f t="shared" si="11"/>
        <v>-41</v>
      </c>
      <c r="AF24" s="220">
        <f t="shared" si="11"/>
        <v>-47</v>
      </c>
      <c r="AG24" s="220">
        <f t="shared" si="11"/>
        <v>-56</v>
      </c>
      <c r="AH24" s="220">
        <f t="shared" si="11"/>
        <v>-43</v>
      </c>
      <c r="AI24" s="220">
        <f t="shared" si="11"/>
        <v>-42</v>
      </c>
      <c r="AJ24" s="50">
        <f t="shared" si="12"/>
        <v>1.4430000000000005</v>
      </c>
      <c r="AK24" s="257"/>
      <c r="AL24" s="257">
        <f t="shared" si="13"/>
        <v>0.89999999999999991</v>
      </c>
      <c r="AM24" s="52"/>
      <c r="AN24" s="88"/>
    </row>
    <row r="25" spans="1:40" s="261" customFormat="1" ht="17.25" customHeight="1">
      <c r="A25" s="76">
        <v>16</v>
      </c>
      <c r="B25" s="77">
        <f t="shared" si="0"/>
        <v>45568</v>
      </c>
      <c r="C25" s="213">
        <f t="shared" si="1"/>
        <v>1049</v>
      </c>
      <c r="D25" s="213">
        <f t="shared" ref="D25" si="23">D24-26</f>
        <v>2272</v>
      </c>
      <c r="E25" s="213">
        <f t="shared" si="2"/>
        <v>3321</v>
      </c>
      <c r="F25" s="213">
        <f t="shared" si="3"/>
        <v>756</v>
      </c>
      <c r="G25" s="213">
        <f t="shared" si="4"/>
        <v>792</v>
      </c>
      <c r="H25" s="213">
        <f t="shared" si="5"/>
        <v>783</v>
      </c>
      <c r="I25" s="213">
        <f t="shared" si="6"/>
        <v>820</v>
      </c>
      <c r="J25" s="213">
        <f t="shared" si="7"/>
        <v>719</v>
      </c>
      <c r="K25" s="213">
        <f t="shared" si="8"/>
        <v>2565</v>
      </c>
      <c r="L25" s="213">
        <f t="shared" si="8"/>
        <v>2529</v>
      </c>
      <c r="M25" s="213">
        <f t="shared" si="8"/>
        <v>2538</v>
      </c>
      <c r="N25" s="213">
        <f t="shared" si="8"/>
        <v>2501</v>
      </c>
      <c r="O25" s="213">
        <f t="shared" si="8"/>
        <v>2602</v>
      </c>
      <c r="P25" s="213">
        <f t="shared" si="9"/>
        <v>2000</v>
      </c>
      <c r="Q25" s="213">
        <f t="shared" si="9"/>
        <v>2000</v>
      </c>
      <c r="R25" s="213">
        <f t="shared" si="9"/>
        <v>2000</v>
      </c>
      <c r="S25" s="213">
        <f t="shared" si="9"/>
        <v>2000</v>
      </c>
      <c r="T25" s="213">
        <f t="shared" si="9"/>
        <v>2000</v>
      </c>
      <c r="U25" s="213">
        <f t="shared" si="10"/>
        <v>565</v>
      </c>
      <c r="V25" s="213">
        <f t="shared" si="10"/>
        <v>529</v>
      </c>
      <c r="W25" s="213">
        <f t="shared" si="10"/>
        <v>538</v>
      </c>
      <c r="X25" s="213">
        <f t="shared" si="10"/>
        <v>501</v>
      </c>
      <c r="Y25" s="213">
        <f t="shared" si="10"/>
        <v>602</v>
      </c>
      <c r="Z25" s="213">
        <v>3</v>
      </c>
      <c r="AA25" s="213">
        <v>3</v>
      </c>
      <c r="AB25" s="213">
        <v>5</v>
      </c>
      <c r="AC25" s="213">
        <v>5</v>
      </c>
      <c r="AD25" s="213">
        <v>5</v>
      </c>
      <c r="AE25" s="213">
        <f t="shared" si="11"/>
        <v>-44</v>
      </c>
      <c r="AF25" s="213">
        <f t="shared" si="11"/>
        <v>-50</v>
      </c>
      <c r="AG25" s="213">
        <f t="shared" si="11"/>
        <v>-61</v>
      </c>
      <c r="AH25" s="213">
        <f t="shared" si="11"/>
        <v>-48</v>
      </c>
      <c r="AI25" s="213">
        <f t="shared" si="11"/>
        <v>-47</v>
      </c>
      <c r="AJ25" s="78">
        <f t="shared" si="12"/>
        <v>1.7380000000000007</v>
      </c>
      <c r="AK25" s="259">
        <v>0.3</v>
      </c>
      <c r="AL25" s="259">
        <f t="shared" si="13"/>
        <v>1.2</v>
      </c>
      <c r="AM25" s="81"/>
      <c r="AN25" s="260"/>
    </row>
    <row r="26" spans="1:40" s="29" customFormat="1" ht="17.25" customHeight="1">
      <c r="A26" s="48">
        <v>17</v>
      </c>
      <c r="B26" s="49">
        <f t="shared" si="0"/>
        <v>45569</v>
      </c>
      <c r="C26" s="220">
        <f t="shared" si="1"/>
        <v>1049</v>
      </c>
      <c r="D26" s="220">
        <f t="shared" ref="D26" si="24">D25+15</f>
        <v>2287</v>
      </c>
      <c r="E26" s="220">
        <f t="shared" si="2"/>
        <v>3336</v>
      </c>
      <c r="F26" s="220">
        <f t="shared" si="3"/>
        <v>774</v>
      </c>
      <c r="G26" s="220">
        <f t="shared" si="4"/>
        <v>810</v>
      </c>
      <c r="H26" s="220">
        <f t="shared" si="5"/>
        <v>803</v>
      </c>
      <c r="I26" s="220">
        <f t="shared" si="6"/>
        <v>840</v>
      </c>
      <c r="J26" s="220">
        <f t="shared" si="7"/>
        <v>739</v>
      </c>
      <c r="K26" s="220">
        <f t="shared" si="8"/>
        <v>2562</v>
      </c>
      <c r="L26" s="220">
        <f t="shared" si="8"/>
        <v>2526</v>
      </c>
      <c r="M26" s="220">
        <f t="shared" si="8"/>
        <v>2533</v>
      </c>
      <c r="N26" s="220">
        <f t="shared" si="8"/>
        <v>2496</v>
      </c>
      <c r="O26" s="220">
        <f t="shared" si="8"/>
        <v>2597</v>
      </c>
      <c r="P26" s="220">
        <f t="shared" si="9"/>
        <v>2000</v>
      </c>
      <c r="Q26" s="220">
        <f t="shared" si="9"/>
        <v>2000</v>
      </c>
      <c r="R26" s="220">
        <f t="shared" si="9"/>
        <v>2000</v>
      </c>
      <c r="S26" s="220">
        <f t="shared" si="9"/>
        <v>2000</v>
      </c>
      <c r="T26" s="220">
        <f t="shared" si="9"/>
        <v>2000</v>
      </c>
      <c r="U26" s="220">
        <f t="shared" si="10"/>
        <v>562</v>
      </c>
      <c r="V26" s="220">
        <f t="shared" si="10"/>
        <v>526</v>
      </c>
      <c r="W26" s="220">
        <f t="shared" si="10"/>
        <v>533</v>
      </c>
      <c r="X26" s="220">
        <f t="shared" si="10"/>
        <v>496</v>
      </c>
      <c r="Y26" s="220">
        <f t="shared" si="10"/>
        <v>597</v>
      </c>
      <c r="Z26" s="220">
        <v>3</v>
      </c>
      <c r="AA26" s="220">
        <v>3</v>
      </c>
      <c r="AB26" s="220">
        <v>5</v>
      </c>
      <c r="AC26" s="220">
        <v>5</v>
      </c>
      <c r="AD26" s="220">
        <v>5</v>
      </c>
      <c r="AE26" s="220">
        <f t="shared" si="11"/>
        <v>-47</v>
      </c>
      <c r="AF26" s="220">
        <f t="shared" si="11"/>
        <v>-53</v>
      </c>
      <c r="AG26" s="220">
        <f t="shared" si="11"/>
        <v>-66</v>
      </c>
      <c r="AH26" s="220">
        <f t="shared" si="11"/>
        <v>-53</v>
      </c>
      <c r="AI26" s="220">
        <f t="shared" si="11"/>
        <v>-52</v>
      </c>
      <c r="AJ26" s="50">
        <f t="shared" si="12"/>
        <v>1.7330000000000008</v>
      </c>
      <c r="AK26" s="257"/>
      <c r="AL26" s="257">
        <f t="shared" si="13"/>
        <v>1.2</v>
      </c>
      <c r="AM26" s="52"/>
      <c r="AN26" s="88"/>
    </row>
    <row r="27" spans="1:40" s="29" customFormat="1" ht="17.25" customHeight="1">
      <c r="A27" s="48">
        <v>18</v>
      </c>
      <c r="B27" s="49">
        <f t="shared" si="0"/>
        <v>45570</v>
      </c>
      <c r="C27" s="220">
        <f t="shared" si="1"/>
        <v>1049</v>
      </c>
      <c r="D27" s="220">
        <f t="shared" ref="D27" si="25">D26+26</f>
        <v>2313</v>
      </c>
      <c r="E27" s="220">
        <f t="shared" si="2"/>
        <v>3362</v>
      </c>
      <c r="F27" s="220">
        <f t="shared" si="3"/>
        <v>802</v>
      </c>
      <c r="G27" s="220">
        <f t="shared" si="4"/>
        <v>839</v>
      </c>
      <c r="H27" s="220">
        <f t="shared" si="5"/>
        <v>834</v>
      </c>
      <c r="I27" s="220">
        <f t="shared" si="6"/>
        <v>871</v>
      </c>
      <c r="J27" s="220">
        <f t="shared" si="7"/>
        <v>770</v>
      </c>
      <c r="K27" s="220">
        <f t="shared" si="8"/>
        <v>2560</v>
      </c>
      <c r="L27" s="220">
        <f t="shared" si="8"/>
        <v>2523</v>
      </c>
      <c r="M27" s="220">
        <f t="shared" si="8"/>
        <v>2528</v>
      </c>
      <c r="N27" s="220">
        <f t="shared" si="8"/>
        <v>2491</v>
      </c>
      <c r="O27" s="220">
        <f t="shared" si="8"/>
        <v>2592</v>
      </c>
      <c r="P27" s="220">
        <f t="shared" si="9"/>
        <v>2000</v>
      </c>
      <c r="Q27" s="220">
        <f t="shared" si="9"/>
        <v>2000</v>
      </c>
      <c r="R27" s="220">
        <f t="shared" si="9"/>
        <v>2000</v>
      </c>
      <c r="S27" s="220">
        <f t="shared" si="9"/>
        <v>2000</v>
      </c>
      <c r="T27" s="220">
        <f t="shared" si="9"/>
        <v>2000</v>
      </c>
      <c r="U27" s="220">
        <f t="shared" si="10"/>
        <v>560</v>
      </c>
      <c r="V27" s="220">
        <f t="shared" si="10"/>
        <v>523</v>
      </c>
      <c r="W27" s="220">
        <f t="shared" si="10"/>
        <v>528</v>
      </c>
      <c r="X27" s="220">
        <f t="shared" si="10"/>
        <v>491</v>
      </c>
      <c r="Y27" s="220">
        <f t="shared" si="10"/>
        <v>592</v>
      </c>
      <c r="Z27" s="220">
        <v>2</v>
      </c>
      <c r="AA27" s="192">
        <v>3</v>
      </c>
      <c r="AB27" s="220">
        <v>5</v>
      </c>
      <c r="AC27" s="220">
        <v>5</v>
      </c>
      <c r="AD27" s="220">
        <v>5</v>
      </c>
      <c r="AE27" s="220">
        <f t="shared" si="11"/>
        <v>-49</v>
      </c>
      <c r="AF27" s="220">
        <f t="shared" si="11"/>
        <v>-56</v>
      </c>
      <c r="AG27" s="220">
        <f t="shared" si="11"/>
        <v>-71</v>
      </c>
      <c r="AH27" s="220">
        <f t="shared" si="11"/>
        <v>-58</v>
      </c>
      <c r="AI27" s="220">
        <f t="shared" si="11"/>
        <v>-57</v>
      </c>
      <c r="AJ27" s="50">
        <f t="shared" si="12"/>
        <v>1.7280000000000009</v>
      </c>
      <c r="AK27" s="257"/>
      <c r="AL27" s="257">
        <f t="shared" si="13"/>
        <v>1.2</v>
      </c>
      <c r="AM27" s="52"/>
      <c r="AN27" s="88"/>
    </row>
    <row r="28" spans="1:40" s="29" customFormat="1" ht="17.25" customHeight="1">
      <c r="A28" s="48">
        <v>19</v>
      </c>
      <c r="B28" s="49">
        <f t="shared" si="0"/>
        <v>45571</v>
      </c>
      <c r="C28" s="220">
        <f t="shared" si="1"/>
        <v>1049</v>
      </c>
      <c r="D28" s="220">
        <f t="shared" ref="D28" si="26">D27+32</f>
        <v>2345</v>
      </c>
      <c r="E28" s="220">
        <f t="shared" si="2"/>
        <v>3394</v>
      </c>
      <c r="F28" s="220">
        <f t="shared" si="3"/>
        <v>836</v>
      </c>
      <c r="G28" s="220">
        <f t="shared" si="4"/>
        <v>874</v>
      </c>
      <c r="H28" s="220">
        <f t="shared" si="5"/>
        <v>871</v>
      </c>
      <c r="I28" s="220">
        <f t="shared" si="6"/>
        <v>907</v>
      </c>
      <c r="J28" s="220">
        <f t="shared" si="7"/>
        <v>807</v>
      </c>
      <c r="K28" s="220">
        <f t="shared" si="8"/>
        <v>2558</v>
      </c>
      <c r="L28" s="220">
        <f t="shared" si="8"/>
        <v>2520</v>
      </c>
      <c r="M28" s="220">
        <f t="shared" si="8"/>
        <v>2523</v>
      </c>
      <c r="N28" s="220">
        <f t="shared" si="8"/>
        <v>2487</v>
      </c>
      <c r="O28" s="220">
        <f t="shared" si="8"/>
        <v>2587</v>
      </c>
      <c r="P28" s="220">
        <f t="shared" ref="P28:T43" si="27">+P27</f>
        <v>2000</v>
      </c>
      <c r="Q28" s="220">
        <f t="shared" si="27"/>
        <v>2000</v>
      </c>
      <c r="R28" s="220">
        <f t="shared" si="27"/>
        <v>2000</v>
      </c>
      <c r="S28" s="220">
        <f t="shared" si="27"/>
        <v>2000</v>
      </c>
      <c r="T28" s="220">
        <f t="shared" si="27"/>
        <v>2000</v>
      </c>
      <c r="U28" s="220">
        <f t="shared" ref="U28:Y43" si="28">U27-Z28</f>
        <v>558</v>
      </c>
      <c r="V28" s="220">
        <f t="shared" si="28"/>
        <v>520</v>
      </c>
      <c r="W28" s="220">
        <f t="shared" si="28"/>
        <v>523</v>
      </c>
      <c r="X28" s="220">
        <f t="shared" si="28"/>
        <v>487</v>
      </c>
      <c r="Y28" s="220">
        <f t="shared" si="28"/>
        <v>587</v>
      </c>
      <c r="Z28" s="220">
        <v>2</v>
      </c>
      <c r="AA28" s="220">
        <v>3</v>
      </c>
      <c r="AB28" s="220">
        <v>5</v>
      </c>
      <c r="AC28" s="220">
        <v>4</v>
      </c>
      <c r="AD28" s="220">
        <v>5</v>
      </c>
      <c r="AE28" s="220">
        <f t="shared" ref="AE28:AI43" si="29">AE27-Z28</f>
        <v>-51</v>
      </c>
      <c r="AF28" s="220">
        <f t="shared" si="29"/>
        <v>-59</v>
      </c>
      <c r="AG28" s="220">
        <f t="shared" si="29"/>
        <v>-76</v>
      </c>
      <c r="AH28" s="220">
        <f t="shared" si="29"/>
        <v>-62</v>
      </c>
      <c r="AI28" s="220">
        <f t="shared" si="29"/>
        <v>-62</v>
      </c>
      <c r="AJ28" s="50">
        <f t="shared" si="12"/>
        <v>1.723000000000001</v>
      </c>
      <c r="AK28" s="257"/>
      <c r="AL28" s="257">
        <f t="shared" si="13"/>
        <v>1.2</v>
      </c>
      <c r="AM28" s="52"/>
      <c r="AN28" s="88"/>
    </row>
    <row r="29" spans="1:40" s="29" customFormat="1" ht="17.25" customHeight="1">
      <c r="A29" s="48">
        <v>20</v>
      </c>
      <c r="B29" s="49">
        <f t="shared" si="0"/>
        <v>45572</v>
      </c>
      <c r="C29" s="220">
        <f t="shared" si="1"/>
        <v>1049</v>
      </c>
      <c r="D29" s="220">
        <f t="shared" ref="D29" si="30">D28-18</f>
        <v>2327</v>
      </c>
      <c r="E29" s="220">
        <f t="shared" si="2"/>
        <v>3376</v>
      </c>
      <c r="F29" s="220">
        <f t="shared" si="3"/>
        <v>820</v>
      </c>
      <c r="G29" s="220">
        <f t="shared" si="4"/>
        <v>858</v>
      </c>
      <c r="H29" s="220">
        <f t="shared" si="5"/>
        <v>858</v>
      </c>
      <c r="I29" s="220">
        <f t="shared" si="6"/>
        <v>894</v>
      </c>
      <c r="J29" s="220">
        <f t="shared" si="7"/>
        <v>793</v>
      </c>
      <c r="K29" s="220">
        <f t="shared" si="8"/>
        <v>2556</v>
      </c>
      <c r="L29" s="220">
        <f t="shared" si="8"/>
        <v>2518</v>
      </c>
      <c r="M29" s="220">
        <f t="shared" si="8"/>
        <v>2518</v>
      </c>
      <c r="N29" s="220">
        <f t="shared" si="8"/>
        <v>2482</v>
      </c>
      <c r="O29" s="220">
        <f t="shared" si="8"/>
        <v>2583</v>
      </c>
      <c r="P29" s="220">
        <f t="shared" si="27"/>
        <v>2000</v>
      </c>
      <c r="Q29" s="220">
        <f t="shared" si="27"/>
        <v>2000</v>
      </c>
      <c r="R29" s="220">
        <f t="shared" si="27"/>
        <v>2000</v>
      </c>
      <c r="S29" s="220">
        <f t="shared" si="27"/>
        <v>2000</v>
      </c>
      <c r="T29" s="220">
        <f t="shared" si="27"/>
        <v>2000</v>
      </c>
      <c r="U29" s="220">
        <f t="shared" si="28"/>
        <v>556</v>
      </c>
      <c r="V29" s="220">
        <f t="shared" si="28"/>
        <v>518</v>
      </c>
      <c r="W29" s="220">
        <f t="shared" si="28"/>
        <v>518</v>
      </c>
      <c r="X29" s="220">
        <f t="shared" si="28"/>
        <v>482</v>
      </c>
      <c r="Y29" s="220">
        <f t="shared" si="28"/>
        <v>583</v>
      </c>
      <c r="Z29" s="220">
        <v>2</v>
      </c>
      <c r="AA29" s="220">
        <v>2</v>
      </c>
      <c r="AB29" s="220">
        <v>5</v>
      </c>
      <c r="AC29" s="220">
        <v>5</v>
      </c>
      <c r="AD29" s="220">
        <v>4</v>
      </c>
      <c r="AE29" s="220">
        <f t="shared" si="29"/>
        <v>-53</v>
      </c>
      <c r="AF29" s="220">
        <f t="shared" si="29"/>
        <v>-61</v>
      </c>
      <c r="AG29" s="220">
        <f t="shared" si="29"/>
        <v>-81</v>
      </c>
      <c r="AH29" s="220">
        <f t="shared" si="29"/>
        <v>-67</v>
      </c>
      <c r="AI29" s="220">
        <f t="shared" si="29"/>
        <v>-66</v>
      </c>
      <c r="AJ29" s="50">
        <f t="shared" si="12"/>
        <v>1.7180000000000011</v>
      </c>
      <c r="AK29" s="257"/>
      <c r="AL29" s="257">
        <f t="shared" si="13"/>
        <v>1.2</v>
      </c>
      <c r="AM29" s="52"/>
      <c r="AN29" s="88"/>
    </row>
    <row r="30" spans="1:40" s="29" customFormat="1" ht="17.25" customHeight="1">
      <c r="A30" s="48">
        <v>21</v>
      </c>
      <c r="B30" s="49">
        <f t="shared" si="0"/>
        <v>45573</v>
      </c>
      <c r="C30" s="220">
        <f t="shared" si="1"/>
        <v>1049</v>
      </c>
      <c r="D30" s="220">
        <f t="shared" ref="D30" si="31">D29-26</f>
        <v>2301</v>
      </c>
      <c r="E30" s="220">
        <f t="shared" si="2"/>
        <v>3350</v>
      </c>
      <c r="F30" s="220">
        <f t="shared" si="3"/>
        <v>796</v>
      </c>
      <c r="G30" s="220">
        <f t="shared" si="4"/>
        <v>834</v>
      </c>
      <c r="H30" s="220">
        <f t="shared" si="5"/>
        <v>836</v>
      </c>
      <c r="I30" s="220">
        <f t="shared" si="6"/>
        <v>872</v>
      </c>
      <c r="J30" s="220">
        <f t="shared" si="7"/>
        <v>770</v>
      </c>
      <c r="K30" s="220">
        <f t="shared" si="8"/>
        <v>2554</v>
      </c>
      <c r="L30" s="220">
        <f t="shared" si="8"/>
        <v>2516</v>
      </c>
      <c r="M30" s="220">
        <f t="shared" si="8"/>
        <v>2514</v>
      </c>
      <c r="N30" s="220">
        <f t="shared" si="8"/>
        <v>2478</v>
      </c>
      <c r="O30" s="220">
        <f t="shared" si="8"/>
        <v>2580</v>
      </c>
      <c r="P30" s="220">
        <f t="shared" si="27"/>
        <v>2000</v>
      </c>
      <c r="Q30" s="220">
        <f t="shared" si="27"/>
        <v>2000</v>
      </c>
      <c r="R30" s="220">
        <f t="shared" si="27"/>
        <v>2000</v>
      </c>
      <c r="S30" s="220">
        <f t="shared" si="27"/>
        <v>2000</v>
      </c>
      <c r="T30" s="220">
        <f t="shared" si="27"/>
        <v>2000</v>
      </c>
      <c r="U30" s="220">
        <f t="shared" si="28"/>
        <v>554</v>
      </c>
      <c r="V30" s="220">
        <f t="shared" si="28"/>
        <v>516</v>
      </c>
      <c r="W30" s="220">
        <f t="shared" si="28"/>
        <v>514</v>
      </c>
      <c r="X30" s="220">
        <f t="shared" si="28"/>
        <v>478</v>
      </c>
      <c r="Y30" s="220">
        <f t="shared" si="28"/>
        <v>580</v>
      </c>
      <c r="Z30" s="220">
        <v>2</v>
      </c>
      <c r="AA30" s="220">
        <v>2</v>
      </c>
      <c r="AB30" s="220">
        <v>4</v>
      </c>
      <c r="AC30" s="220">
        <v>4</v>
      </c>
      <c r="AD30" s="220">
        <v>3</v>
      </c>
      <c r="AE30" s="220">
        <f t="shared" si="29"/>
        <v>-55</v>
      </c>
      <c r="AF30" s="220">
        <f t="shared" si="29"/>
        <v>-63</v>
      </c>
      <c r="AG30" s="220">
        <f t="shared" si="29"/>
        <v>-85</v>
      </c>
      <c r="AH30" s="220">
        <f t="shared" si="29"/>
        <v>-71</v>
      </c>
      <c r="AI30" s="220">
        <f t="shared" si="29"/>
        <v>-69</v>
      </c>
      <c r="AJ30" s="50">
        <f t="shared" si="12"/>
        <v>1.7140000000000011</v>
      </c>
      <c r="AK30" s="257"/>
      <c r="AL30" s="257">
        <f t="shared" si="13"/>
        <v>1.2</v>
      </c>
      <c r="AM30" s="52"/>
      <c r="AN30" s="88"/>
    </row>
    <row r="31" spans="1:40" s="29" customFormat="1" ht="17.25" customHeight="1">
      <c r="A31" s="48">
        <v>22</v>
      </c>
      <c r="B31" s="49">
        <f t="shared" si="0"/>
        <v>45574</v>
      </c>
      <c r="C31" s="220">
        <f t="shared" si="1"/>
        <v>1049</v>
      </c>
      <c r="D31" s="220">
        <f t="shared" ref="D31" si="32">D30+15</f>
        <v>2316</v>
      </c>
      <c r="E31" s="220">
        <f t="shared" si="2"/>
        <v>3365</v>
      </c>
      <c r="F31" s="220">
        <f t="shared" si="3"/>
        <v>812</v>
      </c>
      <c r="G31" s="220">
        <f t="shared" si="4"/>
        <v>850</v>
      </c>
      <c r="H31" s="220">
        <f t="shared" si="5"/>
        <v>855</v>
      </c>
      <c r="I31" s="220">
        <f t="shared" si="6"/>
        <v>891</v>
      </c>
      <c r="J31" s="220">
        <f t="shared" si="7"/>
        <v>789</v>
      </c>
      <c r="K31" s="220">
        <f t="shared" si="8"/>
        <v>2553</v>
      </c>
      <c r="L31" s="220">
        <f t="shared" si="8"/>
        <v>2515</v>
      </c>
      <c r="M31" s="220">
        <f t="shared" si="8"/>
        <v>2510</v>
      </c>
      <c r="N31" s="220">
        <f t="shared" si="8"/>
        <v>2474</v>
      </c>
      <c r="O31" s="220">
        <f t="shared" si="8"/>
        <v>2576</v>
      </c>
      <c r="P31" s="220">
        <f t="shared" si="27"/>
        <v>2000</v>
      </c>
      <c r="Q31" s="220">
        <f t="shared" si="27"/>
        <v>2000</v>
      </c>
      <c r="R31" s="220">
        <f t="shared" si="27"/>
        <v>2000</v>
      </c>
      <c r="S31" s="220">
        <f t="shared" si="27"/>
        <v>2000</v>
      </c>
      <c r="T31" s="220">
        <f t="shared" si="27"/>
        <v>2000</v>
      </c>
      <c r="U31" s="220">
        <f t="shared" si="28"/>
        <v>553</v>
      </c>
      <c r="V31" s="220">
        <f t="shared" si="28"/>
        <v>515</v>
      </c>
      <c r="W31" s="220">
        <f t="shared" si="28"/>
        <v>510</v>
      </c>
      <c r="X31" s="220">
        <f t="shared" si="28"/>
        <v>474</v>
      </c>
      <c r="Y31" s="220">
        <f t="shared" si="28"/>
        <v>576</v>
      </c>
      <c r="Z31" s="220">
        <v>1</v>
      </c>
      <c r="AA31" s="220">
        <v>1</v>
      </c>
      <c r="AB31" s="220">
        <v>4</v>
      </c>
      <c r="AC31" s="220">
        <v>4</v>
      </c>
      <c r="AD31" s="220">
        <v>4</v>
      </c>
      <c r="AE31" s="220">
        <f t="shared" si="29"/>
        <v>-56</v>
      </c>
      <c r="AF31" s="220">
        <f t="shared" si="29"/>
        <v>-64</v>
      </c>
      <c r="AG31" s="220">
        <f t="shared" si="29"/>
        <v>-89</v>
      </c>
      <c r="AH31" s="220">
        <f t="shared" si="29"/>
        <v>-75</v>
      </c>
      <c r="AI31" s="220">
        <f t="shared" si="29"/>
        <v>-73</v>
      </c>
      <c r="AJ31" s="50">
        <f t="shared" si="12"/>
        <v>1.7100000000000011</v>
      </c>
      <c r="AK31" s="257"/>
      <c r="AL31" s="257">
        <f t="shared" si="13"/>
        <v>1.2</v>
      </c>
      <c r="AM31" s="52"/>
      <c r="AN31" s="88"/>
    </row>
    <row r="32" spans="1:40" s="29" customFormat="1" ht="17.25" customHeight="1">
      <c r="A32" s="48">
        <v>23</v>
      </c>
      <c r="B32" s="49">
        <f t="shared" si="0"/>
        <v>45575</v>
      </c>
      <c r="C32" s="220">
        <f t="shared" si="1"/>
        <v>1049</v>
      </c>
      <c r="D32" s="220">
        <f t="shared" ref="D32" si="33">D31+26</f>
        <v>2342</v>
      </c>
      <c r="E32" s="220">
        <f t="shared" si="2"/>
        <v>3391</v>
      </c>
      <c r="F32" s="220">
        <f t="shared" si="3"/>
        <v>839</v>
      </c>
      <c r="G32" s="220">
        <f t="shared" si="4"/>
        <v>878</v>
      </c>
      <c r="H32" s="220">
        <f t="shared" si="5"/>
        <v>884</v>
      </c>
      <c r="I32" s="220">
        <f t="shared" si="6"/>
        <v>920</v>
      </c>
      <c r="J32" s="220">
        <f t="shared" si="7"/>
        <v>818</v>
      </c>
      <c r="K32" s="220">
        <f t="shared" si="8"/>
        <v>2552</v>
      </c>
      <c r="L32" s="220">
        <f t="shared" si="8"/>
        <v>2513</v>
      </c>
      <c r="M32" s="220">
        <f t="shared" si="8"/>
        <v>2507</v>
      </c>
      <c r="N32" s="220">
        <f t="shared" si="8"/>
        <v>2471</v>
      </c>
      <c r="O32" s="220">
        <f t="shared" si="8"/>
        <v>2573</v>
      </c>
      <c r="P32" s="220">
        <f t="shared" si="27"/>
        <v>2000</v>
      </c>
      <c r="Q32" s="220">
        <f t="shared" si="27"/>
        <v>2000</v>
      </c>
      <c r="R32" s="220">
        <f t="shared" si="27"/>
        <v>2000</v>
      </c>
      <c r="S32" s="220">
        <f t="shared" si="27"/>
        <v>2000</v>
      </c>
      <c r="T32" s="220">
        <f t="shared" si="27"/>
        <v>2000</v>
      </c>
      <c r="U32" s="220">
        <f t="shared" si="28"/>
        <v>552</v>
      </c>
      <c r="V32" s="220">
        <f t="shared" si="28"/>
        <v>513</v>
      </c>
      <c r="W32" s="220">
        <f t="shared" si="28"/>
        <v>507</v>
      </c>
      <c r="X32" s="220">
        <f t="shared" si="28"/>
        <v>471</v>
      </c>
      <c r="Y32" s="220">
        <f t="shared" si="28"/>
        <v>573</v>
      </c>
      <c r="Z32" s="220">
        <v>1</v>
      </c>
      <c r="AA32" s="220">
        <v>2</v>
      </c>
      <c r="AB32" s="220">
        <v>3</v>
      </c>
      <c r="AC32" s="220">
        <v>3</v>
      </c>
      <c r="AD32" s="220">
        <v>3</v>
      </c>
      <c r="AE32" s="220">
        <f t="shared" si="29"/>
        <v>-57</v>
      </c>
      <c r="AF32" s="220">
        <f t="shared" si="29"/>
        <v>-66</v>
      </c>
      <c r="AG32" s="220">
        <f t="shared" si="29"/>
        <v>-92</v>
      </c>
      <c r="AH32" s="220">
        <f t="shared" si="29"/>
        <v>-78</v>
      </c>
      <c r="AI32" s="220">
        <f t="shared" si="29"/>
        <v>-76</v>
      </c>
      <c r="AJ32" s="50">
        <f t="shared" si="12"/>
        <v>1.7070000000000012</v>
      </c>
      <c r="AK32" s="257"/>
      <c r="AL32" s="257">
        <f t="shared" si="13"/>
        <v>1.2</v>
      </c>
      <c r="AM32" s="52"/>
      <c r="AN32" s="88"/>
    </row>
    <row r="33" spans="1:40" s="29" customFormat="1" ht="17.25" customHeight="1">
      <c r="A33" s="48">
        <v>24</v>
      </c>
      <c r="B33" s="49">
        <f t="shared" si="0"/>
        <v>45576</v>
      </c>
      <c r="C33" s="220">
        <f t="shared" si="1"/>
        <v>1049</v>
      </c>
      <c r="D33" s="220">
        <f t="shared" ref="D33" si="34">D32+32</f>
        <v>2374</v>
      </c>
      <c r="E33" s="220">
        <f t="shared" si="2"/>
        <v>3423</v>
      </c>
      <c r="F33" s="220">
        <f t="shared" si="3"/>
        <v>872</v>
      </c>
      <c r="G33" s="220">
        <f t="shared" si="4"/>
        <v>912</v>
      </c>
      <c r="H33" s="220">
        <f t="shared" si="5"/>
        <v>919</v>
      </c>
      <c r="I33" s="220">
        <f t="shared" si="6"/>
        <v>955</v>
      </c>
      <c r="J33" s="220">
        <f t="shared" si="7"/>
        <v>852</v>
      </c>
      <c r="K33" s="220">
        <f t="shared" si="8"/>
        <v>2551</v>
      </c>
      <c r="L33" s="220">
        <f t="shared" si="8"/>
        <v>2511</v>
      </c>
      <c r="M33" s="220">
        <f t="shared" si="8"/>
        <v>2504</v>
      </c>
      <c r="N33" s="220">
        <f t="shared" si="8"/>
        <v>2468</v>
      </c>
      <c r="O33" s="220">
        <f t="shared" si="8"/>
        <v>2571</v>
      </c>
      <c r="P33" s="220">
        <f t="shared" si="27"/>
        <v>2000</v>
      </c>
      <c r="Q33" s="220">
        <f t="shared" si="27"/>
        <v>2000</v>
      </c>
      <c r="R33" s="220">
        <f t="shared" si="27"/>
        <v>2000</v>
      </c>
      <c r="S33" s="220">
        <f t="shared" si="27"/>
        <v>2000</v>
      </c>
      <c r="T33" s="220">
        <f t="shared" si="27"/>
        <v>2000</v>
      </c>
      <c r="U33" s="220">
        <f t="shared" si="28"/>
        <v>551</v>
      </c>
      <c r="V33" s="220">
        <f t="shared" si="28"/>
        <v>511</v>
      </c>
      <c r="W33" s="220">
        <f t="shared" si="28"/>
        <v>504</v>
      </c>
      <c r="X33" s="220">
        <f t="shared" si="28"/>
        <v>468</v>
      </c>
      <c r="Y33" s="220">
        <f t="shared" si="28"/>
        <v>571</v>
      </c>
      <c r="Z33" s="220">
        <v>1</v>
      </c>
      <c r="AA33" s="220">
        <v>2</v>
      </c>
      <c r="AB33" s="220">
        <v>3</v>
      </c>
      <c r="AC33" s="220">
        <v>3</v>
      </c>
      <c r="AD33" s="220">
        <v>2</v>
      </c>
      <c r="AE33" s="220">
        <f t="shared" si="29"/>
        <v>-58</v>
      </c>
      <c r="AF33" s="220">
        <f t="shared" si="29"/>
        <v>-68</v>
      </c>
      <c r="AG33" s="220">
        <f t="shared" si="29"/>
        <v>-95</v>
      </c>
      <c r="AH33" s="220">
        <f t="shared" si="29"/>
        <v>-81</v>
      </c>
      <c r="AI33" s="220">
        <f t="shared" si="29"/>
        <v>-78</v>
      </c>
      <c r="AJ33" s="50">
        <f t="shared" si="12"/>
        <v>1.7040000000000013</v>
      </c>
      <c r="AK33" s="257"/>
      <c r="AL33" s="257">
        <f t="shared" si="13"/>
        <v>1.2</v>
      </c>
      <c r="AM33" s="52"/>
      <c r="AN33" s="88"/>
    </row>
    <row r="34" spans="1:40" s="29" customFormat="1" ht="17.25" customHeight="1">
      <c r="A34" s="48">
        <v>25</v>
      </c>
      <c r="B34" s="49">
        <f t="shared" si="0"/>
        <v>45577</v>
      </c>
      <c r="C34" s="220">
        <f t="shared" si="1"/>
        <v>1049</v>
      </c>
      <c r="D34" s="220">
        <f t="shared" ref="D34" si="35">D33-18</f>
        <v>2356</v>
      </c>
      <c r="E34" s="220">
        <f t="shared" si="2"/>
        <v>3405</v>
      </c>
      <c r="F34" s="220">
        <f t="shared" si="3"/>
        <v>854</v>
      </c>
      <c r="G34" s="220">
        <f t="shared" si="4"/>
        <v>896</v>
      </c>
      <c r="H34" s="220">
        <f t="shared" si="5"/>
        <v>904</v>
      </c>
      <c r="I34" s="220">
        <f t="shared" si="6"/>
        <v>940</v>
      </c>
      <c r="J34" s="220">
        <f t="shared" si="7"/>
        <v>836</v>
      </c>
      <c r="K34" s="220">
        <f t="shared" si="8"/>
        <v>2551</v>
      </c>
      <c r="L34" s="220">
        <f t="shared" si="8"/>
        <v>2509</v>
      </c>
      <c r="M34" s="220">
        <f t="shared" si="8"/>
        <v>2501</v>
      </c>
      <c r="N34" s="220">
        <f t="shared" si="8"/>
        <v>2465</v>
      </c>
      <c r="O34" s="220">
        <f t="shared" si="8"/>
        <v>2569</v>
      </c>
      <c r="P34" s="220">
        <f t="shared" si="27"/>
        <v>2000</v>
      </c>
      <c r="Q34" s="220">
        <f t="shared" si="27"/>
        <v>2000</v>
      </c>
      <c r="R34" s="220">
        <f t="shared" si="27"/>
        <v>2000</v>
      </c>
      <c r="S34" s="220">
        <f t="shared" si="27"/>
        <v>2000</v>
      </c>
      <c r="T34" s="220">
        <f t="shared" si="27"/>
        <v>2000</v>
      </c>
      <c r="U34" s="220">
        <f t="shared" si="28"/>
        <v>551</v>
      </c>
      <c r="V34" s="220">
        <f t="shared" si="28"/>
        <v>509</v>
      </c>
      <c r="W34" s="220">
        <f t="shared" si="28"/>
        <v>501</v>
      </c>
      <c r="X34" s="220">
        <f t="shared" si="28"/>
        <v>465</v>
      </c>
      <c r="Y34" s="220">
        <f t="shared" si="28"/>
        <v>569</v>
      </c>
      <c r="Z34" s="220">
        <v>0</v>
      </c>
      <c r="AA34" s="220">
        <v>2</v>
      </c>
      <c r="AB34" s="220">
        <v>3</v>
      </c>
      <c r="AC34" s="220">
        <v>3</v>
      </c>
      <c r="AD34" s="220">
        <v>2</v>
      </c>
      <c r="AE34" s="220">
        <f t="shared" si="29"/>
        <v>-58</v>
      </c>
      <c r="AF34" s="220">
        <f t="shared" si="29"/>
        <v>-70</v>
      </c>
      <c r="AG34" s="220">
        <f t="shared" si="29"/>
        <v>-98</v>
      </c>
      <c r="AH34" s="220">
        <f t="shared" si="29"/>
        <v>-84</v>
      </c>
      <c r="AI34" s="220">
        <f t="shared" si="29"/>
        <v>-80</v>
      </c>
      <c r="AJ34" s="50">
        <f t="shared" si="12"/>
        <v>1.7010000000000014</v>
      </c>
      <c r="AK34" s="257"/>
      <c r="AL34" s="257">
        <f t="shared" si="13"/>
        <v>1.2</v>
      </c>
      <c r="AM34" s="52"/>
      <c r="AN34" s="88"/>
    </row>
    <row r="35" spans="1:40" s="29" customFormat="1" ht="17.25" customHeight="1">
      <c r="A35" s="48">
        <v>26</v>
      </c>
      <c r="B35" s="49">
        <f t="shared" si="0"/>
        <v>45578</v>
      </c>
      <c r="C35" s="220">
        <f t="shared" si="1"/>
        <v>1049</v>
      </c>
      <c r="D35" s="220">
        <f t="shared" ref="D35" si="36">D34-26</f>
        <v>2330</v>
      </c>
      <c r="E35" s="220">
        <f t="shared" si="2"/>
        <v>3379</v>
      </c>
      <c r="F35" s="220">
        <f t="shared" si="3"/>
        <v>829</v>
      </c>
      <c r="G35" s="220">
        <f t="shared" si="4"/>
        <v>871</v>
      </c>
      <c r="H35" s="220">
        <f t="shared" si="5"/>
        <v>880</v>
      </c>
      <c r="I35" s="220">
        <f t="shared" si="6"/>
        <v>916</v>
      </c>
      <c r="J35" s="220">
        <f t="shared" si="7"/>
        <v>812</v>
      </c>
      <c r="K35" s="220">
        <f t="shared" si="8"/>
        <v>2550</v>
      </c>
      <c r="L35" s="220">
        <f t="shared" si="8"/>
        <v>2508</v>
      </c>
      <c r="M35" s="220">
        <f t="shared" si="8"/>
        <v>2499</v>
      </c>
      <c r="N35" s="220">
        <f t="shared" si="8"/>
        <v>2463</v>
      </c>
      <c r="O35" s="220">
        <f t="shared" si="8"/>
        <v>2567</v>
      </c>
      <c r="P35" s="220">
        <f t="shared" si="27"/>
        <v>2000</v>
      </c>
      <c r="Q35" s="220">
        <f t="shared" si="27"/>
        <v>2000</v>
      </c>
      <c r="R35" s="220">
        <f t="shared" si="27"/>
        <v>2000</v>
      </c>
      <c r="S35" s="220">
        <f t="shared" si="27"/>
        <v>2000</v>
      </c>
      <c r="T35" s="220">
        <f t="shared" si="27"/>
        <v>2000</v>
      </c>
      <c r="U35" s="220">
        <f t="shared" si="28"/>
        <v>550</v>
      </c>
      <c r="V35" s="220">
        <f t="shared" si="28"/>
        <v>508</v>
      </c>
      <c r="W35" s="220">
        <f t="shared" si="28"/>
        <v>499</v>
      </c>
      <c r="X35" s="220">
        <f t="shared" si="28"/>
        <v>463</v>
      </c>
      <c r="Y35" s="220">
        <f t="shared" si="28"/>
        <v>567</v>
      </c>
      <c r="Z35" s="220">
        <v>1</v>
      </c>
      <c r="AA35" s="220">
        <v>1</v>
      </c>
      <c r="AB35" s="220">
        <v>2</v>
      </c>
      <c r="AC35" s="220">
        <v>2</v>
      </c>
      <c r="AD35" s="220">
        <v>2</v>
      </c>
      <c r="AE35" s="220">
        <f t="shared" si="29"/>
        <v>-59</v>
      </c>
      <c r="AF35" s="220">
        <f t="shared" si="29"/>
        <v>-71</v>
      </c>
      <c r="AG35" s="220">
        <f t="shared" si="29"/>
        <v>-100</v>
      </c>
      <c r="AH35" s="220">
        <f t="shared" si="29"/>
        <v>-86</v>
      </c>
      <c r="AI35" s="220">
        <f t="shared" si="29"/>
        <v>-82</v>
      </c>
      <c r="AJ35" s="50">
        <f t="shared" si="12"/>
        <v>1.6990000000000014</v>
      </c>
      <c r="AK35" s="257"/>
      <c r="AL35" s="257">
        <f t="shared" si="13"/>
        <v>1.2</v>
      </c>
      <c r="AM35" s="52"/>
      <c r="AN35" s="88"/>
    </row>
    <row r="36" spans="1:40" s="29" customFormat="1" ht="17.25" customHeight="1">
      <c r="A36" s="48">
        <v>27</v>
      </c>
      <c r="B36" s="49">
        <f t="shared" si="0"/>
        <v>45579</v>
      </c>
      <c r="C36" s="220">
        <f t="shared" si="1"/>
        <v>1049</v>
      </c>
      <c r="D36" s="220">
        <f t="shared" ref="D36" si="37">D35+15</f>
        <v>2345</v>
      </c>
      <c r="E36" s="220">
        <f t="shared" si="2"/>
        <v>3394</v>
      </c>
      <c r="F36" s="220">
        <f t="shared" si="3"/>
        <v>844</v>
      </c>
      <c r="G36" s="220">
        <f t="shared" si="4"/>
        <v>887</v>
      </c>
      <c r="H36" s="220">
        <f t="shared" si="5"/>
        <v>897</v>
      </c>
      <c r="I36" s="220">
        <f t="shared" si="6"/>
        <v>933</v>
      </c>
      <c r="J36" s="220">
        <f t="shared" si="7"/>
        <v>829</v>
      </c>
      <c r="K36" s="220">
        <f t="shared" si="8"/>
        <v>2550</v>
      </c>
      <c r="L36" s="220">
        <f t="shared" si="8"/>
        <v>2507</v>
      </c>
      <c r="M36" s="220">
        <f t="shared" si="8"/>
        <v>2497</v>
      </c>
      <c r="N36" s="220">
        <f t="shared" si="8"/>
        <v>2461</v>
      </c>
      <c r="O36" s="220">
        <f t="shared" si="8"/>
        <v>2565</v>
      </c>
      <c r="P36" s="220">
        <f t="shared" si="27"/>
        <v>2000</v>
      </c>
      <c r="Q36" s="220">
        <f t="shared" si="27"/>
        <v>2000</v>
      </c>
      <c r="R36" s="220">
        <f t="shared" si="27"/>
        <v>2000</v>
      </c>
      <c r="S36" s="220">
        <f t="shared" si="27"/>
        <v>2000</v>
      </c>
      <c r="T36" s="220">
        <f t="shared" si="27"/>
        <v>2000</v>
      </c>
      <c r="U36" s="220">
        <f t="shared" si="28"/>
        <v>550</v>
      </c>
      <c r="V36" s="220">
        <f t="shared" si="28"/>
        <v>507</v>
      </c>
      <c r="W36" s="220">
        <f t="shared" si="28"/>
        <v>497</v>
      </c>
      <c r="X36" s="220">
        <f t="shared" si="28"/>
        <v>461</v>
      </c>
      <c r="Y36" s="220">
        <f t="shared" si="28"/>
        <v>565</v>
      </c>
      <c r="Z36" s="220">
        <v>0</v>
      </c>
      <c r="AA36" s="220">
        <v>1</v>
      </c>
      <c r="AB36" s="220">
        <v>2</v>
      </c>
      <c r="AC36" s="220">
        <v>2</v>
      </c>
      <c r="AD36" s="220">
        <v>2</v>
      </c>
      <c r="AE36" s="220">
        <f t="shared" si="29"/>
        <v>-59</v>
      </c>
      <c r="AF36" s="220">
        <f t="shared" si="29"/>
        <v>-72</v>
      </c>
      <c r="AG36" s="220">
        <f t="shared" si="29"/>
        <v>-102</v>
      </c>
      <c r="AH36" s="220">
        <f t="shared" si="29"/>
        <v>-88</v>
      </c>
      <c r="AI36" s="220">
        <f t="shared" si="29"/>
        <v>-84</v>
      </c>
      <c r="AJ36" s="50">
        <f t="shared" si="12"/>
        <v>1.6970000000000014</v>
      </c>
      <c r="AK36" s="257"/>
      <c r="AL36" s="257">
        <f t="shared" si="13"/>
        <v>1.2</v>
      </c>
      <c r="AM36" s="52"/>
      <c r="AN36" s="88"/>
    </row>
    <row r="37" spans="1:40" s="29" customFormat="1" ht="17.25" customHeight="1">
      <c r="A37" s="48">
        <v>28</v>
      </c>
      <c r="B37" s="49">
        <f t="shared" si="0"/>
        <v>45580</v>
      </c>
      <c r="C37" s="220">
        <f t="shared" si="1"/>
        <v>1049</v>
      </c>
      <c r="D37" s="220">
        <f t="shared" ref="D37" si="38">D36+26</f>
        <v>2371</v>
      </c>
      <c r="E37" s="220">
        <f t="shared" si="2"/>
        <v>3420</v>
      </c>
      <c r="F37" s="220">
        <f t="shared" si="3"/>
        <v>871</v>
      </c>
      <c r="G37" s="220">
        <f t="shared" si="4"/>
        <v>914</v>
      </c>
      <c r="H37" s="220">
        <f t="shared" si="5"/>
        <v>925</v>
      </c>
      <c r="I37" s="220">
        <f t="shared" si="6"/>
        <v>961</v>
      </c>
      <c r="J37" s="220">
        <f t="shared" si="7"/>
        <v>856</v>
      </c>
      <c r="K37" s="220">
        <f t="shared" si="8"/>
        <v>2549</v>
      </c>
      <c r="L37" s="220">
        <f t="shared" si="8"/>
        <v>2506</v>
      </c>
      <c r="M37" s="220">
        <f t="shared" si="8"/>
        <v>2495</v>
      </c>
      <c r="N37" s="220">
        <f t="shared" si="8"/>
        <v>2459</v>
      </c>
      <c r="O37" s="220">
        <f t="shared" si="8"/>
        <v>2564</v>
      </c>
      <c r="P37" s="220">
        <f t="shared" si="27"/>
        <v>2000</v>
      </c>
      <c r="Q37" s="220">
        <f t="shared" si="27"/>
        <v>2000</v>
      </c>
      <c r="R37" s="220">
        <f t="shared" si="27"/>
        <v>2000</v>
      </c>
      <c r="S37" s="220">
        <f t="shared" si="27"/>
        <v>2000</v>
      </c>
      <c r="T37" s="220">
        <f t="shared" si="27"/>
        <v>2000</v>
      </c>
      <c r="U37" s="220">
        <f t="shared" si="28"/>
        <v>549</v>
      </c>
      <c r="V37" s="220">
        <f t="shared" si="28"/>
        <v>506</v>
      </c>
      <c r="W37" s="220">
        <f t="shared" si="28"/>
        <v>495</v>
      </c>
      <c r="X37" s="220">
        <f t="shared" si="28"/>
        <v>459</v>
      </c>
      <c r="Y37" s="220">
        <f t="shared" si="28"/>
        <v>564</v>
      </c>
      <c r="Z37" s="220">
        <v>1</v>
      </c>
      <c r="AA37" s="220">
        <v>1</v>
      </c>
      <c r="AB37" s="220">
        <v>2</v>
      </c>
      <c r="AC37" s="220">
        <v>2</v>
      </c>
      <c r="AD37" s="220">
        <v>1</v>
      </c>
      <c r="AE37" s="220">
        <f t="shared" si="29"/>
        <v>-60</v>
      </c>
      <c r="AF37" s="220">
        <f t="shared" si="29"/>
        <v>-73</v>
      </c>
      <c r="AG37" s="220">
        <f t="shared" si="29"/>
        <v>-104</v>
      </c>
      <c r="AH37" s="220">
        <f t="shared" si="29"/>
        <v>-90</v>
      </c>
      <c r="AI37" s="220">
        <f t="shared" si="29"/>
        <v>-85</v>
      </c>
      <c r="AJ37" s="50">
        <f t="shared" si="12"/>
        <v>1.6950000000000014</v>
      </c>
      <c r="AK37" s="257"/>
      <c r="AL37" s="257">
        <f t="shared" si="13"/>
        <v>1.2</v>
      </c>
      <c r="AM37" s="52"/>
      <c r="AN37" s="88"/>
    </row>
    <row r="38" spans="1:40" s="29" customFormat="1" ht="17.25" customHeight="1">
      <c r="A38" s="48">
        <v>29</v>
      </c>
      <c r="B38" s="49">
        <f t="shared" si="0"/>
        <v>45581</v>
      </c>
      <c r="C38" s="220">
        <f t="shared" si="1"/>
        <v>1049</v>
      </c>
      <c r="D38" s="220">
        <f t="shared" ref="D38" si="39">D37+32</f>
        <v>2403</v>
      </c>
      <c r="E38" s="220">
        <f t="shared" si="2"/>
        <v>3452</v>
      </c>
      <c r="F38" s="220">
        <f t="shared" si="3"/>
        <v>903</v>
      </c>
      <c r="G38" s="220">
        <f t="shared" si="4"/>
        <v>946</v>
      </c>
      <c r="H38" s="220">
        <f t="shared" si="5"/>
        <v>959</v>
      </c>
      <c r="I38" s="220">
        <f t="shared" si="6"/>
        <v>995</v>
      </c>
      <c r="J38" s="220">
        <f t="shared" si="7"/>
        <v>889</v>
      </c>
      <c r="K38" s="220">
        <f t="shared" si="8"/>
        <v>2549</v>
      </c>
      <c r="L38" s="220">
        <f t="shared" si="8"/>
        <v>2506</v>
      </c>
      <c r="M38" s="220">
        <f t="shared" si="8"/>
        <v>2493</v>
      </c>
      <c r="N38" s="220">
        <f t="shared" si="8"/>
        <v>2457</v>
      </c>
      <c r="O38" s="220">
        <f t="shared" si="8"/>
        <v>2563</v>
      </c>
      <c r="P38" s="220">
        <f t="shared" si="27"/>
        <v>2000</v>
      </c>
      <c r="Q38" s="220">
        <f t="shared" si="27"/>
        <v>2000</v>
      </c>
      <c r="R38" s="220">
        <f t="shared" si="27"/>
        <v>2000</v>
      </c>
      <c r="S38" s="220">
        <f t="shared" si="27"/>
        <v>2000</v>
      </c>
      <c r="T38" s="220">
        <f t="shared" si="27"/>
        <v>2000</v>
      </c>
      <c r="U38" s="220">
        <f t="shared" si="28"/>
        <v>549</v>
      </c>
      <c r="V38" s="220">
        <f t="shared" si="28"/>
        <v>506</v>
      </c>
      <c r="W38" s="220">
        <f t="shared" si="28"/>
        <v>493</v>
      </c>
      <c r="X38" s="220">
        <f t="shared" si="28"/>
        <v>457</v>
      </c>
      <c r="Y38" s="220">
        <f t="shared" si="28"/>
        <v>563</v>
      </c>
      <c r="Z38" s="220">
        <v>0</v>
      </c>
      <c r="AA38" s="220">
        <v>0</v>
      </c>
      <c r="AB38" s="220">
        <v>2</v>
      </c>
      <c r="AC38" s="220">
        <v>2</v>
      </c>
      <c r="AD38" s="220">
        <v>1</v>
      </c>
      <c r="AE38" s="220">
        <f t="shared" si="29"/>
        <v>-60</v>
      </c>
      <c r="AF38" s="220">
        <f t="shared" si="29"/>
        <v>-73</v>
      </c>
      <c r="AG38" s="220">
        <f t="shared" si="29"/>
        <v>-106</v>
      </c>
      <c r="AH38" s="220">
        <f t="shared" si="29"/>
        <v>-92</v>
      </c>
      <c r="AI38" s="220">
        <f t="shared" si="29"/>
        <v>-86</v>
      </c>
      <c r="AJ38" s="50">
        <f t="shared" si="12"/>
        <v>1.6930000000000014</v>
      </c>
      <c r="AK38" s="257"/>
      <c r="AL38" s="257">
        <f t="shared" si="13"/>
        <v>1.2</v>
      </c>
      <c r="AM38" s="52"/>
      <c r="AN38" s="88"/>
    </row>
    <row r="39" spans="1:40" s="29" customFormat="1" ht="17.25" customHeight="1">
      <c r="A39" s="48">
        <v>30</v>
      </c>
      <c r="B39" s="49">
        <f t="shared" si="0"/>
        <v>45582</v>
      </c>
      <c r="C39" s="220">
        <f t="shared" si="1"/>
        <v>1049</v>
      </c>
      <c r="D39" s="220">
        <f t="shared" ref="D39" si="40">D38-18</f>
        <v>2385</v>
      </c>
      <c r="E39" s="220">
        <f t="shared" si="2"/>
        <v>3434</v>
      </c>
      <c r="F39" s="220">
        <f t="shared" si="3"/>
        <v>885</v>
      </c>
      <c r="G39" s="220">
        <f t="shared" si="4"/>
        <v>929</v>
      </c>
      <c r="H39" s="220">
        <f t="shared" si="5"/>
        <v>942</v>
      </c>
      <c r="I39" s="220">
        <f t="shared" si="6"/>
        <v>978</v>
      </c>
      <c r="J39" s="220">
        <f t="shared" si="7"/>
        <v>872</v>
      </c>
      <c r="K39" s="220">
        <f t="shared" si="8"/>
        <v>2549</v>
      </c>
      <c r="L39" s="220">
        <f t="shared" si="8"/>
        <v>2505</v>
      </c>
      <c r="M39" s="220">
        <f t="shared" si="8"/>
        <v>2492</v>
      </c>
      <c r="N39" s="220">
        <f t="shared" si="8"/>
        <v>2456</v>
      </c>
      <c r="O39" s="220">
        <f t="shared" si="8"/>
        <v>2562</v>
      </c>
      <c r="P39" s="220">
        <f t="shared" si="27"/>
        <v>2000</v>
      </c>
      <c r="Q39" s="220">
        <f t="shared" si="27"/>
        <v>2000</v>
      </c>
      <c r="R39" s="220">
        <f t="shared" si="27"/>
        <v>2000</v>
      </c>
      <c r="S39" s="220">
        <f t="shared" si="27"/>
        <v>2000</v>
      </c>
      <c r="T39" s="220">
        <f t="shared" si="27"/>
        <v>2000</v>
      </c>
      <c r="U39" s="220">
        <f t="shared" si="28"/>
        <v>549</v>
      </c>
      <c r="V39" s="220">
        <f t="shared" si="28"/>
        <v>505</v>
      </c>
      <c r="W39" s="220">
        <f t="shared" si="28"/>
        <v>492</v>
      </c>
      <c r="X39" s="220">
        <f t="shared" si="28"/>
        <v>456</v>
      </c>
      <c r="Y39" s="220">
        <f t="shared" si="28"/>
        <v>562</v>
      </c>
      <c r="Z39" s="220">
        <v>0</v>
      </c>
      <c r="AA39" s="220">
        <v>1</v>
      </c>
      <c r="AB39" s="220">
        <v>1</v>
      </c>
      <c r="AC39" s="220">
        <v>1</v>
      </c>
      <c r="AD39" s="220">
        <v>1</v>
      </c>
      <c r="AE39" s="220">
        <f t="shared" si="29"/>
        <v>-60</v>
      </c>
      <c r="AF39" s="220">
        <f t="shared" si="29"/>
        <v>-74</v>
      </c>
      <c r="AG39" s="220">
        <f t="shared" si="29"/>
        <v>-107</v>
      </c>
      <c r="AH39" s="220">
        <f t="shared" si="29"/>
        <v>-93</v>
      </c>
      <c r="AI39" s="220">
        <f t="shared" si="29"/>
        <v>-87</v>
      </c>
      <c r="AJ39" s="50">
        <f t="shared" si="12"/>
        <v>1.6920000000000015</v>
      </c>
      <c r="AK39" s="257"/>
      <c r="AL39" s="257">
        <f t="shared" si="13"/>
        <v>1.2</v>
      </c>
      <c r="AM39" s="52"/>
      <c r="AN39" s="88"/>
    </row>
    <row r="40" spans="1:40" s="29" customFormat="1" ht="17.25" customHeight="1">
      <c r="A40" s="48">
        <v>31</v>
      </c>
      <c r="B40" s="49">
        <f t="shared" si="0"/>
        <v>45583</v>
      </c>
      <c r="C40" s="220">
        <f t="shared" si="1"/>
        <v>1049</v>
      </c>
      <c r="D40" s="220">
        <f t="shared" ref="D40" si="41">D39-26</f>
        <v>2359</v>
      </c>
      <c r="E40" s="220">
        <f t="shared" si="2"/>
        <v>3408</v>
      </c>
      <c r="F40" s="220">
        <f t="shared" si="3"/>
        <v>861</v>
      </c>
      <c r="G40" s="220">
        <f t="shared" si="4"/>
        <v>904</v>
      </c>
      <c r="H40" s="220">
        <f t="shared" si="5"/>
        <v>917</v>
      </c>
      <c r="I40" s="220">
        <f t="shared" si="6"/>
        <v>953</v>
      </c>
      <c r="J40" s="220">
        <f t="shared" si="7"/>
        <v>847</v>
      </c>
      <c r="K40" s="220">
        <f t="shared" si="8"/>
        <v>2547</v>
      </c>
      <c r="L40" s="220">
        <f t="shared" si="8"/>
        <v>2504</v>
      </c>
      <c r="M40" s="220">
        <f t="shared" si="8"/>
        <v>2491</v>
      </c>
      <c r="N40" s="220">
        <f t="shared" si="8"/>
        <v>2455</v>
      </c>
      <c r="O40" s="220">
        <f t="shared" si="8"/>
        <v>2561</v>
      </c>
      <c r="P40" s="220">
        <f t="shared" si="27"/>
        <v>2000</v>
      </c>
      <c r="Q40" s="220">
        <f t="shared" si="27"/>
        <v>2000</v>
      </c>
      <c r="R40" s="220">
        <f t="shared" si="27"/>
        <v>2000</v>
      </c>
      <c r="S40" s="220">
        <f t="shared" si="27"/>
        <v>2000</v>
      </c>
      <c r="T40" s="220">
        <f t="shared" si="27"/>
        <v>2000</v>
      </c>
      <c r="U40" s="220">
        <f t="shared" si="28"/>
        <v>547</v>
      </c>
      <c r="V40" s="220">
        <f t="shared" si="28"/>
        <v>504</v>
      </c>
      <c r="W40" s="220">
        <f t="shared" si="28"/>
        <v>491</v>
      </c>
      <c r="X40" s="220">
        <f t="shared" si="28"/>
        <v>455</v>
      </c>
      <c r="Y40" s="220">
        <f t="shared" si="28"/>
        <v>561</v>
      </c>
      <c r="Z40" s="220">
        <v>2</v>
      </c>
      <c r="AA40" s="220">
        <v>1</v>
      </c>
      <c r="AB40" s="220">
        <v>1</v>
      </c>
      <c r="AC40" s="220">
        <v>1</v>
      </c>
      <c r="AD40" s="220">
        <v>1</v>
      </c>
      <c r="AE40" s="220">
        <f t="shared" si="29"/>
        <v>-62</v>
      </c>
      <c r="AF40" s="220">
        <f t="shared" si="29"/>
        <v>-75</v>
      </c>
      <c r="AG40" s="220">
        <f t="shared" si="29"/>
        <v>-108</v>
      </c>
      <c r="AH40" s="220">
        <f t="shared" si="29"/>
        <v>-94</v>
      </c>
      <c r="AI40" s="220">
        <f t="shared" si="29"/>
        <v>-88</v>
      </c>
      <c r="AJ40" s="50">
        <f t="shared" si="12"/>
        <v>1.6910000000000016</v>
      </c>
      <c r="AK40" s="257"/>
      <c r="AL40" s="257">
        <f t="shared" si="13"/>
        <v>1.2</v>
      </c>
      <c r="AM40" s="52"/>
      <c r="AN40" s="88"/>
    </row>
    <row r="41" spans="1:40" s="29" customFormat="1" ht="17.25" customHeight="1">
      <c r="A41" s="48">
        <v>32</v>
      </c>
      <c r="B41" s="49">
        <f t="shared" si="0"/>
        <v>45584</v>
      </c>
      <c r="C41" s="220">
        <f t="shared" si="1"/>
        <v>1049</v>
      </c>
      <c r="D41" s="220">
        <f t="shared" ref="D41" si="42">D40+15</f>
        <v>2374</v>
      </c>
      <c r="E41" s="220">
        <f t="shared" si="2"/>
        <v>3423</v>
      </c>
      <c r="F41" s="220">
        <f t="shared" si="3"/>
        <v>876</v>
      </c>
      <c r="G41" s="220">
        <f t="shared" si="4"/>
        <v>920</v>
      </c>
      <c r="H41" s="220">
        <f t="shared" si="5"/>
        <v>933</v>
      </c>
      <c r="I41" s="220">
        <f t="shared" si="6"/>
        <v>969</v>
      </c>
      <c r="J41" s="220">
        <f t="shared" si="7"/>
        <v>863</v>
      </c>
      <c r="K41" s="220">
        <f t="shared" si="8"/>
        <v>2547</v>
      </c>
      <c r="L41" s="220">
        <f t="shared" si="8"/>
        <v>2503</v>
      </c>
      <c r="M41" s="220">
        <f t="shared" si="8"/>
        <v>2490</v>
      </c>
      <c r="N41" s="220">
        <f t="shared" si="8"/>
        <v>2454</v>
      </c>
      <c r="O41" s="220">
        <f t="shared" si="8"/>
        <v>2560</v>
      </c>
      <c r="P41" s="220">
        <f t="shared" si="27"/>
        <v>2000</v>
      </c>
      <c r="Q41" s="220">
        <f t="shared" si="27"/>
        <v>2000</v>
      </c>
      <c r="R41" s="220">
        <f t="shared" si="27"/>
        <v>2000</v>
      </c>
      <c r="S41" s="220">
        <f t="shared" si="27"/>
        <v>2000</v>
      </c>
      <c r="T41" s="220">
        <f t="shared" si="27"/>
        <v>2000</v>
      </c>
      <c r="U41" s="220">
        <f t="shared" si="28"/>
        <v>547</v>
      </c>
      <c r="V41" s="220">
        <f t="shared" si="28"/>
        <v>503</v>
      </c>
      <c r="W41" s="220">
        <f t="shared" si="28"/>
        <v>490</v>
      </c>
      <c r="X41" s="220">
        <f t="shared" si="28"/>
        <v>454</v>
      </c>
      <c r="Y41" s="220">
        <f t="shared" si="28"/>
        <v>560</v>
      </c>
      <c r="Z41" s="220">
        <v>0</v>
      </c>
      <c r="AA41" s="220">
        <v>1</v>
      </c>
      <c r="AB41" s="220">
        <v>1</v>
      </c>
      <c r="AC41" s="220">
        <v>1</v>
      </c>
      <c r="AD41" s="220">
        <v>1</v>
      </c>
      <c r="AE41" s="220">
        <f t="shared" si="29"/>
        <v>-62</v>
      </c>
      <c r="AF41" s="220">
        <f t="shared" si="29"/>
        <v>-76</v>
      </c>
      <c r="AG41" s="220">
        <f t="shared" si="29"/>
        <v>-109</v>
      </c>
      <c r="AH41" s="220">
        <f t="shared" si="29"/>
        <v>-95</v>
      </c>
      <c r="AI41" s="220">
        <f t="shared" si="29"/>
        <v>-89</v>
      </c>
      <c r="AJ41" s="50">
        <f t="shared" si="12"/>
        <v>1.6900000000000017</v>
      </c>
      <c r="AK41" s="257"/>
      <c r="AL41" s="257">
        <f t="shared" si="13"/>
        <v>1.2</v>
      </c>
      <c r="AM41" s="52"/>
      <c r="AN41" s="88"/>
    </row>
    <row r="42" spans="1:40" s="29" customFormat="1" ht="17.25" customHeight="1">
      <c r="A42" s="48">
        <v>33</v>
      </c>
      <c r="B42" s="49">
        <f t="shared" si="0"/>
        <v>45585</v>
      </c>
      <c r="C42" s="220">
        <f t="shared" si="1"/>
        <v>1049</v>
      </c>
      <c r="D42" s="220">
        <f t="shared" ref="D42" si="43">D41+26</f>
        <v>2400</v>
      </c>
      <c r="E42" s="220">
        <f t="shared" si="2"/>
        <v>3449</v>
      </c>
      <c r="F42" s="220">
        <f t="shared" si="3"/>
        <v>903</v>
      </c>
      <c r="G42" s="220">
        <f t="shared" si="4"/>
        <v>946</v>
      </c>
      <c r="H42" s="220">
        <f t="shared" si="5"/>
        <v>960</v>
      </c>
      <c r="I42" s="220">
        <f t="shared" si="6"/>
        <v>996</v>
      </c>
      <c r="J42" s="220">
        <f t="shared" si="7"/>
        <v>890</v>
      </c>
      <c r="K42" s="220">
        <f t="shared" si="8"/>
        <v>2546</v>
      </c>
      <c r="L42" s="220">
        <f t="shared" si="8"/>
        <v>2503</v>
      </c>
      <c r="M42" s="220">
        <f t="shared" si="8"/>
        <v>2489</v>
      </c>
      <c r="N42" s="220">
        <f t="shared" si="8"/>
        <v>2453</v>
      </c>
      <c r="O42" s="220">
        <f t="shared" si="8"/>
        <v>2559</v>
      </c>
      <c r="P42" s="220">
        <f t="shared" si="27"/>
        <v>2000</v>
      </c>
      <c r="Q42" s="220">
        <f t="shared" si="27"/>
        <v>2000</v>
      </c>
      <c r="R42" s="220">
        <f t="shared" si="27"/>
        <v>2000</v>
      </c>
      <c r="S42" s="220">
        <f t="shared" si="27"/>
        <v>2000</v>
      </c>
      <c r="T42" s="220">
        <f t="shared" si="27"/>
        <v>2000</v>
      </c>
      <c r="U42" s="220">
        <f t="shared" si="28"/>
        <v>546</v>
      </c>
      <c r="V42" s="220">
        <f t="shared" si="28"/>
        <v>503</v>
      </c>
      <c r="W42" s="220">
        <f t="shared" si="28"/>
        <v>489</v>
      </c>
      <c r="X42" s="220">
        <f t="shared" si="28"/>
        <v>453</v>
      </c>
      <c r="Y42" s="220">
        <f t="shared" si="28"/>
        <v>559</v>
      </c>
      <c r="Z42" s="220">
        <v>1</v>
      </c>
      <c r="AA42" s="220">
        <v>0</v>
      </c>
      <c r="AB42" s="220">
        <v>1</v>
      </c>
      <c r="AC42" s="220">
        <v>1</v>
      </c>
      <c r="AD42" s="220">
        <v>1</v>
      </c>
      <c r="AE42" s="220">
        <f t="shared" si="29"/>
        <v>-63</v>
      </c>
      <c r="AF42" s="220">
        <f t="shared" si="29"/>
        <v>-76</v>
      </c>
      <c r="AG42" s="220">
        <f t="shared" si="29"/>
        <v>-110</v>
      </c>
      <c r="AH42" s="220">
        <f t="shared" si="29"/>
        <v>-96</v>
      </c>
      <c r="AI42" s="220">
        <f t="shared" si="29"/>
        <v>-90</v>
      </c>
      <c r="AJ42" s="50">
        <f t="shared" si="12"/>
        <v>1.6890000000000018</v>
      </c>
      <c r="AK42" s="257"/>
      <c r="AL42" s="257">
        <f t="shared" si="13"/>
        <v>1.2</v>
      </c>
      <c r="AM42" s="52"/>
      <c r="AN42" s="88"/>
    </row>
    <row r="43" spans="1:40" s="29" customFormat="1" ht="17.25" customHeight="1">
      <c r="A43" s="48">
        <v>34</v>
      </c>
      <c r="B43" s="49">
        <f t="shared" si="0"/>
        <v>45586</v>
      </c>
      <c r="C43" s="220">
        <f t="shared" si="1"/>
        <v>1049</v>
      </c>
      <c r="D43" s="220">
        <f t="shared" ref="D43" si="44">D42+32</f>
        <v>2432</v>
      </c>
      <c r="E43" s="220">
        <f t="shared" si="2"/>
        <v>3481</v>
      </c>
      <c r="F43" s="220">
        <f t="shared" si="3"/>
        <v>936</v>
      </c>
      <c r="G43" s="220">
        <f t="shared" si="4"/>
        <v>978</v>
      </c>
      <c r="H43" s="220">
        <f t="shared" si="5"/>
        <v>993</v>
      </c>
      <c r="I43" s="220">
        <f t="shared" si="6"/>
        <v>1029</v>
      </c>
      <c r="J43" s="220">
        <f t="shared" si="7"/>
        <v>923</v>
      </c>
      <c r="K43" s="220">
        <f t="shared" si="8"/>
        <v>2545</v>
      </c>
      <c r="L43" s="220">
        <f t="shared" si="8"/>
        <v>2503</v>
      </c>
      <c r="M43" s="220">
        <f t="shared" si="8"/>
        <v>2488</v>
      </c>
      <c r="N43" s="220">
        <f t="shared" si="8"/>
        <v>2452</v>
      </c>
      <c r="O43" s="220">
        <f t="shared" si="8"/>
        <v>2558</v>
      </c>
      <c r="P43" s="220">
        <f t="shared" si="27"/>
        <v>2000</v>
      </c>
      <c r="Q43" s="220">
        <f t="shared" si="27"/>
        <v>2000</v>
      </c>
      <c r="R43" s="220">
        <f t="shared" si="27"/>
        <v>2000</v>
      </c>
      <c r="S43" s="220">
        <f t="shared" si="27"/>
        <v>2000</v>
      </c>
      <c r="T43" s="220">
        <f t="shared" si="27"/>
        <v>2000</v>
      </c>
      <c r="U43" s="220">
        <f t="shared" si="28"/>
        <v>545</v>
      </c>
      <c r="V43" s="220">
        <f t="shared" si="28"/>
        <v>503</v>
      </c>
      <c r="W43" s="220">
        <f t="shared" si="28"/>
        <v>488</v>
      </c>
      <c r="X43" s="220">
        <f t="shared" si="28"/>
        <v>452</v>
      </c>
      <c r="Y43" s="220">
        <f t="shared" si="28"/>
        <v>558</v>
      </c>
      <c r="Z43" s="220">
        <v>1</v>
      </c>
      <c r="AA43" s="220">
        <v>0</v>
      </c>
      <c r="AB43" s="220">
        <v>1</v>
      </c>
      <c r="AC43" s="220">
        <v>1</v>
      </c>
      <c r="AD43" s="220">
        <v>1</v>
      </c>
      <c r="AE43" s="220">
        <f t="shared" si="29"/>
        <v>-64</v>
      </c>
      <c r="AF43" s="220">
        <f t="shared" si="29"/>
        <v>-76</v>
      </c>
      <c r="AG43" s="220">
        <f t="shared" si="29"/>
        <v>-111</v>
      </c>
      <c r="AH43" s="220">
        <f t="shared" si="29"/>
        <v>-97</v>
      </c>
      <c r="AI43" s="220">
        <f t="shared" si="29"/>
        <v>-91</v>
      </c>
      <c r="AJ43" s="50">
        <f t="shared" si="12"/>
        <v>1.6880000000000019</v>
      </c>
      <c r="AK43" s="257"/>
      <c r="AL43" s="257">
        <f t="shared" si="13"/>
        <v>1.2</v>
      </c>
      <c r="AM43" s="52"/>
      <c r="AN43" s="88"/>
    </row>
    <row r="44" spans="1:40" s="29" customFormat="1" ht="17.25" customHeight="1">
      <c r="A44" s="48">
        <v>35</v>
      </c>
      <c r="B44" s="49">
        <f t="shared" si="0"/>
        <v>45587</v>
      </c>
      <c r="C44" s="220">
        <f t="shared" si="1"/>
        <v>1049</v>
      </c>
      <c r="D44" s="220">
        <f t="shared" ref="D44" si="45">D43-18</f>
        <v>2414</v>
      </c>
      <c r="E44" s="220">
        <f t="shared" si="2"/>
        <v>3463</v>
      </c>
      <c r="F44" s="220">
        <f t="shared" si="3"/>
        <v>918</v>
      </c>
      <c r="G44" s="220">
        <f t="shared" si="4"/>
        <v>962</v>
      </c>
      <c r="H44" s="220">
        <f t="shared" si="5"/>
        <v>976</v>
      </c>
      <c r="I44" s="220">
        <f t="shared" si="6"/>
        <v>1012</v>
      </c>
      <c r="J44" s="220">
        <f t="shared" si="7"/>
        <v>905</v>
      </c>
      <c r="K44" s="220">
        <f t="shared" si="8"/>
        <v>2545</v>
      </c>
      <c r="L44" s="220">
        <f t="shared" si="8"/>
        <v>2501</v>
      </c>
      <c r="M44" s="220">
        <f t="shared" si="8"/>
        <v>2487</v>
      </c>
      <c r="N44" s="220">
        <f t="shared" si="8"/>
        <v>2451</v>
      </c>
      <c r="O44" s="220">
        <f t="shared" si="8"/>
        <v>2558</v>
      </c>
      <c r="P44" s="220">
        <f t="shared" ref="P44:T59" si="46">+P43</f>
        <v>2000</v>
      </c>
      <c r="Q44" s="220">
        <f t="shared" si="46"/>
        <v>2000</v>
      </c>
      <c r="R44" s="220">
        <f t="shared" si="46"/>
        <v>2000</v>
      </c>
      <c r="S44" s="220">
        <f t="shared" si="46"/>
        <v>2000</v>
      </c>
      <c r="T44" s="220">
        <f t="shared" si="46"/>
        <v>2000</v>
      </c>
      <c r="U44" s="220">
        <f t="shared" ref="U44:Y59" si="47">U43-Z44</f>
        <v>545</v>
      </c>
      <c r="V44" s="220">
        <f t="shared" si="47"/>
        <v>501</v>
      </c>
      <c r="W44" s="220">
        <f t="shared" si="47"/>
        <v>487</v>
      </c>
      <c r="X44" s="220">
        <f t="shared" si="47"/>
        <v>451</v>
      </c>
      <c r="Y44" s="220">
        <f t="shared" si="47"/>
        <v>558</v>
      </c>
      <c r="Z44" s="220">
        <v>0</v>
      </c>
      <c r="AA44" s="220">
        <v>2</v>
      </c>
      <c r="AB44" s="220">
        <v>1</v>
      </c>
      <c r="AC44" s="220">
        <v>1</v>
      </c>
      <c r="AD44" s="220">
        <v>0</v>
      </c>
      <c r="AE44" s="220">
        <f t="shared" ref="AE44:AI59" si="48">AE43-Z44</f>
        <v>-64</v>
      </c>
      <c r="AF44" s="220">
        <f t="shared" si="48"/>
        <v>-78</v>
      </c>
      <c r="AG44" s="220">
        <f t="shared" si="48"/>
        <v>-112</v>
      </c>
      <c r="AH44" s="220">
        <f t="shared" si="48"/>
        <v>-98</v>
      </c>
      <c r="AI44" s="220">
        <f t="shared" si="48"/>
        <v>-91</v>
      </c>
      <c r="AJ44" s="50">
        <f t="shared" si="12"/>
        <v>1.6870000000000021</v>
      </c>
      <c r="AK44" s="257"/>
      <c r="AL44" s="257">
        <f t="shared" si="13"/>
        <v>1.2</v>
      </c>
      <c r="AM44" s="52"/>
      <c r="AN44" s="88"/>
    </row>
    <row r="45" spans="1:40" s="29" customFormat="1" ht="17.25" customHeight="1">
      <c r="A45" s="48">
        <v>36</v>
      </c>
      <c r="B45" s="49">
        <f t="shared" si="0"/>
        <v>45588</v>
      </c>
      <c r="C45" s="220">
        <f t="shared" si="1"/>
        <v>1049</v>
      </c>
      <c r="D45" s="220">
        <f t="shared" ref="D45" si="49">D44-26</f>
        <v>2388</v>
      </c>
      <c r="E45" s="220">
        <f t="shared" si="2"/>
        <v>3437</v>
      </c>
      <c r="F45" s="220">
        <f t="shared" si="3"/>
        <v>892</v>
      </c>
      <c r="G45" s="220">
        <f t="shared" si="4"/>
        <v>936</v>
      </c>
      <c r="H45" s="220">
        <f t="shared" si="5"/>
        <v>951</v>
      </c>
      <c r="I45" s="220">
        <f t="shared" si="6"/>
        <v>987</v>
      </c>
      <c r="J45" s="220">
        <f t="shared" si="7"/>
        <v>879</v>
      </c>
      <c r="K45" s="220">
        <f t="shared" si="8"/>
        <v>2545</v>
      </c>
      <c r="L45" s="220">
        <f t="shared" si="8"/>
        <v>2501</v>
      </c>
      <c r="M45" s="220">
        <f t="shared" si="8"/>
        <v>2486</v>
      </c>
      <c r="N45" s="220">
        <f t="shared" si="8"/>
        <v>2450</v>
      </c>
      <c r="O45" s="220">
        <f t="shared" si="8"/>
        <v>2558</v>
      </c>
      <c r="P45" s="220">
        <f t="shared" si="46"/>
        <v>2000</v>
      </c>
      <c r="Q45" s="220">
        <f t="shared" si="46"/>
        <v>2000</v>
      </c>
      <c r="R45" s="220">
        <f t="shared" si="46"/>
        <v>2000</v>
      </c>
      <c r="S45" s="220">
        <f t="shared" si="46"/>
        <v>2000</v>
      </c>
      <c r="T45" s="220">
        <f t="shared" si="46"/>
        <v>2000</v>
      </c>
      <c r="U45" s="220">
        <f t="shared" si="47"/>
        <v>545</v>
      </c>
      <c r="V45" s="220">
        <f t="shared" si="47"/>
        <v>501</v>
      </c>
      <c r="W45" s="220">
        <f t="shared" si="47"/>
        <v>486</v>
      </c>
      <c r="X45" s="220">
        <f t="shared" si="47"/>
        <v>450</v>
      </c>
      <c r="Y45" s="220">
        <f t="shared" si="47"/>
        <v>558</v>
      </c>
      <c r="Z45" s="220">
        <v>0</v>
      </c>
      <c r="AA45" s="220">
        <v>0</v>
      </c>
      <c r="AB45" s="220">
        <v>1</v>
      </c>
      <c r="AC45" s="220">
        <v>1</v>
      </c>
      <c r="AD45" s="220">
        <v>0</v>
      </c>
      <c r="AE45" s="220">
        <f t="shared" si="48"/>
        <v>-64</v>
      </c>
      <c r="AF45" s="220">
        <f t="shared" si="48"/>
        <v>-78</v>
      </c>
      <c r="AG45" s="220">
        <f t="shared" si="48"/>
        <v>-113</v>
      </c>
      <c r="AH45" s="220">
        <f t="shared" si="48"/>
        <v>-99</v>
      </c>
      <c r="AI45" s="220">
        <f t="shared" si="48"/>
        <v>-91</v>
      </c>
      <c r="AJ45" s="50">
        <f t="shared" si="12"/>
        <v>1.6860000000000022</v>
      </c>
      <c r="AK45" s="257"/>
      <c r="AL45" s="257">
        <f t="shared" si="13"/>
        <v>1.2</v>
      </c>
      <c r="AM45" s="52"/>
      <c r="AN45" s="88"/>
    </row>
    <row r="46" spans="1:40" s="29" customFormat="1" ht="17.25" customHeight="1">
      <c r="A46" s="48">
        <v>37</v>
      </c>
      <c r="B46" s="49">
        <f t="shared" si="0"/>
        <v>45589</v>
      </c>
      <c r="C46" s="220">
        <f t="shared" si="1"/>
        <v>1049</v>
      </c>
      <c r="D46" s="220">
        <f t="shared" ref="D46" si="50">D45+15</f>
        <v>2403</v>
      </c>
      <c r="E46" s="220">
        <f t="shared" si="2"/>
        <v>3452</v>
      </c>
      <c r="F46" s="220">
        <f t="shared" si="3"/>
        <v>908</v>
      </c>
      <c r="G46" s="220">
        <f t="shared" si="4"/>
        <v>954</v>
      </c>
      <c r="H46" s="220">
        <f t="shared" si="5"/>
        <v>966</v>
      </c>
      <c r="I46" s="220">
        <f t="shared" si="6"/>
        <v>1002</v>
      </c>
      <c r="J46" s="220">
        <f t="shared" si="7"/>
        <v>896</v>
      </c>
      <c r="K46" s="220">
        <f t="shared" si="8"/>
        <v>2544</v>
      </c>
      <c r="L46" s="220">
        <f t="shared" si="8"/>
        <v>2498</v>
      </c>
      <c r="M46" s="220">
        <f t="shared" si="8"/>
        <v>2486</v>
      </c>
      <c r="N46" s="220">
        <f t="shared" si="8"/>
        <v>2450</v>
      </c>
      <c r="O46" s="220">
        <f t="shared" si="8"/>
        <v>2556</v>
      </c>
      <c r="P46" s="220">
        <f t="shared" si="46"/>
        <v>2000</v>
      </c>
      <c r="Q46" s="220">
        <f t="shared" si="46"/>
        <v>2000</v>
      </c>
      <c r="R46" s="220">
        <f t="shared" si="46"/>
        <v>2000</v>
      </c>
      <c r="S46" s="220">
        <f t="shared" si="46"/>
        <v>2000</v>
      </c>
      <c r="T46" s="220">
        <f t="shared" si="46"/>
        <v>2000</v>
      </c>
      <c r="U46" s="220">
        <f t="shared" si="47"/>
        <v>544</v>
      </c>
      <c r="V46" s="220">
        <f t="shared" si="47"/>
        <v>498</v>
      </c>
      <c r="W46" s="220">
        <f t="shared" si="47"/>
        <v>486</v>
      </c>
      <c r="X46" s="220">
        <f t="shared" si="47"/>
        <v>450</v>
      </c>
      <c r="Y46" s="220">
        <f t="shared" si="47"/>
        <v>556</v>
      </c>
      <c r="Z46" s="220">
        <v>1</v>
      </c>
      <c r="AA46" s="220">
        <v>3</v>
      </c>
      <c r="AB46" s="220">
        <v>0</v>
      </c>
      <c r="AC46" s="220">
        <v>0</v>
      </c>
      <c r="AD46" s="220">
        <v>2</v>
      </c>
      <c r="AE46" s="220">
        <f t="shared" si="48"/>
        <v>-65</v>
      </c>
      <c r="AF46" s="220">
        <f t="shared" si="48"/>
        <v>-81</v>
      </c>
      <c r="AG46" s="220">
        <f t="shared" si="48"/>
        <v>-113</v>
      </c>
      <c r="AH46" s="220">
        <f t="shared" si="48"/>
        <v>-99</v>
      </c>
      <c r="AI46" s="220">
        <f t="shared" si="48"/>
        <v>-93</v>
      </c>
      <c r="AJ46" s="50">
        <f t="shared" si="12"/>
        <v>1.6860000000000022</v>
      </c>
      <c r="AK46" s="257"/>
      <c r="AL46" s="257">
        <f t="shared" si="13"/>
        <v>1.2</v>
      </c>
      <c r="AM46" s="52"/>
      <c r="AN46" s="88"/>
    </row>
    <row r="47" spans="1:40" s="29" customFormat="1" ht="17.25" customHeight="1">
      <c r="A47" s="48">
        <v>38</v>
      </c>
      <c r="B47" s="49">
        <f t="shared" si="0"/>
        <v>45590</v>
      </c>
      <c r="C47" s="220">
        <f t="shared" si="1"/>
        <v>1049</v>
      </c>
      <c r="D47" s="220">
        <f t="shared" ref="D47" si="51">D46+26</f>
        <v>2429</v>
      </c>
      <c r="E47" s="220">
        <f t="shared" si="2"/>
        <v>3478</v>
      </c>
      <c r="F47" s="220">
        <f t="shared" si="3"/>
        <v>935</v>
      </c>
      <c r="G47" s="220">
        <f t="shared" si="4"/>
        <v>980</v>
      </c>
      <c r="H47" s="220">
        <f t="shared" si="5"/>
        <v>992</v>
      </c>
      <c r="I47" s="220">
        <f t="shared" si="6"/>
        <v>1028</v>
      </c>
      <c r="J47" s="220">
        <f t="shared" si="7"/>
        <v>922</v>
      </c>
      <c r="K47" s="220">
        <f t="shared" si="8"/>
        <v>2543</v>
      </c>
      <c r="L47" s="220">
        <f t="shared" si="8"/>
        <v>2498</v>
      </c>
      <c r="M47" s="220">
        <f t="shared" si="8"/>
        <v>2486</v>
      </c>
      <c r="N47" s="220">
        <f t="shared" si="8"/>
        <v>2450</v>
      </c>
      <c r="O47" s="220">
        <f t="shared" si="8"/>
        <v>2556</v>
      </c>
      <c r="P47" s="220">
        <f t="shared" si="46"/>
        <v>2000</v>
      </c>
      <c r="Q47" s="220">
        <f t="shared" si="46"/>
        <v>2000</v>
      </c>
      <c r="R47" s="220">
        <f t="shared" si="46"/>
        <v>2000</v>
      </c>
      <c r="S47" s="220">
        <f t="shared" si="46"/>
        <v>2000</v>
      </c>
      <c r="T47" s="220">
        <f t="shared" si="46"/>
        <v>2000</v>
      </c>
      <c r="U47" s="220">
        <f t="shared" si="47"/>
        <v>543</v>
      </c>
      <c r="V47" s="220">
        <f t="shared" si="47"/>
        <v>498</v>
      </c>
      <c r="W47" s="220">
        <f t="shared" si="47"/>
        <v>486</v>
      </c>
      <c r="X47" s="220">
        <f t="shared" si="47"/>
        <v>450</v>
      </c>
      <c r="Y47" s="220">
        <f t="shared" si="47"/>
        <v>556</v>
      </c>
      <c r="Z47" s="220">
        <v>1</v>
      </c>
      <c r="AA47" s="220">
        <v>0</v>
      </c>
      <c r="AB47" s="220">
        <v>0</v>
      </c>
      <c r="AC47" s="220">
        <v>0</v>
      </c>
      <c r="AD47" s="220">
        <v>0</v>
      </c>
      <c r="AE47" s="220">
        <f t="shared" si="48"/>
        <v>-66</v>
      </c>
      <c r="AF47" s="220">
        <f t="shared" si="48"/>
        <v>-81</v>
      </c>
      <c r="AG47" s="220">
        <f t="shared" si="48"/>
        <v>-113</v>
      </c>
      <c r="AH47" s="220">
        <f t="shared" si="48"/>
        <v>-99</v>
      </c>
      <c r="AI47" s="220">
        <f t="shared" si="48"/>
        <v>-93</v>
      </c>
      <c r="AJ47" s="50">
        <f t="shared" si="12"/>
        <v>1.6860000000000022</v>
      </c>
      <c r="AK47" s="257"/>
      <c r="AL47" s="257">
        <f t="shared" si="13"/>
        <v>1.2</v>
      </c>
      <c r="AM47" s="52"/>
      <c r="AN47" s="88"/>
    </row>
    <row r="48" spans="1:40" s="29" customFormat="1" ht="17.25" customHeight="1">
      <c r="A48" s="48">
        <v>39</v>
      </c>
      <c r="B48" s="49">
        <f t="shared" si="0"/>
        <v>45591</v>
      </c>
      <c r="C48" s="220">
        <f t="shared" si="1"/>
        <v>1049</v>
      </c>
      <c r="D48" s="220">
        <f t="shared" ref="D48" si="52">D47+32</f>
        <v>2461</v>
      </c>
      <c r="E48" s="220">
        <f t="shared" si="2"/>
        <v>3510</v>
      </c>
      <c r="F48" s="220">
        <f t="shared" si="3"/>
        <v>967</v>
      </c>
      <c r="G48" s="220">
        <f t="shared" si="4"/>
        <v>1013</v>
      </c>
      <c r="H48" s="220">
        <f t="shared" si="5"/>
        <v>1026</v>
      </c>
      <c r="I48" s="220">
        <f t="shared" si="6"/>
        <v>1062</v>
      </c>
      <c r="J48" s="220">
        <f t="shared" si="7"/>
        <v>954</v>
      </c>
      <c r="K48" s="220">
        <f t="shared" si="8"/>
        <v>2543</v>
      </c>
      <c r="L48" s="220">
        <f t="shared" si="8"/>
        <v>2497</v>
      </c>
      <c r="M48" s="220">
        <f t="shared" si="8"/>
        <v>2484</v>
      </c>
      <c r="N48" s="220">
        <f t="shared" si="8"/>
        <v>2448</v>
      </c>
      <c r="O48" s="220">
        <f t="shared" si="8"/>
        <v>2556</v>
      </c>
      <c r="P48" s="220">
        <f t="shared" si="46"/>
        <v>2000</v>
      </c>
      <c r="Q48" s="220">
        <f t="shared" si="46"/>
        <v>2000</v>
      </c>
      <c r="R48" s="220">
        <f t="shared" si="46"/>
        <v>2000</v>
      </c>
      <c r="S48" s="220">
        <f t="shared" si="46"/>
        <v>2000</v>
      </c>
      <c r="T48" s="220">
        <f t="shared" si="46"/>
        <v>2000</v>
      </c>
      <c r="U48" s="220">
        <f t="shared" si="47"/>
        <v>543</v>
      </c>
      <c r="V48" s="220">
        <f t="shared" si="47"/>
        <v>497</v>
      </c>
      <c r="W48" s="220">
        <f t="shared" si="47"/>
        <v>484</v>
      </c>
      <c r="X48" s="220">
        <f t="shared" si="47"/>
        <v>448</v>
      </c>
      <c r="Y48" s="220">
        <f t="shared" si="47"/>
        <v>556</v>
      </c>
      <c r="Z48" s="220">
        <v>0</v>
      </c>
      <c r="AA48" s="220">
        <v>1</v>
      </c>
      <c r="AB48" s="220">
        <v>2</v>
      </c>
      <c r="AC48" s="220">
        <v>2</v>
      </c>
      <c r="AD48" s="220">
        <v>0</v>
      </c>
      <c r="AE48" s="220">
        <f t="shared" si="48"/>
        <v>-66</v>
      </c>
      <c r="AF48" s="220">
        <f t="shared" si="48"/>
        <v>-82</v>
      </c>
      <c r="AG48" s="220">
        <f t="shared" si="48"/>
        <v>-115</v>
      </c>
      <c r="AH48" s="220">
        <f t="shared" si="48"/>
        <v>-101</v>
      </c>
      <c r="AI48" s="220">
        <f t="shared" si="48"/>
        <v>-93</v>
      </c>
      <c r="AJ48" s="50">
        <f t="shared" si="12"/>
        <v>1.6840000000000022</v>
      </c>
      <c r="AK48" s="257"/>
      <c r="AL48" s="257">
        <f t="shared" si="13"/>
        <v>1.2</v>
      </c>
      <c r="AM48" s="52"/>
      <c r="AN48" s="88"/>
    </row>
    <row r="49" spans="1:40" s="29" customFormat="1" ht="17.25" customHeight="1">
      <c r="A49" s="48">
        <v>40</v>
      </c>
      <c r="B49" s="49">
        <f t="shared" si="0"/>
        <v>45592</v>
      </c>
      <c r="C49" s="220">
        <f t="shared" si="1"/>
        <v>1049</v>
      </c>
      <c r="D49" s="220">
        <f t="shared" ref="D49" si="53">D48-18</f>
        <v>2443</v>
      </c>
      <c r="E49" s="220">
        <f t="shared" si="2"/>
        <v>3492</v>
      </c>
      <c r="F49" s="220">
        <f t="shared" si="3"/>
        <v>949</v>
      </c>
      <c r="G49" s="220">
        <f t="shared" si="4"/>
        <v>996</v>
      </c>
      <c r="H49" s="220">
        <f t="shared" si="5"/>
        <v>1008</v>
      </c>
      <c r="I49" s="220">
        <f t="shared" si="6"/>
        <v>1044</v>
      </c>
      <c r="J49" s="220">
        <f t="shared" si="7"/>
        <v>936</v>
      </c>
      <c r="K49" s="220">
        <f t="shared" si="8"/>
        <v>2543</v>
      </c>
      <c r="L49" s="220">
        <f t="shared" si="8"/>
        <v>2496</v>
      </c>
      <c r="M49" s="220">
        <f t="shared" si="8"/>
        <v>2484</v>
      </c>
      <c r="N49" s="220">
        <f t="shared" si="8"/>
        <v>2448</v>
      </c>
      <c r="O49" s="220">
        <f t="shared" si="8"/>
        <v>2556</v>
      </c>
      <c r="P49" s="220">
        <f t="shared" si="46"/>
        <v>2000</v>
      </c>
      <c r="Q49" s="220">
        <f t="shared" si="46"/>
        <v>2000</v>
      </c>
      <c r="R49" s="220">
        <f t="shared" si="46"/>
        <v>2000</v>
      </c>
      <c r="S49" s="220">
        <f t="shared" si="46"/>
        <v>2000</v>
      </c>
      <c r="T49" s="220">
        <f t="shared" si="46"/>
        <v>2000</v>
      </c>
      <c r="U49" s="220">
        <f t="shared" si="47"/>
        <v>543</v>
      </c>
      <c r="V49" s="220">
        <f t="shared" si="47"/>
        <v>496</v>
      </c>
      <c r="W49" s="220">
        <f t="shared" si="47"/>
        <v>484</v>
      </c>
      <c r="X49" s="220">
        <f t="shared" si="47"/>
        <v>448</v>
      </c>
      <c r="Y49" s="220">
        <f t="shared" si="47"/>
        <v>556</v>
      </c>
      <c r="Z49" s="220">
        <v>0</v>
      </c>
      <c r="AA49" s="220">
        <v>1</v>
      </c>
      <c r="AB49" s="220">
        <v>0</v>
      </c>
      <c r="AC49" s="220">
        <v>0</v>
      </c>
      <c r="AD49" s="220">
        <v>0</v>
      </c>
      <c r="AE49" s="220">
        <f t="shared" si="48"/>
        <v>-66</v>
      </c>
      <c r="AF49" s="220">
        <f t="shared" si="48"/>
        <v>-83</v>
      </c>
      <c r="AG49" s="220">
        <f t="shared" si="48"/>
        <v>-115</v>
      </c>
      <c r="AH49" s="220">
        <f t="shared" si="48"/>
        <v>-101</v>
      </c>
      <c r="AI49" s="220">
        <f t="shared" si="48"/>
        <v>-93</v>
      </c>
      <c r="AJ49" s="50">
        <f t="shared" si="12"/>
        <v>1.6840000000000022</v>
      </c>
      <c r="AK49" s="257"/>
      <c r="AL49" s="257">
        <f t="shared" si="13"/>
        <v>1.2</v>
      </c>
      <c r="AM49" s="52"/>
      <c r="AN49" s="88"/>
    </row>
    <row r="50" spans="1:40" s="29" customFormat="1" ht="17.25" customHeight="1">
      <c r="A50" s="48">
        <v>41</v>
      </c>
      <c r="B50" s="49">
        <f t="shared" si="0"/>
        <v>45593</v>
      </c>
      <c r="C50" s="220">
        <f t="shared" si="1"/>
        <v>1049</v>
      </c>
      <c r="D50" s="220">
        <f t="shared" ref="D50" si="54">D49-26</f>
        <v>2417</v>
      </c>
      <c r="E50" s="220">
        <f t="shared" si="2"/>
        <v>3466</v>
      </c>
      <c r="F50" s="220">
        <f t="shared" si="3"/>
        <v>925</v>
      </c>
      <c r="G50" s="220">
        <f t="shared" si="4"/>
        <v>970</v>
      </c>
      <c r="H50" s="220">
        <f t="shared" si="5"/>
        <v>985</v>
      </c>
      <c r="I50" s="220">
        <f t="shared" si="6"/>
        <v>1021</v>
      </c>
      <c r="J50" s="220">
        <f t="shared" si="7"/>
        <v>910</v>
      </c>
      <c r="K50" s="220">
        <f t="shared" si="8"/>
        <v>2541</v>
      </c>
      <c r="L50" s="220">
        <f t="shared" si="8"/>
        <v>2496</v>
      </c>
      <c r="M50" s="220">
        <f t="shared" si="8"/>
        <v>2481</v>
      </c>
      <c r="N50" s="220">
        <f t="shared" si="8"/>
        <v>2445</v>
      </c>
      <c r="O50" s="220">
        <f t="shared" si="8"/>
        <v>2556</v>
      </c>
      <c r="P50" s="220">
        <f t="shared" si="46"/>
        <v>2000</v>
      </c>
      <c r="Q50" s="220">
        <f t="shared" si="46"/>
        <v>2000</v>
      </c>
      <c r="R50" s="220">
        <f t="shared" si="46"/>
        <v>2000</v>
      </c>
      <c r="S50" s="220">
        <f t="shared" si="46"/>
        <v>2000</v>
      </c>
      <c r="T50" s="220">
        <f t="shared" si="46"/>
        <v>2000</v>
      </c>
      <c r="U50" s="220">
        <f t="shared" si="47"/>
        <v>541</v>
      </c>
      <c r="V50" s="220">
        <f t="shared" si="47"/>
        <v>496</v>
      </c>
      <c r="W50" s="220">
        <f t="shared" si="47"/>
        <v>481</v>
      </c>
      <c r="X50" s="220">
        <f t="shared" si="47"/>
        <v>445</v>
      </c>
      <c r="Y50" s="220">
        <f t="shared" si="47"/>
        <v>556</v>
      </c>
      <c r="Z50" s="220">
        <v>2</v>
      </c>
      <c r="AA50" s="220">
        <v>0</v>
      </c>
      <c r="AB50" s="220">
        <v>3</v>
      </c>
      <c r="AC50" s="220">
        <v>3</v>
      </c>
      <c r="AD50" s="220">
        <v>0</v>
      </c>
      <c r="AE50" s="220">
        <f t="shared" si="48"/>
        <v>-68</v>
      </c>
      <c r="AF50" s="220">
        <f t="shared" si="48"/>
        <v>-83</v>
      </c>
      <c r="AG50" s="220">
        <f t="shared" si="48"/>
        <v>-118</v>
      </c>
      <c r="AH50" s="220">
        <f t="shared" si="48"/>
        <v>-104</v>
      </c>
      <c r="AI50" s="220">
        <f t="shared" si="48"/>
        <v>-93</v>
      </c>
      <c r="AJ50" s="50">
        <f t="shared" si="12"/>
        <v>1.6810000000000023</v>
      </c>
      <c r="AK50" s="257"/>
      <c r="AL50" s="257">
        <f t="shared" si="13"/>
        <v>1.2</v>
      </c>
      <c r="AM50" s="52"/>
      <c r="AN50" s="88"/>
    </row>
    <row r="51" spans="1:40" s="29" customFormat="1" ht="17.25" customHeight="1">
      <c r="A51" s="48">
        <v>42</v>
      </c>
      <c r="B51" s="49">
        <f t="shared" si="0"/>
        <v>45594</v>
      </c>
      <c r="C51" s="220">
        <f t="shared" si="1"/>
        <v>1049</v>
      </c>
      <c r="D51" s="220">
        <f t="shared" ref="D51" si="55">D50+15</f>
        <v>2432</v>
      </c>
      <c r="E51" s="220">
        <f t="shared" si="2"/>
        <v>3481</v>
      </c>
      <c r="F51" s="220">
        <f t="shared" si="3"/>
        <v>940</v>
      </c>
      <c r="G51" s="220">
        <f t="shared" si="4"/>
        <v>985</v>
      </c>
      <c r="H51" s="220">
        <f t="shared" si="5"/>
        <v>1000</v>
      </c>
      <c r="I51" s="220">
        <f t="shared" si="6"/>
        <v>1036</v>
      </c>
      <c r="J51" s="220">
        <f t="shared" si="7"/>
        <v>925</v>
      </c>
      <c r="K51" s="220">
        <f t="shared" si="8"/>
        <v>2541</v>
      </c>
      <c r="L51" s="220">
        <f t="shared" si="8"/>
        <v>2496</v>
      </c>
      <c r="M51" s="220">
        <f t="shared" si="8"/>
        <v>2481</v>
      </c>
      <c r="N51" s="220">
        <f t="shared" si="8"/>
        <v>2445</v>
      </c>
      <c r="O51" s="220">
        <f t="shared" si="8"/>
        <v>2556</v>
      </c>
      <c r="P51" s="220">
        <f t="shared" si="46"/>
        <v>2000</v>
      </c>
      <c r="Q51" s="220">
        <f t="shared" si="46"/>
        <v>2000</v>
      </c>
      <c r="R51" s="220">
        <f t="shared" si="46"/>
        <v>2000</v>
      </c>
      <c r="S51" s="220">
        <f t="shared" si="46"/>
        <v>2000</v>
      </c>
      <c r="T51" s="220">
        <f t="shared" si="46"/>
        <v>2000</v>
      </c>
      <c r="U51" s="220">
        <f t="shared" si="47"/>
        <v>541</v>
      </c>
      <c r="V51" s="220">
        <f t="shared" si="47"/>
        <v>496</v>
      </c>
      <c r="W51" s="220">
        <f t="shared" si="47"/>
        <v>481</v>
      </c>
      <c r="X51" s="220">
        <f t="shared" si="47"/>
        <v>445</v>
      </c>
      <c r="Y51" s="220">
        <f t="shared" si="47"/>
        <v>556</v>
      </c>
      <c r="Z51" s="220">
        <v>0</v>
      </c>
      <c r="AA51" s="220">
        <v>0</v>
      </c>
      <c r="AB51" s="220">
        <v>0</v>
      </c>
      <c r="AC51" s="220">
        <v>0</v>
      </c>
      <c r="AD51" s="220">
        <v>0</v>
      </c>
      <c r="AE51" s="220">
        <f t="shared" si="48"/>
        <v>-68</v>
      </c>
      <c r="AF51" s="220">
        <f t="shared" si="48"/>
        <v>-83</v>
      </c>
      <c r="AG51" s="220">
        <f t="shared" si="48"/>
        <v>-118</v>
      </c>
      <c r="AH51" s="220">
        <f t="shared" si="48"/>
        <v>-104</v>
      </c>
      <c r="AI51" s="220">
        <f t="shared" si="48"/>
        <v>-93</v>
      </c>
      <c r="AJ51" s="50">
        <f t="shared" si="12"/>
        <v>1.6810000000000023</v>
      </c>
      <c r="AK51" s="257"/>
      <c r="AL51" s="257">
        <f t="shared" si="13"/>
        <v>1.2</v>
      </c>
      <c r="AM51" s="52"/>
      <c r="AN51" s="88"/>
    </row>
    <row r="52" spans="1:40" s="29" customFormat="1" ht="17.25" customHeight="1">
      <c r="A52" s="48">
        <v>43</v>
      </c>
      <c r="B52" s="49">
        <f t="shared" si="0"/>
        <v>45595</v>
      </c>
      <c r="C52" s="220">
        <f t="shared" si="1"/>
        <v>1049</v>
      </c>
      <c r="D52" s="220">
        <f t="shared" ref="D52" si="56">D51+26</f>
        <v>2458</v>
      </c>
      <c r="E52" s="220">
        <f t="shared" si="2"/>
        <v>3507</v>
      </c>
      <c r="F52" s="220">
        <f t="shared" si="3"/>
        <v>966</v>
      </c>
      <c r="G52" s="220">
        <f t="shared" si="4"/>
        <v>1014</v>
      </c>
      <c r="H52" s="220">
        <f t="shared" si="5"/>
        <v>1027</v>
      </c>
      <c r="I52" s="220">
        <f t="shared" si="6"/>
        <v>1065</v>
      </c>
      <c r="J52" s="220">
        <f t="shared" si="7"/>
        <v>951</v>
      </c>
      <c r="K52" s="220">
        <f t="shared" si="8"/>
        <v>2541</v>
      </c>
      <c r="L52" s="220">
        <f t="shared" si="8"/>
        <v>2493</v>
      </c>
      <c r="M52" s="220">
        <f t="shared" si="8"/>
        <v>2480</v>
      </c>
      <c r="N52" s="220">
        <f t="shared" si="8"/>
        <v>2442</v>
      </c>
      <c r="O52" s="220">
        <f t="shared" si="8"/>
        <v>2556</v>
      </c>
      <c r="P52" s="220">
        <f t="shared" si="46"/>
        <v>2000</v>
      </c>
      <c r="Q52" s="220">
        <f t="shared" si="46"/>
        <v>2000</v>
      </c>
      <c r="R52" s="220">
        <f t="shared" si="46"/>
        <v>2000</v>
      </c>
      <c r="S52" s="220">
        <f t="shared" si="46"/>
        <v>2000</v>
      </c>
      <c r="T52" s="220">
        <f t="shared" si="46"/>
        <v>2000</v>
      </c>
      <c r="U52" s="220">
        <f t="shared" si="47"/>
        <v>541</v>
      </c>
      <c r="V52" s="220">
        <f t="shared" si="47"/>
        <v>493</v>
      </c>
      <c r="W52" s="220">
        <f t="shared" si="47"/>
        <v>480</v>
      </c>
      <c r="X52" s="220">
        <f t="shared" si="47"/>
        <v>442</v>
      </c>
      <c r="Y52" s="220">
        <f t="shared" si="47"/>
        <v>556</v>
      </c>
      <c r="Z52" s="220">
        <v>0</v>
      </c>
      <c r="AA52" s="220">
        <v>3</v>
      </c>
      <c r="AB52" s="220">
        <v>1</v>
      </c>
      <c r="AC52" s="220">
        <v>3</v>
      </c>
      <c r="AD52" s="220">
        <v>0</v>
      </c>
      <c r="AE52" s="220">
        <f t="shared" si="48"/>
        <v>-68</v>
      </c>
      <c r="AF52" s="220">
        <f t="shared" si="48"/>
        <v>-86</v>
      </c>
      <c r="AG52" s="220">
        <f t="shared" si="48"/>
        <v>-119</v>
      </c>
      <c r="AH52" s="220">
        <f t="shared" si="48"/>
        <v>-107</v>
      </c>
      <c r="AI52" s="220">
        <f t="shared" si="48"/>
        <v>-93</v>
      </c>
      <c r="AJ52" s="50">
        <f t="shared" si="12"/>
        <v>1.6800000000000024</v>
      </c>
      <c r="AK52" s="257"/>
      <c r="AL52" s="257">
        <f t="shared" si="13"/>
        <v>1.2</v>
      </c>
      <c r="AM52" s="52"/>
      <c r="AN52" s="88"/>
    </row>
    <row r="53" spans="1:40" s="29" customFormat="1" ht="17.25" customHeight="1">
      <c r="A53" s="48">
        <v>44</v>
      </c>
      <c r="B53" s="49">
        <f t="shared" si="0"/>
        <v>45596</v>
      </c>
      <c r="C53" s="220">
        <f t="shared" si="1"/>
        <v>1049</v>
      </c>
      <c r="D53" s="220">
        <f t="shared" ref="D53" si="57">D52+32</f>
        <v>2490</v>
      </c>
      <c r="E53" s="220">
        <f t="shared" si="2"/>
        <v>3539</v>
      </c>
      <c r="F53" s="220">
        <f t="shared" si="3"/>
        <v>1000</v>
      </c>
      <c r="G53" s="220">
        <f t="shared" si="4"/>
        <v>1047</v>
      </c>
      <c r="H53" s="220">
        <f t="shared" si="5"/>
        <v>1060</v>
      </c>
      <c r="I53" s="220">
        <f t="shared" si="6"/>
        <v>1099</v>
      </c>
      <c r="J53" s="220">
        <f t="shared" si="7"/>
        <v>985</v>
      </c>
      <c r="K53" s="220">
        <f t="shared" si="8"/>
        <v>2539</v>
      </c>
      <c r="L53" s="220">
        <f t="shared" si="8"/>
        <v>2492</v>
      </c>
      <c r="M53" s="220">
        <f t="shared" si="8"/>
        <v>2479</v>
      </c>
      <c r="N53" s="220">
        <f t="shared" si="8"/>
        <v>2440</v>
      </c>
      <c r="O53" s="220">
        <f t="shared" si="8"/>
        <v>2554</v>
      </c>
      <c r="P53" s="220">
        <f t="shared" si="46"/>
        <v>2000</v>
      </c>
      <c r="Q53" s="220">
        <f t="shared" si="46"/>
        <v>2000</v>
      </c>
      <c r="R53" s="220">
        <f t="shared" si="46"/>
        <v>2000</v>
      </c>
      <c r="S53" s="220">
        <f t="shared" si="46"/>
        <v>2000</v>
      </c>
      <c r="T53" s="220">
        <f t="shared" si="46"/>
        <v>2000</v>
      </c>
      <c r="U53" s="220">
        <f t="shared" si="47"/>
        <v>539</v>
      </c>
      <c r="V53" s="220">
        <f t="shared" si="47"/>
        <v>492</v>
      </c>
      <c r="W53" s="220">
        <f t="shared" si="47"/>
        <v>479</v>
      </c>
      <c r="X53" s="220">
        <f t="shared" si="47"/>
        <v>440</v>
      </c>
      <c r="Y53" s="220">
        <f t="shared" si="47"/>
        <v>554</v>
      </c>
      <c r="Z53" s="220">
        <v>2</v>
      </c>
      <c r="AA53" s="220">
        <v>1</v>
      </c>
      <c r="AB53" s="220">
        <v>1</v>
      </c>
      <c r="AC53" s="220">
        <v>2</v>
      </c>
      <c r="AD53" s="220">
        <v>2</v>
      </c>
      <c r="AE53" s="220">
        <f t="shared" si="48"/>
        <v>-70</v>
      </c>
      <c r="AF53" s="220">
        <f t="shared" si="48"/>
        <v>-87</v>
      </c>
      <c r="AG53" s="220">
        <f t="shared" si="48"/>
        <v>-120</v>
      </c>
      <c r="AH53" s="220">
        <f t="shared" si="48"/>
        <v>-109</v>
      </c>
      <c r="AI53" s="220">
        <f t="shared" si="48"/>
        <v>-95</v>
      </c>
      <c r="AJ53" s="50">
        <f t="shared" si="12"/>
        <v>1.6790000000000025</v>
      </c>
      <c r="AK53" s="257"/>
      <c r="AL53" s="257">
        <f t="shared" si="13"/>
        <v>1.2</v>
      </c>
      <c r="AM53" s="52"/>
      <c r="AN53" s="88"/>
    </row>
    <row r="54" spans="1:40" s="29" customFormat="1" ht="17.25" customHeight="1">
      <c r="A54" s="48">
        <v>45</v>
      </c>
      <c r="B54" s="49">
        <f t="shared" si="0"/>
        <v>45597</v>
      </c>
      <c r="C54" s="220">
        <f t="shared" si="1"/>
        <v>1049</v>
      </c>
      <c r="D54" s="220">
        <f t="shared" ref="D54" si="58">D53-18</f>
        <v>2472</v>
      </c>
      <c r="E54" s="220">
        <f t="shared" si="2"/>
        <v>3521</v>
      </c>
      <c r="F54" s="220">
        <f t="shared" si="3"/>
        <v>982</v>
      </c>
      <c r="G54" s="220">
        <f t="shared" si="4"/>
        <v>1029</v>
      </c>
      <c r="H54" s="220">
        <f t="shared" si="5"/>
        <v>1042</v>
      </c>
      <c r="I54" s="220">
        <f t="shared" si="6"/>
        <v>1082</v>
      </c>
      <c r="J54" s="220">
        <f t="shared" si="7"/>
        <v>967</v>
      </c>
      <c r="K54" s="220">
        <f t="shared" si="8"/>
        <v>2539</v>
      </c>
      <c r="L54" s="220">
        <f t="shared" si="8"/>
        <v>2492</v>
      </c>
      <c r="M54" s="220">
        <f t="shared" si="8"/>
        <v>2479</v>
      </c>
      <c r="N54" s="220">
        <f t="shared" si="8"/>
        <v>2439</v>
      </c>
      <c r="O54" s="220">
        <f t="shared" si="8"/>
        <v>2554</v>
      </c>
      <c r="P54" s="220">
        <f t="shared" si="46"/>
        <v>2000</v>
      </c>
      <c r="Q54" s="220">
        <f t="shared" si="46"/>
        <v>2000</v>
      </c>
      <c r="R54" s="220">
        <f t="shared" si="46"/>
        <v>2000</v>
      </c>
      <c r="S54" s="220">
        <f t="shared" si="46"/>
        <v>2000</v>
      </c>
      <c r="T54" s="220">
        <f t="shared" si="46"/>
        <v>2000</v>
      </c>
      <c r="U54" s="220">
        <f t="shared" si="47"/>
        <v>539</v>
      </c>
      <c r="V54" s="220">
        <f t="shared" si="47"/>
        <v>492</v>
      </c>
      <c r="W54" s="220">
        <f t="shared" si="47"/>
        <v>479</v>
      </c>
      <c r="X54" s="220">
        <f t="shared" si="47"/>
        <v>439</v>
      </c>
      <c r="Y54" s="220">
        <f t="shared" si="47"/>
        <v>554</v>
      </c>
      <c r="Z54" s="220">
        <v>0</v>
      </c>
      <c r="AA54" s="220">
        <v>0</v>
      </c>
      <c r="AB54" s="220">
        <v>0</v>
      </c>
      <c r="AC54" s="220">
        <v>1</v>
      </c>
      <c r="AD54" s="220">
        <v>0</v>
      </c>
      <c r="AE54" s="220">
        <f t="shared" si="48"/>
        <v>-70</v>
      </c>
      <c r="AF54" s="220">
        <f t="shared" si="48"/>
        <v>-87</v>
      </c>
      <c r="AG54" s="220">
        <f t="shared" si="48"/>
        <v>-120</v>
      </c>
      <c r="AH54" s="220">
        <f t="shared" si="48"/>
        <v>-110</v>
      </c>
      <c r="AI54" s="220">
        <f t="shared" si="48"/>
        <v>-95</v>
      </c>
      <c r="AJ54" s="50">
        <f t="shared" si="12"/>
        <v>1.6790000000000025</v>
      </c>
      <c r="AK54" s="257"/>
      <c r="AL54" s="257">
        <f t="shared" si="13"/>
        <v>1.2</v>
      </c>
      <c r="AM54" s="52"/>
      <c r="AN54" s="88"/>
    </row>
    <row r="55" spans="1:40" s="29" customFormat="1" ht="17.25" customHeight="1">
      <c r="A55" s="48">
        <v>46</v>
      </c>
      <c r="B55" s="49">
        <f t="shared" si="0"/>
        <v>45598</v>
      </c>
      <c r="C55" s="220">
        <f t="shared" si="1"/>
        <v>1049</v>
      </c>
      <c r="D55" s="220">
        <v>1986</v>
      </c>
      <c r="E55" s="220">
        <f t="shared" si="2"/>
        <v>3035</v>
      </c>
      <c r="F55" s="220">
        <f t="shared" si="3"/>
        <v>496</v>
      </c>
      <c r="G55" s="220">
        <f t="shared" si="4"/>
        <v>544</v>
      </c>
      <c r="H55" s="220">
        <f t="shared" si="5"/>
        <v>556</v>
      </c>
      <c r="I55" s="220">
        <f t="shared" si="6"/>
        <v>597</v>
      </c>
      <c r="J55" s="220">
        <f t="shared" si="7"/>
        <v>481</v>
      </c>
      <c r="K55" s="220">
        <f t="shared" si="8"/>
        <v>2539</v>
      </c>
      <c r="L55" s="220">
        <f t="shared" si="8"/>
        <v>2491</v>
      </c>
      <c r="M55" s="220">
        <f t="shared" si="8"/>
        <v>2479</v>
      </c>
      <c r="N55" s="220">
        <f t="shared" si="8"/>
        <v>2438</v>
      </c>
      <c r="O55" s="220">
        <f t="shared" si="8"/>
        <v>2554</v>
      </c>
      <c r="P55" s="220">
        <f t="shared" si="46"/>
        <v>2000</v>
      </c>
      <c r="Q55" s="220">
        <f t="shared" si="46"/>
        <v>2000</v>
      </c>
      <c r="R55" s="220">
        <f t="shared" si="46"/>
        <v>2000</v>
      </c>
      <c r="S55" s="220">
        <f t="shared" si="46"/>
        <v>2000</v>
      </c>
      <c r="T55" s="220">
        <f t="shared" si="46"/>
        <v>2000</v>
      </c>
      <c r="U55" s="220">
        <f t="shared" si="47"/>
        <v>539</v>
      </c>
      <c r="V55" s="220">
        <f t="shared" si="47"/>
        <v>491</v>
      </c>
      <c r="W55" s="220">
        <f t="shared" si="47"/>
        <v>479</v>
      </c>
      <c r="X55" s="220">
        <f t="shared" si="47"/>
        <v>438</v>
      </c>
      <c r="Y55" s="220">
        <f t="shared" si="47"/>
        <v>554</v>
      </c>
      <c r="Z55" s="220">
        <v>0</v>
      </c>
      <c r="AA55" s="220">
        <v>1</v>
      </c>
      <c r="AB55" s="220">
        <v>0</v>
      </c>
      <c r="AC55" s="220">
        <v>1</v>
      </c>
      <c r="AD55" s="220">
        <v>0</v>
      </c>
      <c r="AE55" s="220">
        <f t="shared" si="48"/>
        <v>-70</v>
      </c>
      <c r="AF55" s="220">
        <f t="shared" si="48"/>
        <v>-88</v>
      </c>
      <c r="AG55" s="220">
        <f t="shared" si="48"/>
        <v>-120</v>
      </c>
      <c r="AH55" s="220">
        <f t="shared" si="48"/>
        <v>-111</v>
      </c>
      <c r="AI55" s="220">
        <f t="shared" si="48"/>
        <v>-95</v>
      </c>
      <c r="AJ55" s="50">
        <f t="shared" si="12"/>
        <v>1.6790000000000025</v>
      </c>
      <c r="AK55" s="257"/>
      <c r="AL55" s="257">
        <f t="shared" si="13"/>
        <v>1.2</v>
      </c>
      <c r="AM55" s="52"/>
      <c r="AN55" s="88"/>
    </row>
    <row r="56" spans="1:40" s="29" customFormat="1" ht="17.25" customHeight="1">
      <c r="A56" s="48">
        <v>47</v>
      </c>
      <c r="B56" s="49">
        <f t="shared" si="0"/>
        <v>45599</v>
      </c>
      <c r="C56" s="220">
        <f t="shared" si="1"/>
        <v>1049</v>
      </c>
      <c r="D56" s="220">
        <f t="shared" ref="D56" si="59">D55+15</f>
        <v>2001</v>
      </c>
      <c r="E56" s="220">
        <f t="shared" si="2"/>
        <v>3050</v>
      </c>
      <c r="F56" s="220">
        <f t="shared" si="3"/>
        <v>511</v>
      </c>
      <c r="G56" s="220">
        <f t="shared" si="4"/>
        <v>559</v>
      </c>
      <c r="H56" s="220">
        <f t="shared" si="5"/>
        <v>574</v>
      </c>
      <c r="I56" s="220">
        <f t="shared" si="6"/>
        <v>613</v>
      </c>
      <c r="J56" s="220">
        <f t="shared" si="7"/>
        <v>496</v>
      </c>
      <c r="K56" s="220">
        <f t="shared" si="8"/>
        <v>2539</v>
      </c>
      <c r="L56" s="220">
        <f t="shared" si="8"/>
        <v>2491</v>
      </c>
      <c r="M56" s="220">
        <f t="shared" si="8"/>
        <v>2476</v>
      </c>
      <c r="N56" s="220">
        <f t="shared" si="8"/>
        <v>2437</v>
      </c>
      <c r="O56" s="220">
        <f t="shared" si="8"/>
        <v>2554</v>
      </c>
      <c r="P56" s="220">
        <f t="shared" si="46"/>
        <v>2000</v>
      </c>
      <c r="Q56" s="220">
        <f t="shared" si="46"/>
        <v>2000</v>
      </c>
      <c r="R56" s="220">
        <f t="shared" si="46"/>
        <v>2000</v>
      </c>
      <c r="S56" s="220">
        <f t="shared" si="46"/>
        <v>2000</v>
      </c>
      <c r="T56" s="220">
        <f t="shared" si="46"/>
        <v>2000</v>
      </c>
      <c r="U56" s="220">
        <f t="shared" si="47"/>
        <v>539</v>
      </c>
      <c r="V56" s="220">
        <f t="shared" si="47"/>
        <v>491</v>
      </c>
      <c r="W56" s="220">
        <f t="shared" si="47"/>
        <v>476</v>
      </c>
      <c r="X56" s="220">
        <f t="shared" si="47"/>
        <v>437</v>
      </c>
      <c r="Y56" s="220">
        <f t="shared" si="47"/>
        <v>554</v>
      </c>
      <c r="Z56" s="220">
        <v>0</v>
      </c>
      <c r="AA56" s="220">
        <v>0</v>
      </c>
      <c r="AB56" s="220">
        <v>3</v>
      </c>
      <c r="AC56" s="220">
        <v>1</v>
      </c>
      <c r="AD56" s="220">
        <v>0</v>
      </c>
      <c r="AE56" s="220">
        <f t="shared" si="48"/>
        <v>-70</v>
      </c>
      <c r="AF56" s="220">
        <f t="shared" si="48"/>
        <v>-88</v>
      </c>
      <c r="AG56" s="220">
        <f t="shared" si="48"/>
        <v>-123</v>
      </c>
      <c r="AH56" s="220">
        <f t="shared" si="48"/>
        <v>-112</v>
      </c>
      <c r="AI56" s="220">
        <f t="shared" si="48"/>
        <v>-95</v>
      </c>
      <c r="AJ56" s="50">
        <f t="shared" si="12"/>
        <v>1.6760000000000026</v>
      </c>
      <c r="AK56" s="257"/>
      <c r="AL56" s="257">
        <f t="shared" si="13"/>
        <v>1.2</v>
      </c>
      <c r="AM56" s="52"/>
      <c r="AN56" s="88"/>
    </row>
    <row r="57" spans="1:40" s="29" customFormat="1" ht="17.25" customHeight="1">
      <c r="A57" s="48">
        <v>48</v>
      </c>
      <c r="B57" s="49">
        <f t="shared" si="0"/>
        <v>45600</v>
      </c>
      <c r="C57" s="220">
        <f t="shared" si="1"/>
        <v>1049</v>
      </c>
      <c r="D57" s="220">
        <f t="shared" ref="D57" si="60">D56+26</f>
        <v>2027</v>
      </c>
      <c r="E57" s="220">
        <f t="shared" si="2"/>
        <v>3076</v>
      </c>
      <c r="F57" s="220">
        <f t="shared" si="3"/>
        <v>539</v>
      </c>
      <c r="G57" s="220">
        <f t="shared" si="4"/>
        <v>586</v>
      </c>
      <c r="H57" s="220">
        <f t="shared" si="5"/>
        <v>601</v>
      </c>
      <c r="I57" s="220">
        <f t="shared" si="6"/>
        <v>640</v>
      </c>
      <c r="J57" s="220">
        <f t="shared" si="7"/>
        <v>522</v>
      </c>
      <c r="K57" s="220">
        <f t="shared" si="8"/>
        <v>2537</v>
      </c>
      <c r="L57" s="220">
        <f t="shared" si="8"/>
        <v>2490</v>
      </c>
      <c r="M57" s="220">
        <f t="shared" si="8"/>
        <v>2475</v>
      </c>
      <c r="N57" s="220">
        <f t="shared" si="8"/>
        <v>2436</v>
      </c>
      <c r="O57" s="220">
        <f t="shared" si="8"/>
        <v>2554</v>
      </c>
      <c r="P57" s="220">
        <f t="shared" si="46"/>
        <v>2000</v>
      </c>
      <c r="Q57" s="220">
        <f t="shared" si="46"/>
        <v>2000</v>
      </c>
      <c r="R57" s="220">
        <f t="shared" si="46"/>
        <v>2000</v>
      </c>
      <c r="S57" s="220">
        <f t="shared" si="46"/>
        <v>2000</v>
      </c>
      <c r="T57" s="220">
        <f t="shared" si="46"/>
        <v>2000</v>
      </c>
      <c r="U57" s="220">
        <f t="shared" si="47"/>
        <v>537</v>
      </c>
      <c r="V57" s="220">
        <f t="shared" si="47"/>
        <v>490</v>
      </c>
      <c r="W57" s="220">
        <f t="shared" si="47"/>
        <v>475</v>
      </c>
      <c r="X57" s="220">
        <f t="shared" si="47"/>
        <v>436</v>
      </c>
      <c r="Y57" s="220">
        <f t="shared" si="47"/>
        <v>554</v>
      </c>
      <c r="Z57" s="220">
        <v>2</v>
      </c>
      <c r="AA57" s="220">
        <v>1</v>
      </c>
      <c r="AB57" s="220">
        <v>1</v>
      </c>
      <c r="AC57" s="220">
        <v>1</v>
      </c>
      <c r="AD57" s="220">
        <v>0</v>
      </c>
      <c r="AE57" s="220">
        <f t="shared" si="48"/>
        <v>-72</v>
      </c>
      <c r="AF57" s="220">
        <f t="shared" si="48"/>
        <v>-89</v>
      </c>
      <c r="AG57" s="220">
        <f t="shared" si="48"/>
        <v>-124</v>
      </c>
      <c r="AH57" s="220">
        <f t="shared" si="48"/>
        <v>-113</v>
      </c>
      <c r="AI57" s="220">
        <f t="shared" si="48"/>
        <v>-95</v>
      </c>
      <c r="AJ57" s="50">
        <f t="shared" si="12"/>
        <v>1.6750000000000027</v>
      </c>
      <c r="AK57" s="257"/>
      <c r="AL57" s="257">
        <f t="shared" si="13"/>
        <v>1.2</v>
      </c>
      <c r="AM57" s="52"/>
      <c r="AN57" s="88"/>
    </row>
    <row r="58" spans="1:40" s="29" customFormat="1" ht="17.25" customHeight="1">
      <c r="A58" s="48">
        <v>49</v>
      </c>
      <c r="B58" s="49">
        <f t="shared" si="0"/>
        <v>45601</v>
      </c>
      <c r="C58" s="220">
        <f t="shared" si="1"/>
        <v>1049</v>
      </c>
      <c r="D58" s="220">
        <f t="shared" ref="D58" si="61">D57+32</f>
        <v>2059</v>
      </c>
      <c r="E58" s="220">
        <f t="shared" si="2"/>
        <v>3108</v>
      </c>
      <c r="F58" s="220">
        <f t="shared" si="3"/>
        <v>571</v>
      </c>
      <c r="G58" s="220">
        <f t="shared" si="4"/>
        <v>619</v>
      </c>
      <c r="H58" s="220">
        <f t="shared" si="5"/>
        <v>633</v>
      </c>
      <c r="I58" s="220">
        <f t="shared" si="6"/>
        <v>673</v>
      </c>
      <c r="J58" s="220">
        <f t="shared" si="7"/>
        <v>554</v>
      </c>
      <c r="K58" s="220">
        <f t="shared" si="8"/>
        <v>2537</v>
      </c>
      <c r="L58" s="220">
        <f t="shared" si="8"/>
        <v>2489</v>
      </c>
      <c r="M58" s="220">
        <f t="shared" si="8"/>
        <v>2475</v>
      </c>
      <c r="N58" s="220">
        <f t="shared" si="8"/>
        <v>2435</v>
      </c>
      <c r="O58" s="220">
        <f t="shared" si="8"/>
        <v>2554</v>
      </c>
      <c r="P58" s="220">
        <f t="shared" si="46"/>
        <v>2000</v>
      </c>
      <c r="Q58" s="220">
        <f t="shared" si="46"/>
        <v>2000</v>
      </c>
      <c r="R58" s="220">
        <f t="shared" si="46"/>
        <v>2000</v>
      </c>
      <c r="S58" s="220">
        <f t="shared" si="46"/>
        <v>2000</v>
      </c>
      <c r="T58" s="220">
        <f t="shared" si="46"/>
        <v>2000</v>
      </c>
      <c r="U58" s="220">
        <f t="shared" si="47"/>
        <v>537</v>
      </c>
      <c r="V58" s="220">
        <f t="shared" si="47"/>
        <v>489</v>
      </c>
      <c r="W58" s="220">
        <f t="shared" si="47"/>
        <v>475</v>
      </c>
      <c r="X58" s="220">
        <f t="shared" si="47"/>
        <v>435</v>
      </c>
      <c r="Y58" s="220">
        <f t="shared" si="47"/>
        <v>554</v>
      </c>
      <c r="Z58" s="220">
        <v>0</v>
      </c>
      <c r="AA58" s="220">
        <v>1</v>
      </c>
      <c r="AB58" s="220">
        <v>0</v>
      </c>
      <c r="AC58" s="220">
        <v>1</v>
      </c>
      <c r="AD58" s="220">
        <v>0</v>
      </c>
      <c r="AE58" s="220">
        <f t="shared" si="48"/>
        <v>-72</v>
      </c>
      <c r="AF58" s="220">
        <f t="shared" si="48"/>
        <v>-90</v>
      </c>
      <c r="AG58" s="220">
        <f t="shared" si="48"/>
        <v>-124</v>
      </c>
      <c r="AH58" s="220">
        <f t="shared" si="48"/>
        <v>-114</v>
      </c>
      <c r="AI58" s="220">
        <f t="shared" si="48"/>
        <v>-95</v>
      </c>
      <c r="AJ58" s="50">
        <f t="shared" si="12"/>
        <v>1.6750000000000027</v>
      </c>
      <c r="AK58" s="257"/>
      <c r="AL58" s="257">
        <f t="shared" si="13"/>
        <v>1.2</v>
      </c>
      <c r="AM58" s="52"/>
      <c r="AN58" s="88"/>
    </row>
    <row r="59" spans="1:40" s="29" customFormat="1" ht="17.25" customHeight="1">
      <c r="A59" s="48">
        <v>50</v>
      </c>
      <c r="B59" s="49">
        <f t="shared" si="0"/>
        <v>45602</v>
      </c>
      <c r="C59" s="220">
        <f t="shared" si="1"/>
        <v>1049</v>
      </c>
      <c r="D59" s="220">
        <f t="shared" ref="D59" si="62">D58-18</f>
        <v>2041</v>
      </c>
      <c r="E59" s="220">
        <f t="shared" si="2"/>
        <v>3090</v>
      </c>
      <c r="F59" s="220">
        <f t="shared" si="3"/>
        <v>553</v>
      </c>
      <c r="G59" s="220">
        <f t="shared" si="4"/>
        <v>601</v>
      </c>
      <c r="H59" s="220">
        <f t="shared" si="5"/>
        <v>616</v>
      </c>
      <c r="I59" s="220">
        <f t="shared" si="6"/>
        <v>656</v>
      </c>
      <c r="J59" s="220">
        <f t="shared" si="7"/>
        <v>538</v>
      </c>
      <c r="K59" s="220">
        <f t="shared" si="8"/>
        <v>2537</v>
      </c>
      <c r="L59" s="220">
        <f t="shared" si="8"/>
        <v>2489</v>
      </c>
      <c r="M59" s="220">
        <f t="shared" si="8"/>
        <v>2474</v>
      </c>
      <c r="N59" s="220">
        <f t="shared" si="8"/>
        <v>2434</v>
      </c>
      <c r="O59" s="220">
        <f t="shared" si="8"/>
        <v>2552</v>
      </c>
      <c r="P59" s="220">
        <f t="shared" si="46"/>
        <v>2000</v>
      </c>
      <c r="Q59" s="220">
        <f t="shared" si="46"/>
        <v>2000</v>
      </c>
      <c r="R59" s="220">
        <f t="shared" si="46"/>
        <v>2000</v>
      </c>
      <c r="S59" s="220">
        <f t="shared" si="46"/>
        <v>2000</v>
      </c>
      <c r="T59" s="220">
        <f t="shared" si="46"/>
        <v>2000</v>
      </c>
      <c r="U59" s="220">
        <f t="shared" si="47"/>
        <v>537</v>
      </c>
      <c r="V59" s="220">
        <f t="shared" si="47"/>
        <v>489</v>
      </c>
      <c r="W59" s="220">
        <f t="shared" si="47"/>
        <v>474</v>
      </c>
      <c r="X59" s="220">
        <f t="shared" si="47"/>
        <v>434</v>
      </c>
      <c r="Y59" s="220">
        <f t="shared" si="47"/>
        <v>552</v>
      </c>
      <c r="Z59" s="220">
        <v>0</v>
      </c>
      <c r="AA59" s="220">
        <v>0</v>
      </c>
      <c r="AB59" s="220">
        <v>1</v>
      </c>
      <c r="AC59" s="220">
        <v>1</v>
      </c>
      <c r="AD59" s="220">
        <v>2</v>
      </c>
      <c r="AE59" s="220">
        <f t="shared" si="48"/>
        <v>-72</v>
      </c>
      <c r="AF59" s="220">
        <f t="shared" si="48"/>
        <v>-90</v>
      </c>
      <c r="AG59" s="220">
        <f t="shared" si="48"/>
        <v>-125</v>
      </c>
      <c r="AH59" s="220">
        <f t="shared" si="48"/>
        <v>-115</v>
      </c>
      <c r="AI59" s="220">
        <f t="shared" si="48"/>
        <v>-97</v>
      </c>
      <c r="AJ59" s="50">
        <f t="shared" si="12"/>
        <v>1.6740000000000028</v>
      </c>
      <c r="AK59" s="257"/>
      <c r="AL59" s="257">
        <f t="shared" si="13"/>
        <v>1.2</v>
      </c>
      <c r="AM59" s="52"/>
      <c r="AN59" s="88"/>
    </row>
    <row r="60" spans="1:40" s="29" customFormat="1" ht="17.25" customHeight="1">
      <c r="A60" s="48">
        <v>51</v>
      </c>
      <c r="B60" s="49">
        <f t="shared" si="0"/>
        <v>45603</v>
      </c>
      <c r="C60" s="220">
        <f t="shared" si="1"/>
        <v>1049</v>
      </c>
      <c r="D60" s="220">
        <f t="shared" ref="D60" si="63">D59-26</f>
        <v>2015</v>
      </c>
      <c r="E60" s="220">
        <f t="shared" si="2"/>
        <v>3064</v>
      </c>
      <c r="F60" s="220">
        <f t="shared" si="3"/>
        <v>527</v>
      </c>
      <c r="G60" s="220">
        <f t="shared" si="4"/>
        <v>576</v>
      </c>
      <c r="H60" s="220">
        <f t="shared" si="5"/>
        <v>590</v>
      </c>
      <c r="I60" s="220">
        <f t="shared" si="6"/>
        <v>631</v>
      </c>
      <c r="J60" s="220">
        <f t="shared" si="7"/>
        <v>512</v>
      </c>
      <c r="K60" s="220">
        <f t="shared" si="8"/>
        <v>2537</v>
      </c>
      <c r="L60" s="220">
        <f t="shared" si="8"/>
        <v>2488</v>
      </c>
      <c r="M60" s="220">
        <f t="shared" si="8"/>
        <v>2474</v>
      </c>
      <c r="N60" s="220">
        <f t="shared" si="8"/>
        <v>2433</v>
      </c>
      <c r="O60" s="220">
        <f t="shared" si="8"/>
        <v>2552</v>
      </c>
      <c r="P60" s="220">
        <f t="shared" ref="P60:T75" si="64">+P59</f>
        <v>2000</v>
      </c>
      <c r="Q60" s="220">
        <f t="shared" si="64"/>
        <v>2000</v>
      </c>
      <c r="R60" s="220">
        <f t="shared" si="64"/>
        <v>2000</v>
      </c>
      <c r="S60" s="220">
        <f t="shared" si="64"/>
        <v>2000</v>
      </c>
      <c r="T60" s="220">
        <f t="shared" si="64"/>
        <v>2000</v>
      </c>
      <c r="U60" s="220">
        <f t="shared" ref="U60:Y75" si="65">U59-Z60</f>
        <v>537</v>
      </c>
      <c r="V60" s="220">
        <f t="shared" si="65"/>
        <v>488</v>
      </c>
      <c r="W60" s="220">
        <f t="shared" si="65"/>
        <v>474</v>
      </c>
      <c r="X60" s="220">
        <f t="shared" si="65"/>
        <v>433</v>
      </c>
      <c r="Y60" s="220">
        <f t="shared" si="65"/>
        <v>552</v>
      </c>
      <c r="Z60" s="220">
        <v>0</v>
      </c>
      <c r="AA60" s="220">
        <v>1</v>
      </c>
      <c r="AB60" s="220">
        <v>0</v>
      </c>
      <c r="AC60" s="220">
        <v>1</v>
      </c>
      <c r="AD60" s="220">
        <v>0</v>
      </c>
      <c r="AE60" s="220">
        <f t="shared" ref="AE60:AI75" si="66">AE59-Z60</f>
        <v>-72</v>
      </c>
      <c r="AF60" s="220">
        <f t="shared" si="66"/>
        <v>-91</v>
      </c>
      <c r="AG60" s="220">
        <f t="shared" si="66"/>
        <v>-125</v>
      </c>
      <c r="AH60" s="220">
        <f t="shared" si="66"/>
        <v>-116</v>
      </c>
      <c r="AI60" s="220">
        <f t="shared" si="66"/>
        <v>-97</v>
      </c>
      <c r="AJ60" s="50">
        <f t="shared" si="12"/>
        <v>1.6740000000000028</v>
      </c>
      <c r="AK60" s="257"/>
      <c r="AL60" s="257">
        <f t="shared" si="13"/>
        <v>1.2</v>
      </c>
      <c r="AM60" s="52"/>
      <c r="AN60" s="88"/>
    </row>
    <row r="61" spans="1:40" s="29" customFormat="1" ht="17.25" customHeight="1">
      <c r="A61" s="48">
        <v>52</v>
      </c>
      <c r="B61" s="49">
        <f t="shared" si="0"/>
        <v>45604</v>
      </c>
      <c r="C61" s="220">
        <f t="shared" si="1"/>
        <v>1049</v>
      </c>
      <c r="D61" s="220">
        <f t="shared" ref="D61" si="67">D60+15</f>
        <v>2030</v>
      </c>
      <c r="E61" s="220">
        <f t="shared" si="2"/>
        <v>3079</v>
      </c>
      <c r="F61" s="220">
        <f t="shared" si="3"/>
        <v>542</v>
      </c>
      <c r="G61" s="220">
        <f t="shared" si="4"/>
        <v>592</v>
      </c>
      <c r="H61" s="220">
        <f t="shared" si="5"/>
        <v>606</v>
      </c>
      <c r="I61" s="220">
        <f t="shared" si="6"/>
        <v>646</v>
      </c>
      <c r="J61" s="220">
        <f t="shared" si="7"/>
        <v>527</v>
      </c>
      <c r="K61" s="220">
        <f t="shared" si="8"/>
        <v>2537</v>
      </c>
      <c r="L61" s="220">
        <f t="shared" si="8"/>
        <v>2487</v>
      </c>
      <c r="M61" s="220">
        <f t="shared" si="8"/>
        <v>2473</v>
      </c>
      <c r="N61" s="220">
        <f t="shared" si="8"/>
        <v>2433</v>
      </c>
      <c r="O61" s="220">
        <f t="shared" si="8"/>
        <v>2552</v>
      </c>
      <c r="P61" s="220">
        <f t="shared" si="64"/>
        <v>2000</v>
      </c>
      <c r="Q61" s="220">
        <f t="shared" si="64"/>
        <v>2000</v>
      </c>
      <c r="R61" s="220">
        <f t="shared" si="64"/>
        <v>2000</v>
      </c>
      <c r="S61" s="220">
        <f t="shared" si="64"/>
        <v>2000</v>
      </c>
      <c r="T61" s="220">
        <f t="shared" si="64"/>
        <v>2000</v>
      </c>
      <c r="U61" s="220">
        <f t="shared" si="65"/>
        <v>537</v>
      </c>
      <c r="V61" s="220">
        <f t="shared" si="65"/>
        <v>487</v>
      </c>
      <c r="W61" s="220">
        <f t="shared" si="65"/>
        <v>473</v>
      </c>
      <c r="X61" s="220">
        <f t="shared" si="65"/>
        <v>433</v>
      </c>
      <c r="Y61" s="220">
        <f t="shared" si="65"/>
        <v>552</v>
      </c>
      <c r="Z61" s="220">
        <v>0</v>
      </c>
      <c r="AA61" s="220">
        <v>1</v>
      </c>
      <c r="AB61" s="220">
        <v>1</v>
      </c>
      <c r="AC61" s="220">
        <v>0</v>
      </c>
      <c r="AD61" s="220">
        <v>0</v>
      </c>
      <c r="AE61" s="220">
        <f t="shared" si="66"/>
        <v>-72</v>
      </c>
      <c r="AF61" s="220">
        <f t="shared" si="66"/>
        <v>-92</v>
      </c>
      <c r="AG61" s="220">
        <f t="shared" si="66"/>
        <v>-126</v>
      </c>
      <c r="AH61" s="220">
        <f t="shared" si="66"/>
        <v>-116</v>
      </c>
      <c r="AI61" s="220">
        <f t="shared" si="66"/>
        <v>-97</v>
      </c>
      <c r="AJ61" s="50">
        <f t="shared" si="12"/>
        <v>1.6730000000000029</v>
      </c>
      <c r="AK61" s="257"/>
      <c r="AL61" s="257">
        <f t="shared" si="13"/>
        <v>1.2</v>
      </c>
      <c r="AM61" s="52"/>
      <c r="AN61" s="88"/>
    </row>
    <row r="62" spans="1:40" s="29" customFormat="1" ht="17.25" customHeight="1">
      <c r="A62" s="48">
        <v>53</v>
      </c>
      <c r="B62" s="49">
        <f t="shared" si="0"/>
        <v>45605</v>
      </c>
      <c r="C62" s="220">
        <f t="shared" si="1"/>
        <v>1049</v>
      </c>
      <c r="D62" s="220">
        <f t="shared" ref="D62" si="68">D61+26</f>
        <v>2056</v>
      </c>
      <c r="E62" s="220">
        <f t="shared" si="2"/>
        <v>3105</v>
      </c>
      <c r="F62" s="220">
        <f t="shared" si="3"/>
        <v>569</v>
      </c>
      <c r="G62" s="220">
        <f t="shared" si="4"/>
        <v>620</v>
      </c>
      <c r="H62" s="220">
        <f t="shared" si="5"/>
        <v>633</v>
      </c>
      <c r="I62" s="220">
        <f t="shared" si="6"/>
        <v>672</v>
      </c>
      <c r="J62" s="220">
        <f t="shared" si="7"/>
        <v>555</v>
      </c>
      <c r="K62" s="220">
        <f t="shared" ref="K62:O112" si="69">P62+U62</f>
        <v>2536</v>
      </c>
      <c r="L62" s="220">
        <f t="shared" si="69"/>
        <v>2485</v>
      </c>
      <c r="M62" s="220">
        <f t="shared" si="69"/>
        <v>2472</v>
      </c>
      <c r="N62" s="220">
        <f t="shared" si="69"/>
        <v>2433</v>
      </c>
      <c r="O62" s="220">
        <f t="shared" si="69"/>
        <v>2550</v>
      </c>
      <c r="P62" s="220">
        <f t="shared" si="64"/>
        <v>2000</v>
      </c>
      <c r="Q62" s="220">
        <f t="shared" si="64"/>
        <v>2000</v>
      </c>
      <c r="R62" s="220">
        <f t="shared" si="64"/>
        <v>2000</v>
      </c>
      <c r="S62" s="220">
        <f t="shared" si="64"/>
        <v>2000</v>
      </c>
      <c r="T62" s="220">
        <f t="shared" si="64"/>
        <v>2000</v>
      </c>
      <c r="U62" s="220">
        <f t="shared" si="65"/>
        <v>536</v>
      </c>
      <c r="V62" s="220">
        <f t="shared" si="65"/>
        <v>485</v>
      </c>
      <c r="W62" s="220">
        <f t="shared" si="65"/>
        <v>472</v>
      </c>
      <c r="X62" s="220">
        <f t="shared" si="65"/>
        <v>433</v>
      </c>
      <c r="Y62" s="220">
        <f t="shared" si="65"/>
        <v>550</v>
      </c>
      <c r="Z62" s="220">
        <v>1</v>
      </c>
      <c r="AA62" s="220">
        <v>2</v>
      </c>
      <c r="AB62" s="220">
        <v>1</v>
      </c>
      <c r="AC62" s="220">
        <v>0</v>
      </c>
      <c r="AD62" s="220">
        <v>2</v>
      </c>
      <c r="AE62" s="220">
        <f t="shared" si="66"/>
        <v>-73</v>
      </c>
      <c r="AF62" s="220">
        <f t="shared" si="66"/>
        <v>-94</v>
      </c>
      <c r="AG62" s="220">
        <f t="shared" si="66"/>
        <v>-127</v>
      </c>
      <c r="AH62" s="220">
        <f t="shared" si="66"/>
        <v>-116</v>
      </c>
      <c r="AI62" s="220">
        <f t="shared" si="66"/>
        <v>-99</v>
      </c>
      <c r="AJ62" s="50">
        <f t="shared" si="12"/>
        <v>1.672000000000003</v>
      </c>
      <c r="AK62" s="257"/>
      <c r="AL62" s="257">
        <f t="shared" si="13"/>
        <v>1.2</v>
      </c>
      <c r="AM62" s="52"/>
      <c r="AN62" s="88"/>
    </row>
    <row r="63" spans="1:40" s="29" customFormat="1" ht="17.25" customHeight="1">
      <c r="A63" s="48">
        <v>54</v>
      </c>
      <c r="B63" s="49">
        <f t="shared" si="0"/>
        <v>45606</v>
      </c>
      <c r="C63" s="220">
        <f t="shared" si="1"/>
        <v>1049</v>
      </c>
      <c r="D63" s="220">
        <f t="shared" ref="D63" si="70">D62+32</f>
        <v>2088</v>
      </c>
      <c r="E63" s="220">
        <f t="shared" si="2"/>
        <v>3137</v>
      </c>
      <c r="F63" s="220">
        <f t="shared" si="3"/>
        <v>601</v>
      </c>
      <c r="G63" s="220">
        <f t="shared" si="4"/>
        <v>652</v>
      </c>
      <c r="H63" s="220">
        <f t="shared" si="5"/>
        <v>665</v>
      </c>
      <c r="I63" s="220">
        <f t="shared" si="6"/>
        <v>706</v>
      </c>
      <c r="J63" s="220">
        <f t="shared" si="7"/>
        <v>587</v>
      </c>
      <c r="K63" s="220">
        <f t="shared" si="69"/>
        <v>2536</v>
      </c>
      <c r="L63" s="220">
        <f t="shared" si="69"/>
        <v>2485</v>
      </c>
      <c r="M63" s="220">
        <f t="shared" si="69"/>
        <v>2472</v>
      </c>
      <c r="N63" s="220">
        <f t="shared" si="69"/>
        <v>2431</v>
      </c>
      <c r="O63" s="220">
        <f t="shared" si="69"/>
        <v>2550</v>
      </c>
      <c r="P63" s="220">
        <f t="shared" si="64"/>
        <v>2000</v>
      </c>
      <c r="Q63" s="220">
        <f t="shared" si="64"/>
        <v>2000</v>
      </c>
      <c r="R63" s="220">
        <f t="shared" si="64"/>
        <v>2000</v>
      </c>
      <c r="S63" s="220">
        <f t="shared" si="64"/>
        <v>2000</v>
      </c>
      <c r="T63" s="220">
        <f t="shared" si="64"/>
        <v>2000</v>
      </c>
      <c r="U63" s="220">
        <f t="shared" si="65"/>
        <v>536</v>
      </c>
      <c r="V63" s="220">
        <f t="shared" si="65"/>
        <v>485</v>
      </c>
      <c r="W63" s="220">
        <f t="shared" si="65"/>
        <v>472</v>
      </c>
      <c r="X63" s="220">
        <f t="shared" si="65"/>
        <v>431</v>
      </c>
      <c r="Y63" s="220">
        <f t="shared" si="65"/>
        <v>550</v>
      </c>
      <c r="Z63" s="220">
        <v>0</v>
      </c>
      <c r="AA63" s="220">
        <v>0</v>
      </c>
      <c r="AB63" s="220">
        <v>0</v>
      </c>
      <c r="AC63" s="220">
        <v>2</v>
      </c>
      <c r="AD63" s="220">
        <v>0</v>
      </c>
      <c r="AE63" s="220">
        <f t="shared" si="66"/>
        <v>-73</v>
      </c>
      <c r="AF63" s="220">
        <f t="shared" si="66"/>
        <v>-94</v>
      </c>
      <c r="AG63" s="220">
        <f t="shared" si="66"/>
        <v>-127</v>
      </c>
      <c r="AH63" s="220">
        <f t="shared" si="66"/>
        <v>-118</v>
      </c>
      <c r="AI63" s="220">
        <f t="shared" si="66"/>
        <v>-99</v>
      </c>
      <c r="AJ63" s="50">
        <f t="shared" si="12"/>
        <v>1.672000000000003</v>
      </c>
      <c r="AK63" s="257"/>
      <c r="AL63" s="257">
        <f t="shared" si="13"/>
        <v>1.2</v>
      </c>
      <c r="AM63" s="52"/>
      <c r="AN63" s="88"/>
    </row>
    <row r="64" spans="1:40" s="29" customFormat="1" ht="17.25" customHeight="1">
      <c r="A64" s="48">
        <v>55</v>
      </c>
      <c r="B64" s="49">
        <f t="shared" si="0"/>
        <v>45607</v>
      </c>
      <c r="C64" s="220">
        <f t="shared" si="1"/>
        <v>1049</v>
      </c>
      <c r="D64" s="220">
        <f t="shared" ref="D64" si="71">D63-18</f>
        <v>2070</v>
      </c>
      <c r="E64" s="220">
        <f t="shared" si="2"/>
        <v>3119</v>
      </c>
      <c r="F64" s="220">
        <f t="shared" si="3"/>
        <v>583</v>
      </c>
      <c r="G64" s="220">
        <f t="shared" si="4"/>
        <v>634</v>
      </c>
      <c r="H64" s="220">
        <f t="shared" si="5"/>
        <v>648</v>
      </c>
      <c r="I64" s="220">
        <f t="shared" si="6"/>
        <v>688</v>
      </c>
      <c r="J64" s="220">
        <f t="shared" si="7"/>
        <v>569</v>
      </c>
      <c r="K64" s="220">
        <f t="shared" si="69"/>
        <v>2536</v>
      </c>
      <c r="L64" s="220">
        <f t="shared" si="69"/>
        <v>2485</v>
      </c>
      <c r="M64" s="220">
        <f t="shared" si="69"/>
        <v>2471</v>
      </c>
      <c r="N64" s="220">
        <f t="shared" si="69"/>
        <v>2431</v>
      </c>
      <c r="O64" s="220">
        <f t="shared" si="69"/>
        <v>2550</v>
      </c>
      <c r="P64" s="220">
        <f t="shared" si="64"/>
        <v>2000</v>
      </c>
      <c r="Q64" s="220">
        <f t="shared" si="64"/>
        <v>2000</v>
      </c>
      <c r="R64" s="220">
        <f t="shared" si="64"/>
        <v>2000</v>
      </c>
      <c r="S64" s="220">
        <f t="shared" si="64"/>
        <v>2000</v>
      </c>
      <c r="T64" s="220">
        <f t="shared" si="64"/>
        <v>2000</v>
      </c>
      <c r="U64" s="220">
        <f t="shared" si="65"/>
        <v>536</v>
      </c>
      <c r="V64" s="220">
        <f t="shared" si="65"/>
        <v>485</v>
      </c>
      <c r="W64" s="220">
        <f t="shared" si="65"/>
        <v>471</v>
      </c>
      <c r="X64" s="220">
        <f t="shared" si="65"/>
        <v>431</v>
      </c>
      <c r="Y64" s="220">
        <f t="shared" si="65"/>
        <v>550</v>
      </c>
      <c r="Z64" s="220">
        <v>0</v>
      </c>
      <c r="AA64" s="220">
        <v>0</v>
      </c>
      <c r="AB64" s="220">
        <v>1</v>
      </c>
      <c r="AC64" s="220">
        <v>0</v>
      </c>
      <c r="AD64" s="220">
        <v>0</v>
      </c>
      <c r="AE64" s="220">
        <f t="shared" si="66"/>
        <v>-73</v>
      </c>
      <c r="AF64" s="220">
        <f t="shared" si="66"/>
        <v>-94</v>
      </c>
      <c r="AG64" s="220">
        <f t="shared" si="66"/>
        <v>-128</v>
      </c>
      <c r="AH64" s="220">
        <f t="shared" si="66"/>
        <v>-118</v>
      </c>
      <c r="AI64" s="220">
        <f t="shared" si="66"/>
        <v>-99</v>
      </c>
      <c r="AJ64" s="50">
        <f t="shared" si="12"/>
        <v>1.6710000000000031</v>
      </c>
      <c r="AK64" s="257"/>
      <c r="AL64" s="257">
        <f t="shared" si="13"/>
        <v>1.2</v>
      </c>
      <c r="AM64" s="52"/>
      <c r="AN64" s="88"/>
    </row>
    <row r="65" spans="1:40" s="29" customFormat="1" ht="17.25" customHeight="1">
      <c r="A65" s="48">
        <v>56</v>
      </c>
      <c r="B65" s="49">
        <f t="shared" si="0"/>
        <v>45608</v>
      </c>
      <c r="C65" s="220">
        <f t="shared" si="1"/>
        <v>1049</v>
      </c>
      <c r="D65" s="220">
        <f t="shared" ref="D65" si="72">D64-26</f>
        <v>2044</v>
      </c>
      <c r="E65" s="220">
        <f t="shared" si="2"/>
        <v>3093</v>
      </c>
      <c r="F65" s="220">
        <f t="shared" si="3"/>
        <v>557</v>
      </c>
      <c r="G65" s="220">
        <f t="shared" si="4"/>
        <v>608</v>
      </c>
      <c r="H65" s="220">
        <f t="shared" si="5"/>
        <v>623</v>
      </c>
      <c r="I65" s="220">
        <f t="shared" si="6"/>
        <v>665</v>
      </c>
      <c r="J65" s="220">
        <f t="shared" si="7"/>
        <v>543</v>
      </c>
      <c r="K65" s="220">
        <f t="shared" si="69"/>
        <v>2536</v>
      </c>
      <c r="L65" s="220">
        <f t="shared" si="69"/>
        <v>2485</v>
      </c>
      <c r="M65" s="220">
        <f t="shared" si="69"/>
        <v>2470</v>
      </c>
      <c r="N65" s="220">
        <f t="shared" si="69"/>
        <v>2428</v>
      </c>
      <c r="O65" s="220">
        <f t="shared" si="69"/>
        <v>2550</v>
      </c>
      <c r="P65" s="220">
        <f t="shared" si="64"/>
        <v>2000</v>
      </c>
      <c r="Q65" s="220">
        <f t="shared" si="64"/>
        <v>2000</v>
      </c>
      <c r="R65" s="220">
        <f t="shared" si="64"/>
        <v>2000</v>
      </c>
      <c r="S65" s="220">
        <f t="shared" si="64"/>
        <v>2000</v>
      </c>
      <c r="T65" s="220">
        <f t="shared" si="64"/>
        <v>2000</v>
      </c>
      <c r="U65" s="220">
        <f t="shared" si="65"/>
        <v>536</v>
      </c>
      <c r="V65" s="220">
        <f t="shared" si="65"/>
        <v>485</v>
      </c>
      <c r="W65" s="220">
        <f t="shared" si="65"/>
        <v>470</v>
      </c>
      <c r="X65" s="220">
        <f t="shared" si="65"/>
        <v>428</v>
      </c>
      <c r="Y65" s="220">
        <f t="shared" si="65"/>
        <v>550</v>
      </c>
      <c r="Z65" s="220">
        <v>0</v>
      </c>
      <c r="AA65" s="220">
        <v>0</v>
      </c>
      <c r="AB65" s="220">
        <v>1</v>
      </c>
      <c r="AC65" s="220">
        <v>3</v>
      </c>
      <c r="AD65" s="220">
        <v>0</v>
      </c>
      <c r="AE65" s="220">
        <f t="shared" si="66"/>
        <v>-73</v>
      </c>
      <c r="AF65" s="220">
        <f t="shared" si="66"/>
        <v>-94</v>
      </c>
      <c r="AG65" s="220">
        <f t="shared" si="66"/>
        <v>-129</v>
      </c>
      <c r="AH65" s="220">
        <f t="shared" si="66"/>
        <v>-121</v>
      </c>
      <c r="AI65" s="220">
        <f t="shared" si="66"/>
        <v>-99</v>
      </c>
      <c r="AJ65" s="50">
        <f t="shared" si="12"/>
        <v>1.6700000000000033</v>
      </c>
      <c r="AK65" s="257"/>
      <c r="AL65" s="257">
        <f t="shared" si="13"/>
        <v>1.2</v>
      </c>
      <c r="AM65" s="52"/>
      <c r="AN65" s="88"/>
    </row>
    <row r="66" spans="1:40" s="29" customFormat="1" ht="17.25" customHeight="1">
      <c r="A66" s="48">
        <v>57</v>
      </c>
      <c r="B66" s="49">
        <f t="shared" si="0"/>
        <v>45609</v>
      </c>
      <c r="C66" s="220">
        <f t="shared" si="1"/>
        <v>1049</v>
      </c>
      <c r="D66" s="220">
        <f t="shared" ref="D66" si="73">D65+15</f>
        <v>2059</v>
      </c>
      <c r="E66" s="220">
        <f t="shared" si="2"/>
        <v>3108</v>
      </c>
      <c r="F66" s="220">
        <f t="shared" si="3"/>
        <v>572</v>
      </c>
      <c r="G66" s="220">
        <f t="shared" si="4"/>
        <v>623</v>
      </c>
      <c r="H66" s="220">
        <f t="shared" si="5"/>
        <v>641</v>
      </c>
      <c r="I66" s="220">
        <f t="shared" si="6"/>
        <v>680</v>
      </c>
      <c r="J66" s="220">
        <f t="shared" si="7"/>
        <v>558</v>
      </c>
      <c r="K66" s="220">
        <f t="shared" si="69"/>
        <v>2536</v>
      </c>
      <c r="L66" s="220">
        <f t="shared" si="69"/>
        <v>2485</v>
      </c>
      <c r="M66" s="220">
        <f t="shared" si="69"/>
        <v>2467</v>
      </c>
      <c r="N66" s="220">
        <f t="shared" si="69"/>
        <v>2428</v>
      </c>
      <c r="O66" s="220">
        <f t="shared" si="69"/>
        <v>2550</v>
      </c>
      <c r="P66" s="220">
        <f t="shared" si="64"/>
        <v>2000</v>
      </c>
      <c r="Q66" s="220">
        <f t="shared" si="64"/>
        <v>2000</v>
      </c>
      <c r="R66" s="220">
        <f t="shared" si="64"/>
        <v>2000</v>
      </c>
      <c r="S66" s="220">
        <f t="shared" si="64"/>
        <v>2000</v>
      </c>
      <c r="T66" s="220">
        <f t="shared" si="64"/>
        <v>2000</v>
      </c>
      <c r="U66" s="220">
        <f t="shared" si="65"/>
        <v>536</v>
      </c>
      <c r="V66" s="220">
        <f t="shared" si="65"/>
        <v>485</v>
      </c>
      <c r="W66" s="220">
        <f t="shared" si="65"/>
        <v>467</v>
      </c>
      <c r="X66" s="220">
        <f t="shared" si="65"/>
        <v>428</v>
      </c>
      <c r="Y66" s="220">
        <f t="shared" si="65"/>
        <v>550</v>
      </c>
      <c r="Z66" s="220">
        <v>0</v>
      </c>
      <c r="AA66" s="220">
        <v>0</v>
      </c>
      <c r="AB66" s="220">
        <v>3</v>
      </c>
      <c r="AC66" s="220">
        <v>0</v>
      </c>
      <c r="AD66" s="220">
        <v>0</v>
      </c>
      <c r="AE66" s="220">
        <f t="shared" si="66"/>
        <v>-73</v>
      </c>
      <c r="AF66" s="220">
        <f t="shared" si="66"/>
        <v>-94</v>
      </c>
      <c r="AG66" s="220">
        <f t="shared" si="66"/>
        <v>-132</v>
      </c>
      <c r="AH66" s="220">
        <f t="shared" si="66"/>
        <v>-121</v>
      </c>
      <c r="AI66" s="220">
        <f t="shared" si="66"/>
        <v>-99</v>
      </c>
      <c r="AJ66" s="50">
        <f t="shared" si="12"/>
        <v>1.6670000000000034</v>
      </c>
      <c r="AK66" s="257"/>
      <c r="AL66" s="257">
        <f t="shared" si="13"/>
        <v>1.2</v>
      </c>
      <c r="AM66" s="52"/>
      <c r="AN66" s="88"/>
    </row>
    <row r="67" spans="1:40" s="29" customFormat="1" ht="17.25" customHeight="1">
      <c r="A67" s="48">
        <v>58</v>
      </c>
      <c r="B67" s="49">
        <f t="shared" si="0"/>
        <v>45610</v>
      </c>
      <c r="C67" s="220">
        <f t="shared" si="1"/>
        <v>1049</v>
      </c>
      <c r="D67" s="220">
        <f t="shared" ref="D67" si="74">D66+26</f>
        <v>2085</v>
      </c>
      <c r="E67" s="220">
        <f t="shared" si="2"/>
        <v>3134</v>
      </c>
      <c r="F67" s="220">
        <f t="shared" si="3"/>
        <v>599</v>
      </c>
      <c r="G67" s="220">
        <f t="shared" si="4"/>
        <v>649</v>
      </c>
      <c r="H67" s="220">
        <f t="shared" si="5"/>
        <v>670</v>
      </c>
      <c r="I67" s="220">
        <f t="shared" si="6"/>
        <v>709</v>
      </c>
      <c r="J67" s="220">
        <f t="shared" si="7"/>
        <v>584</v>
      </c>
      <c r="K67" s="220">
        <f t="shared" si="69"/>
        <v>2535</v>
      </c>
      <c r="L67" s="220">
        <f t="shared" si="69"/>
        <v>2485</v>
      </c>
      <c r="M67" s="220">
        <f t="shared" si="69"/>
        <v>2464</v>
      </c>
      <c r="N67" s="220">
        <f t="shared" si="69"/>
        <v>2425</v>
      </c>
      <c r="O67" s="220">
        <f t="shared" si="69"/>
        <v>2550</v>
      </c>
      <c r="P67" s="220">
        <f t="shared" si="64"/>
        <v>2000</v>
      </c>
      <c r="Q67" s="220">
        <f t="shared" si="64"/>
        <v>2000</v>
      </c>
      <c r="R67" s="220">
        <f t="shared" si="64"/>
        <v>2000</v>
      </c>
      <c r="S67" s="220">
        <f t="shared" si="64"/>
        <v>2000</v>
      </c>
      <c r="T67" s="220">
        <f t="shared" si="64"/>
        <v>2000</v>
      </c>
      <c r="U67" s="220">
        <f t="shared" si="65"/>
        <v>535</v>
      </c>
      <c r="V67" s="220">
        <f t="shared" si="65"/>
        <v>485</v>
      </c>
      <c r="W67" s="220">
        <f t="shared" si="65"/>
        <v>464</v>
      </c>
      <c r="X67" s="220">
        <f t="shared" si="65"/>
        <v>425</v>
      </c>
      <c r="Y67" s="220">
        <f t="shared" si="65"/>
        <v>550</v>
      </c>
      <c r="Z67" s="220">
        <v>1</v>
      </c>
      <c r="AA67" s="220">
        <v>0</v>
      </c>
      <c r="AB67" s="220">
        <v>3</v>
      </c>
      <c r="AC67" s="220">
        <v>3</v>
      </c>
      <c r="AD67" s="220">
        <v>0</v>
      </c>
      <c r="AE67" s="220">
        <f t="shared" si="66"/>
        <v>-74</v>
      </c>
      <c r="AF67" s="220">
        <f t="shared" si="66"/>
        <v>-94</v>
      </c>
      <c r="AG67" s="220">
        <f t="shared" si="66"/>
        <v>-135</v>
      </c>
      <c r="AH67" s="220">
        <f t="shared" si="66"/>
        <v>-124</v>
      </c>
      <c r="AI67" s="220">
        <f t="shared" si="66"/>
        <v>-99</v>
      </c>
      <c r="AJ67" s="50">
        <f t="shared" si="12"/>
        <v>1.6640000000000035</v>
      </c>
      <c r="AK67" s="257"/>
      <c r="AL67" s="257">
        <f t="shared" si="13"/>
        <v>1.2</v>
      </c>
      <c r="AM67" s="52"/>
      <c r="AN67" s="88"/>
    </row>
    <row r="68" spans="1:40" s="29" customFormat="1" ht="17.25" customHeight="1">
      <c r="A68" s="48">
        <v>59</v>
      </c>
      <c r="B68" s="49">
        <f t="shared" si="0"/>
        <v>45611</v>
      </c>
      <c r="C68" s="220">
        <f t="shared" si="1"/>
        <v>1049</v>
      </c>
      <c r="D68" s="220">
        <f t="shared" ref="D68" si="75">D67+32</f>
        <v>2117</v>
      </c>
      <c r="E68" s="220">
        <f t="shared" si="2"/>
        <v>3166</v>
      </c>
      <c r="F68" s="220">
        <f t="shared" si="3"/>
        <v>631</v>
      </c>
      <c r="G68" s="220">
        <f t="shared" si="4"/>
        <v>681</v>
      </c>
      <c r="H68" s="220">
        <f t="shared" si="5"/>
        <v>705</v>
      </c>
      <c r="I68" s="220">
        <f t="shared" si="6"/>
        <v>741</v>
      </c>
      <c r="J68" s="220">
        <f t="shared" si="7"/>
        <v>618</v>
      </c>
      <c r="K68" s="220">
        <f t="shared" si="69"/>
        <v>2535</v>
      </c>
      <c r="L68" s="220">
        <f t="shared" si="69"/>
        <v>2485</v>
      </c>
      <c r="M68" s="220">
        <f t="shared" si="69"/>
        <v>2461</v>
      </c>
      <c r="N68" s="220">
        <f t="shared" si="69"/>
        <v>2425</v>
      </c>
      <c r="O68" s="220">
        <f t="shared" si="69"/>
        <v>2548</v>
      </c>
      <c r="P68" s="220">
        <f t="shared" si="64"/>
        <v>2000</v>
      </c>
      <c r="Q68" s="220">
        <f t="shared" si="64"/>
        <v>2000</v>
      </c>
      <c r="R68" s="220">
        <f t="shared" si="64"/>
        <v>2000</v>
      </c>
      <c r="S68" s="220">
        <f t="shared" si="64"/>
        <v>2000</v>
      </c>
      <c r="T68" s="220">
        <f t="shared" si="64"/>
        <v>2000</v>
      </c>
      <c r="U68" s="220">
        <f t="shared" si="65"/>
        <v>535</v>
      </c>
      <c r="V68" s="220">
        <f t="shared" si="65"/>
        <v>485</v>
      </c>
      <c r="W68" s="220">
        <f t="shared" si="65"/>
        <v>461</v>
      </c>
      <c r="X68" s="220">
        <f t="shared" si="65"/>
        <v>425</v>
      </c>
      <c r="Y68" s="220">
        <f t="shared" si="65"/>
        <v>548</v>
      </c>
      <c r="Z68" s="220">
        <v>0</v>
      </c>
      <c r="AA68" s="220">
        <v>0</v>
      </c>
      <c r="AB68" s="220">
        <v>3</v>
      </c>
      <c r="AC68" s="220">
        <v>0</v>
      </c>
      <c r="AD68" s="220">
        <v>2</v>
      </c>
      <c r="AE68" s="220">
        <f t="shared" si="66"/>
        <v>-74</v>
      </c>
      <c r="AF68" s="220">
        <f t="shared" si="66"/>
        <v>-94</v>
      </c>
      <c r="AG68" s="220">
        <f t="shared" si="66"/>
        <v>-138</v>
      </c>
      <c r="AH68" s="220">
        <f t="shared" si="66"/>
        <v>-124</v>
      </c>
      <c r="AI68" s="220">
        <f t="shared" si="66"/>
        <v>-101</v>
      </c>
      <c r="AJ68" s="50">
        <f t="shared" si="12"/>
        <v>1.6610000000000036</v>
      </c>
      <c r="AK68" s="257"/>
      <c r="AL68" s="257">
        <f t="shared" si="13"/>
        <v>1.2</v>
      </c>
      <c r="AM68" s="52"/>
      <c r="AN68" s="88"/>
    </row>
    <row r="69" spans="1:40" s="29" customFormat="1" ht="17.25" customHeight="1">
      <c r="A69" s="48">
        <v>60</v>
      </c>
      <c r="B69" s="49">
        <f t="shared" si="0"/>
        <v>45612</v>
      </c>
      <c r="C69" s="220">
        <f t="shared" si="1"/>
        <v>1049</v>
      </c>
      <c r="D69" s="220">
        <f t="shared" ref="D69" si="76">D68-18</f>
        <v>2099</v>
      </c>
      <c r="E69" s="220">
        <f t="shared" si="2"/>
        <v>3148</v>
      </c>
      <c r="F69" s="220">
        <f t="shared" si="3"/>
        <v>614</v>
      </c>
      <c r="G69" s="220">
        <f t="shared" si="4"/>
        <v>665</v>
      </c>
      <c r="H69" s="220">
        <f t="shared" si="5"/>
        <v>689</v>
      </c>
      <c r="I69" s="220">
        <f t="shared" si="6"/>
        <v>725</v>
      </c>
      <c r="J69" s="220">
        <f t="shared" si="7"/>
        <v>600</v>
      </c>
      <c r="K69" s="220">
        <f t="shared" si="69"/>
        <v>2534</v>
      </c>
      <c r="L69" s="220">
        <f t="shared" si="69"/>
        <v>2483</v>
      </c>
      <c r="M69" s="220">
        <f t="shared" si="69"/>
        <v>2459</v>
      </c>
      <c r="N69" s="220">
        <f t="shared" si="69"/>
        <v>2423</v>
      </c>
      <c r="O69" s="220">
        <f t="shared" si="69"/>
        <v>2548</v>
      </c>
      <c r="P69" s="220">
        <f t="shared" si="64"/>
        <v>2000</v>
      </c>
      <c r="Q69" s="220">
        <f t="shared" si="64"/>
        <v>2000</v>
      </c>
      <c r="R69" s="220">
        <f t="shared" si="64"/>
        <v>2000</v>
      </c>
      <c r="S69" s="220">
        <f t="shared" si="64"/>
        <v>2000</v>
      </c>
      <c r="T69" s="220">
        <f t="shared" si="64"/>
        <v>2000</v>
      </c>
      <c r="U69" s="220">
        <f t="shared" si="65"/>
        <v>534</v>
      </c>
      <c r="V69" s="220">
        <f t="shared" si="65"/>
        <v>483</v>
      </c>
      <c r="W69" s="220">
        <f t="shared" si="65"/>
        <v>459</v>
      </c>
      <c r="X69" s="220">
        <f t="shared" si="65"/>
        <v>423</v>
      </c>
      <c r="Y69" s="220">
        <f t="shared" si="65"/>
        <v>548</v>
      </c>
      <c r="Z69" s="220">
        <v>1</v>
      </c>
      <c r="AA69" s="220">
        <v>2</v>
      </c>
      <c r="AB69" s="220">
        <v>2</v>
      </c>
      <c r="AC69" s="220">
        <v>2</v>
      </c>
      <c r="AD69" s="220">
        <v>0</v>
      </c>
      <c r="AE69" s="220">
        <f t="shared" si="66"/>
        <v>-75</v>
      </c>
      <c r="AF69" s="220">
        <f t="shared" si="66"/>
        <v>-96</v>
      </c>
      <c r="AG69" s="220">
        <f t="shared" si="66"/>
        <v>-140</v>
      </c>
      <c r="AH69" s="220">
        <f t="shared" si="66"/>
        <v>-126</v>
      </c>
      <c r="AI69" s="220">
        <f t="shared" si="66"/>
        <v>-101</v>
      </c>
      <c r="AJ69" s="50">
        <f t="shared" si="12"/>
        <v>1.6590000000000036</v>
      </c>
      <c r="AK69" s="257"/>
      <c r="AL69" s="257">
        <f t="shared" si="13"/>
        <v>1.2</v>
      </c>
      <c r="AM69" s="52"/>
      <c r="AN69" s="88"/>
    </row>
    <row r="70" spans="1:40" s="29" customFormat="1" ht="17.25" customHeight="1">
      <c r="A70" s="48">
        <v>61</v>
      </c>
      <c r="B70" s="49">
        <f t="shared" si="0"/>
        <v>45613</v>
      </c>
      <c r="C70" s="220">
        <f t="shared" si="1"/>
        <v>1049</v>
      </c>
      <c r="D70" s="220">
        <f t="shared" ref="D70" si="77">D69-26</f>
        <v>2073</v>
      </c>
      <c r="E70" s="220">
        <f t="shared" si="2"/>
        <v>3122</v>
      </c>
      <c r="F70" s="220">
        <f t="shared" si="3"/>
        <v>589</v>
      </c>
      <c r="G70" s="220">
        <f t="shared" si="4"/>
        <v>639</v>
      </c>
      <c r="H70" s="220">
        <f t="shared" si="5"/>
        <v>665</v>
      </c>
      <c r="I70" s="220">
        <f t="shared" si="6"/>
        <v>699</v>
      </c>
      <c r="J70" s="220">
        <f t="shared" si="7"/>
        <v>574</v>
      </c>
      <c r="K70" s="220">
        <f t="shared" si="69"/>
        <v>2533</v>
      </c>
      <c r="L70" s="220">
        <f t="shared" si="69"/>
        <v>2483</v>
      </c>
      <c r="M70" s="220">
        <f t="shared" si="69"/>
        <v>2457</v>
      </c>
      <c r="N70" s="220">
        <f t="shared" si="69"/>
        <v>2423</v>
      </c>
      <c r="O70" s="220">
        <f t="shared" si="69"/>
        <v>2548</v>
      </c>
      <c r="P70" s="220">
        <f t="shared" si="64"/>
        <v>2000</v>
      </c>
      <c r="Q70" s="220">
        <f t="shared" si="64"/>
        <v>2000</v>
      </c>
      <c r="R70" s="220">
        <f t="shared" si="64"/>
        <v>2000</v>
      </c>
      <c r="S70" s="220">
        <f t="shared" si="64"/>
        <v>2000</v>
      </c>
      <c r="T70" s="220">
        <f t="shared" si="64"/>
        <v>2000</v>
      </c>
      <c r="U70" s="220">
        <f t="shared" si="65"/>
        <v>533</v>
      </c>
      <c r="V70" s="220">
        <f t="shared" si="65"/>
        <v>483</v>
      </c>
      <c r="W70" s="220">
        <f t="shared" si="65"/>
        <v>457</v>
      </c>
      <c r="X70" s="220">
        <f t="shared" si="65"/>
        <v>423</v>
      </c>
      <c r="Y70" s="220">
        <f t="shared" si="65"/>
        <v>548</v>
      </c>
      <c r="Z70" s="220">
        <v>1</v>
      </c>
      <c r="AA70" s="220">
        <v>0</v>
      </c>
      <c r="AB70" s="220">
        <v>2</v>
      </c>
      <c r="AC70" s="220">
        <v>0</v>
      </c>
      <c r="AD70" s="220">
        <v>0</v>
      </c>
      <c r="AE70" s="220">
        <f t="shared" si="66"/>
        <v>-76</v>
      </c>
      <c r="AF70" s="220">
        <f t="shared" si="66"/>
        <v>-96</v>
      </c>
      <c r="AG70" s="220">
        <f t="shared" si="66"/>
        <v>-142</v>
      </c>
      <c r="AH70" s="220">
        <f t="shared" si="66"/>
        <v>-126</v>
      </c>
      <c r="AI70" s="220">
        <f t="shared" si="66"/>
        <v>-101</v>
      </c>
      <c r="AJ70" s="50">
        <f t="shared" si="12"/>
        <v>1.6570000000000036</v>
      </c>
      <c r="AK70" s="257"/>
      <c r="AL70" s="257">
        <f t="shared" si="13"/>
        <v>1.2</v>
      </c>
      <c r="AM70" s="52"/>
      <c r="AN70" s="88"/>
    </row>
    <row r="71" spans="1:40" s="29" customFormat="1" ht="17.25" customHeight="1">
      <c r="A71" s="48">
        <v>62</v>
      </c>
      <c r="B71" s="49">
        <f t="shared" si="0"/>
        <v>45614</v>
      </c>
      <c r="C71" s="220">
        <f t="shared" si="1"/>
        <v>1049</v>
      </c>
      <c r="D71" s="220">
        <f t="shared" ref="D71" si="78">D70+15</f>
        <v>2088</v>
      </c>
      <c r="E71" s="220">
        <f t="shared" si="2"/>
        <v>3137</v>
      </c>
      <c r="F71" s="220">
        <f t="shared" si="3"/>
        <v>604</v>
      </c>
      <c r="G71" s="220">
        <f t="shared" si="4"/>
        <v>655</v>
      </c>
      <c r="H71" s="220">
        <f t="shared" si="5"/>
        <v>682</v>
      </c>
      <c r="I71" s="220">
        <f t="shared" si="6"/>
        <v>717</v>
      </c>
      <c r="J71" s="220">
        <f t="shared" si="7"/>
        <v>589</v>
      </c>
      <c r="K71" s="220">
        <f t="shared" si="69"/>
        <v>2533</v>
      </c>
      <c r="L71" s="220">
        <f t="shared" si="69"/>
        <v>2482</v>
      </c>
      <c r="M71" s="220">
        <f t="shared" si="69"/>
        <v>2455</v>
      </c>
      <c r="N71" s="220">
        <f t="shared" si="69"/>
        <v>2420</v>
      </c>
      <c r="O71" s="220">
        <f t="shared" si="69"/>
        <v>2548</v>
      </c>
      <c r="P71" s="220">
        <f t="shared" si="64"/>
        <v>2000</v>
      </c>
      <c r="Q71" s="220">
        <f t="shared" si="64"/>
        <v>2000</v>
      </c>
      <c r="R71" s="220">
        <f t="shared" si="64"/>
        <v>2000</v>
      </c>
      <c r="S71" s="220">
        <f t="shared" si="64"/>
        <v>2000</v>
      </c>
      <c r="T71" s="220">
        <f t="shared" si="64"/>
        <v>2000</v>
      </c>
      <c r="U71" s="220">
        <f t="shared" si="65"/>
        <v>533</v>
      </c>
      <c r="V71" s="220">
        <f t="shared" si="65"/>
        <v>482</v>
      </c>
      <c r="W71" s="220">
        <f t="shared" si="65"/>
        <v>455</v>
      </c>
      <c r="X71" s="220">
        <f t="shared" si="65"/>
        <v>420</v>
      </c>
      <c r="Y71" s="220">
        <f t="shared" si="65"/>
        <v>548</v>
      </c>
      <c r="Z71" s="220">
        <v>0</v>
      </c>
      <c r="AA71" s="220">
        <v>1</v>
      </c>
      <c r="AB71" s="220">
        <v>2</v>
      </c>
      <c r="AC71" s="220">
        <v>3</v>
      </c>
      <c r="AD71" s="220">
        <v>0</v>
      </c>
      <c r="AE71" s="220">
        <f t="shared" si="66"/>
        <v>-76</v>
      </c>
      <c r="AF71" s="220">
        <f t="shared" si="66"/>
        <v>-97</v>
      </c>
      <c r="AG71" s="220">
        <f t="shared" si="66"/>
        <v>-144</v>
      </c>
      <c r="AH71" s="220">
        <f t="shared" si="66"/>
        <v>-129</v>
      </c>
      <c r="AI71" s="220">
        <f t="shared" si="66"/>
        <v>-101</v>
      </c>
      <c r="AJ71" s="50">
        <f t="shared" si="12"/>
        <v>1.6550000000000036</v>
      </c>
      <c r="AK71" s="257"/>
      <c r="AL71" s="257">
        <f t="shared" si="13"/>
        <v>1.2</v>
      </c>
      <c r="AM71" s="52"/>
      <c r="AN71" s="88"/>
    </row>
    <row r="72" spans="1:40" s="29" customFormat="1" ht="17.25" customHeight="1">
      <c r="A72" s="48">
        <v>63</v>
      </c>
      <c r="B72" s="49">
        <f t="shared" si="0"/>
        <v>45615</v>
      </c>
      <c r="C72" s="220">
        <f t="shared" si="1"/>
        <v>1049</v>
      </c>
      <c r="D72" s="220">
        <f t="shared" ref="D72" si="79">D71+26</f>
        <v>2114</v>
      </c>
      <c r="E72" s="220">
        <f t="shared" si="2"/>
        <v>3163</v>
      </c>
      <c r="F72" s="220">
        <f t="shared" si="3"/>
        <v>631</v>
      </c>
      <c r="G72" s="220">
        <f t="shared" si="4"/>
        <v>682</v>
      </c>
      <c r="H72" s="220">
        <f t="shared" si="5"/>
        <v>710</v>
      </c>
      <c r="I72" s="220">
        <f t="shared" si="6"/>
        <v>744</v>
      </c>
      <c r="J72" s="220">
        <f t="shared" si="7"/>
        <v>615</v>
      </c>
      <c r="K72" s="220">
        <f t="shared" si="69"/>
        <v>2532</v>
      </c>
      <c r="L72" s="220">
        <f t="shared" si="69"/>
        <v>2481</v>
      </c>
      <c r="M72" s="220">
        <f t="shared" si="69"/>
        <v>2453</v>
      </c>
      <c r="N72" s="220">
        <f t="shared" si="69"/>
        <v>2419</v>
      </c>
      <c r="O72" s="220">
        <f t="shared" si="69"/>
        <v>2548</v>
      </c>
      <c r="P72" s="220">
        <f t="shared" si="64"/>
        <v>2000</v>
      </c>
      <c r="Q72" s="220">
        <f t="shared" si="64"/>
        <v>2000</v>
      </c>
      <c r="R72" s="220">
        <f t="shared" si="64"/>
        <v>2000</v>
      </c>
      <c r="S72" s="220">
        <f t="shared" si="64"/>
        <v>2000</v>
      </c>
      <c r="T72" s="220">
        <f t="shared" si="64"/>
        <v>2000</v>
      </c>
      <c r="U72" s="220">
        <f t="shared" si="65"/>
        <v>532</v>
      </c>
      <c r="V72" s="220">
        <f t="shared" si="65"/>
        <v>481</v>
      </c>
      <c r="W72" s="220">
        <f t="shared" si="65"/>
        <v>453</v>
      </c>
      <c r="X72" s="220">
        <f t="shared" si="65"/>
        <v>419</v>
      </c>
      <c r="Y72" s="220">
        <f t="shared" si="65"/>
        <v>548</v>
      </c>
      <c r="Z72" s="220">
        <v>1</v>
      </c>
      <c r="AA72" s="220">
        <v>1</v>
      </c>
      <c r="AB72" s="220">
        <v>2</v>
      </c>
      <c r="AC72" s="220">
        <v>1</v>
      </c>
      <c r="AD72" s="220">
        <v>0</v>
      </c>
      <c r="AE72" s="220">
        <f t="shared" si="66"/>
        <v>-77</v>
      </c>
      <c r="AF72" s="220">
        <f t="shared" si="66"/>
        <v>-98</v>
      </c>
      <c r="AG72" s="220">
        <f t="shared" si="66"/>
        <v>-146</v>
      </c>
      <c r="AH72" s="220">
        <f t="shared" si="66"/>
        <v>-130</v>
      </c>
      <c r="AI72" s="220">
        <f t="shared" si="66"/>
        <v>-101</v>
      </c>
      <c r="AJ72" s="50">
        <f t="shared" si="12"/>
        <v>1.6530000000000036</v>
      </c>
      <c r="AK72" s="257"/>
      <c r="AL72" s="257">
        <f t="shared" si="13"/>
        <v>1.2</v>
      </c>
      <c r="AM72" s="52"/>
      <c r="AN72" s="88"/>
    </row>
    <row r="73" spans="1:40" s="29" customFormat="1" ht="17.25" customHeight="1">
      <c r="A73" s="48">
        <v>64</v>
      </c>
      <c r="B73" s="49">
        <f t="shared" si="0"/>
        <v>45616</v>
      </c>
      <c r="C73" s="220">
        <f t="shared" si="1"/>
        <v>1049</v>
      </c>
      <c r="D73" s="220">
        <f t="shared" ref="D73" si="80">D72+32</f>
        <v>2146</v>
      </c>
      <c r="E73" s="220">
        <f t="shared" si="2"/>
        <v>3195</v>
      </c>
      <c r="F73" s="220">
        <f t="shared" si="3"/>
        <v>663</v>
      </c>
      <c r="G73" s="220">
        <f t="shared" si="4"/>
        <v>714</v>
      </c>
      <c r="H73" s="220">
        <f t="shared" si="5"/>
        <v>743</v>
      </c>
      <c r="I73" s="220">
        <f t="shared" si="6"/>
        <v>776</v>
      </c>
      <c r="J73" s="220">
        <f t="shared" si="7"/>
        <v>647</v>
      </c>
      <c r="K73" s="220">
        <f t="shared" si="69"/>
        <v>2532</v>
      </c>
      <c r="L73" s="220">
        <f t="shared" si="69"/>
        <v>2481</v>
      </c>
      <c r="M73" s="220">
        <f t="shared" si="69"/>
        <v>2452</v>
      </c>
      <c r="N73" s="220">
        <f t="shared" si="69"/>
        <v>2419</v>
      </c>
      <c r="O73" s="220">
        <f t="shared" si="69"/>
        <v>2548</v>
      </c>
      <c r="P73" s="220">
        <f t="shared" si="64"/>
        <v>2000</v>
      </c>
      <c r="Q73" s="220">
        <f t="shared" si="64"/>
        <v>2000</v>
      </c>
      <c r="R73" s="220">
        <f t="shared" si="64"/>
        <v>2000</v>
      </c>
      <c r="S73" s="220">
        <f t="shared" si="64"/>
        <v>2000</v>
      </c>
      <c r="T73" s="220">
        <f t="shared" si="64"/>
        <v>2000</v>
      </c>
      <c r="U73" s="220">
        <f t="shared" si="65"/>
        <v>532</v>
      </c>
      <c r="V73" s="220">
        <f t="shared" si="65"/>
        <v>481</v>
      </c>
      <c r="W73" s="220">
        <f t="shared" si="65"/>
        <v>452</v>
      </c>
      <c r="X73" s="220">
        <f t="shared" si="65"/>
        <v>419</v>
      </c>
      <c r="Y73" s="220">
        <f t="shared" si="65"/>
        <v>548</v>
      </c>
      <c r="Z73" s="220">
        <v>0</v>
      </c>
      <c r="AA73" s="220">
        <v>0</v>
      </c>
      <c r="AB73" s="220">
        <v>1</v>
      </c>
      <c r="AC73" s="220">
        <v>0</v>
      </c>
      <c r="AD73" s="220">
        <v>0</v>
      </c>
      <c r="AE73" s="220">
        <f t="shared" si="66"/>
        <v>-77</v>
      </c>
      <c r="AF73" s="220">
        <f t="shared" si="66"/>
        <v>-98</v>
      </c>
      <c r="AG73" s="220">
        <f t="shared" si="66"/>
        <v>-147</v>
      </c>
      <c r="AH73" s="220">
        <f t="shared" si="66"/>
        <v>-130</v>
      </c>
      <c r="AI73" s="220">
        <f t="shared" si="66"/>
        <v>-101</v>
      </c>
      <c r="AJ73" s="50">
        <f t="shared" si="12"/>
        <v>1.6520000000000037</v>
      </c>
      <c r="AK73" s="257"/>
      <c r="AL73" s="257">
        <f t="shared" si="13"/>
        <v>1.2</v>
      </c>
      <c r="AM73" s="52"/>
      <c r="AN73" s="88"/>
    </row>
    <row r="74" spans="1:40" s="29" customFormat="1" ht="17.25" customHeight="1">
      <c r="A74" s="48">
        <v>65</v>
      </c>
      <c r="B74" s="49">
        <f t="shared" si="0"/>
        <v>45617</v>
      </c>
      <c r="C74" s="220">
        <f t="shared" si="1"/>
        <v>1049</v>
      </c>
      <c r="D74" s="220">
        <f t="shared" ref="D74" si="81">D73-18</f>
        <v>2128</v>
      </c>
      <c r="E74" s="220">
        <f t="shared" si="2"/>
        <v>3177</v>
      </c>
      <c r="F74" s="220">
        <f t="shared" si="3"/>
        <v>645</v>
      </c>
      <c r="G74" s="220">
        <f t="shared" si="4"/>
        <v>698</v>
      </c>
      <c r="H74" s="220">
        <f t="shared" si="5"/>
        <v>726</v>
      </c>
      <c r="I74" s="220">
        <f t="shared" si="6"/>
        <v>760</v>
      </c>
      <c r="J74" s="220">
        <f t="shared" si="7"/>
        <v>629</v>
      </c>
      <c r="K74" s="220">
        <f t="shared" si="69"/>
        <v>2532</v>
      </c>
      <c r="L74" s="220">
        <f t="shared" si="69"/>
        <v>2479</v>
      </c>
      <c r="M74" s="220">
        <f t="shared" si="69"/>
        <v>2451</v>
      </c>
      <c r="N74" s="220">
        <f t="shared" si="69"/>
        <v>2417</v>
      </c>
      <c r="O74" s="220">
        <f t="shared" si="69"/>
        <v>2548</v>
      </c>
      <c r="P74" s="220">
        <f t="shared" si="64"/>
        <v>2000</v>
      </c>
      <c r="Q74" s="220">
        <f t="shared" si="64"/>
        <v>2000</v>
      </c>
      <c r="R74" s="220">
        <f t="shared" si="64"/>
        <v>2000</v>
      </c>
      <c r="S74" s="220">
        <f t="shared" si="64"/>
        <v>2000</v>
      </c>
      <c r="T74" s="220">
        <f t="shared" si="64"/>
        <v>2000</v>
      </c>
      <c r="U74" s="220">
        <f t="shared" si="65"/>
        <v>532</v>
      </c>
      <c r="V74" s="220">
        <f t="shared" si="65"/>
        <v>479</v>
      </c>
      <c r="W74" s="220">
        <f t="shared" si="65"/>
        <v>451</v>
      </c>
      <c r="X74" s="220">
        <f t="shared" si="65"/>
        <v>417</v>
      </c>
      <c r="Y74" s="220">
        <f t="shared" si="65"/>
        <v>548</v>
      </c>
      <c r="Z74" s="220">
        <v>0</v>
      </c>
      <c r="AA74" s="220">
        <v>2</v>
      </c>
      <c r="AB74" s="220">
        <v>1</v>
      </c>
      <c r="AC74" s="220">
        <v>2</v>
      </c>
      <c r="AD74" s="220">
        <v>0</v>
      </c>
      <c r="AE74" s="220">
        <f t="shared" si="66"/>
        <v>-77</v>
      </c>
      <c r="AF74" s="220">
        <f t="shared" si="66"/>
        <v>-100</v>
      </c>
      <c r="AG74" s="220">
        <f t="shared" si="66"/>
        <v>-148</v>
      </c>
      <c r="AH74" s="220">
        <f t="shared" si="66"/>
        <v>-132</v>
      </c>
      <c r="AI74" s="220">
        <f t="shared" si="66"/>
        <v>-101</v>
      </c>
      <c r="AJ74" s="50">
        <f t="shared" si="12"/>
        <v>1.6510000000000038</v>
      </c>
      <c r="AK74" s="257"/>
      <c r="AL74" s="257">
        <f t="shared" si="13"/>
        <v>1.2</v>
      </c>
      <c r="AM74" s="52"/>
      <c r="AN74" s="88"/>
    </row>
    <row r="75" spans="1:40" s="29" customFormat="1" ht="17.25" customHeight="1">
      <c r="A75" s="48">
        <v>66</v>
      </c>
      <c r="B75" s="49">
        <f t="shared" si="0"/>
        <v>45618</v>
      </c>
      <c r="C75" s="220">
        <f t="shared" si="1"/>
        <v>1049</v>
      </c>
      <c r="D75" s="220">
        <f t="shared" ref="D75" si="82">D74-26</f>
        <v>2102</v>
      </c>
      <c r="E75" s="220">
        <f t="shared" si="2"/>
        <v>3151</v>
      </c>
      <c r="F75" s="220">
        <f t="shared" ref="F75:F138" si="83">E75-K75</f>
        <v>620</v>
      </c>
      <c r="G75" s="220">
        <f t="shared" ref="G75:G138" si="84">E75-L75</f>
        <v>672</v>
      </c>
      <c r="H75" s="220">
        <f t="shared" ref="H75:H138" si="85">E75-M75</f>
        <v>701</v>
      </c>
      <c r="I75" s="220">
        <f t="shared" ref="I75:I138" si="86">E75-N75</f>
        <v>734</v>
      </c>
      <c r="J75" s="220">
        <f t="shared" ref="J75:J138" si="87">E75-O75</f>
        <v>603</v>
      </c>
      <c r="K75" s="220">
        <f t="shared" si="69"/>
        <v>2531</v>
      </c>
      <c r="L75" s="220">
        <f t="shared" si="69"/>
        <v>2479</v>
      </c>
      <c r="M75" s="220">
        <f t="shared" si="69"/>
        <v>2450</v>
      </c>
      <c r="N75" s="220">
        <f t="shared" si="69"/>
        <v>2417</v>
      </c>
      <c r="O75" s="220">
        <f t="shared" si="69"/>
        <v>2548</v>
      </c>
      <c r="P75" s="220">
        <f t="shared" si="64"/>
        <v>2000</v>
      </c>
      <c r="Q75" s="220">
        <f t="shared" si="64"/>
        <v>2000</v>
      </c>
      <c r="R75" s="220">
        <f t="shared" si="64"/>
        <v>2000</v>
      </c>
      <c r="S75" s="220">
        <f t="shared" si="64"/>
        <v>2000</v>
      </c>
      <c r="T75" s="220">
        <f t="shared" si="64"/>
        <v>2000</v>
      </c>
      <c r="U75" s="220">
        <f t="shared" si="65"/>
        <v>531</v>
      </c>
      <c r="V75" s="220">
        <f t="shared" si="65"/>
        <v>479</v>
      </c>
      <c r="W75" s="220">
        <f t="shared" si="65"/>
        <v>450</v>
      </c>
      <c r="X75" s="220">
        <f t="shared" si="65"/>
        <v>417</v>
      </c>
      <c r="Y75" s="220">
        <f t="shared" si="65"/>
        <v>548</v>
      </c>
      <c r="Z75" s="220">
        <v>1</v>
      </c>
      <c r="AA75" s="220">
        <v>0</v>
      </c>
      <c r="AB75" s="220">
        <v>1</v>
      </c>
      <c r="AC75" s="220">
        <v>0</v>
      </c>
      <c r="AD75" s="220">
        <v>0</v>
      </c>
      <c r="AE75" s="220">
        <f t="shared" si="66"/>
        <v>-78</v>
      </c>
      <c r="AF75" s="220">
        <f t="shared" si="66"/>
        <v>-100</v>
      </c>
      <c r="AG75" s="220">
        <f t="shared" si="66"/>
        <v>-149</v>
      </c>
      <c r="AH75" s="220">
        <f t="shared" si="66"/>
        <v>-132</v>
      </c>
      <c r="AI75" s="220">
        <f t="shared" si="66"/>
        <v>-101</v>
      </c>
      <c r="AJ75" s="50">
        <f t="shared" si="12"/>
        <v>1.6500000000000039</v>
      </c>
      <c r="AK75" s="257"/>
      <c r="AL75" s="257">
        <f t="shared" si="13"/>
        <v>1.2</v>
      </c>
      <c r="AM75" s="52"/>
      <c r="AN75" s="88"/>
    </row>
    <row r="76" spans="1:40" s="29" customFormat="1" ht="17.25" customHeight="1">
      <c r="A76" s="48">
        <v>67</v>
      </c>
      <c r="B76" s="49">
        <f t="shared" ref="B76:B139" si="88">B75+1</f>
        <v>45619</v>
      </c>
      <c r="C76" s="220">
        <f t="shared" ref="C76:C139" si="89">+C75</f>
        <v>1049</v>
      </c>
      <c r="D76" s="220">
        <f t="shared" ref="D76" si="90">D75+15</f>
        <v>2117</v>
      </c>
      <c r="E76" s="220">
        <f t="shared" ref="E76:E139" si="91">+C76+D76</f>
        <v>3166</v>
      </c>
      <c r="F76" s="220">
        <f t="shared" si="83"/>
        <v>635</v>
      </c>
      <c r="G76" s="220">
        <f t="shared" si="84"/>
        <v>687</v>
      </c>
      <c r="H76" s="220">
        <f t="shared" si="85"/>
        <v>717</v>
      </c>
      <c r="I76" s="220">
        <f t="shared" si="86"/>
        <v>752</v>
      </c>
      <c r="J76" s="220">
        <f t="shared" si="87"/>
        <v>618</v>
      </c>
      <c r="K76" s="220">
        <f t="shared" si="69"/>
        <v>2531</v>
      </c>
      <c r="L76" s="220">
        <f t="shared" si="69"/>
        <v>2479</v>
      </c>
      <c r="M76" s="220">
        <f t="shared" si="69"/>
        <v>2449</v>
      </c>
      <c r="N76" s="220">
        <f t="shared" si="69"/>
        <v>2414</v>
      </c>
      <c r="O76" s="220">
        <f t="shared" si="69"/>
        <v>2548</v>
      </c>
      <c r="P76" s="220">
        <f t="shared" ref="P76:T91" si="92">+P75</f>
        <v>2000</v>
      </c>
      <c r="Q76" s="220">
        <f t="shared" si="92"/>
        <v>2000</v>
      </c>
      <c r="R76" s="220">
        <f t="shared" si="92"/>
        <v>2000</v>
      </c>
      <c r="S76" s="220">
        <f t="shared" si="92"/>
        <v>2000</v>
      </c>
      <c r="T76" s="220">
        <f t="shared" si="92"/>
        <v>2000</v>
      </c>
      <c r="U76" s="220">
        <f t="shared" ref="U76:Y91" si="93">U75-Z76</f>
        <v>531</v>
      </c>
      <c r="V76" s="220">
        <f t="shared" si="93"/>
        <v>479</v>
      </c>
      <c r="W76" s="220">
        <f t="shared" si="93"/>
        <v>449</v>
      </c>
      <c r="X76" s="220">
        <f t="shared" si="93"/>
        <v>414</v>
      </c>
      <c r="Y76" s="220">
        <f t="shared" si="93"/>
        <v>548</v>
      </c>
      <c r="Z76" s="220">
        <v>0</v>
      </c>
      <c r="AA76" s="220">
        <v>0</v>
      </c>
      <c r="AB76" s="220">
        <v>1</v>
      </c>
      <c r="AC76" s="220">
        <v>3</v>
      </c>
      <c r="AD76" s="220">
        <v>0</v>
      </c>
      <c r="AE76" s="220">
        <f t="shared" ref="AE76:AI91" si="94">AE75-Z76</f>
        <v>-78</v>
      </c>
      <c r="AF76" s="220">
        <f t="shared" si="94"/>
        <v>-100</v>
      </c>
      <c r="AG76" s="220">
        <f t="shared" si="94"/>
        <v>-150</v>
      </c>
      <c r="AH76" s="220">
        <f t="shared" si="94"/>
        <v>-135</v>
      </c>
      <c r="AI76" s="220">
        <f t="shared" si="94"/>
        <v>-101</v>
      </c>
      <c r="AJ76" s="50">
        <f t="shared" ref="AJ76:AJ139" si="95">AJ75-AB76/1000+AK76</f>
        <v>1.649000000000004</v>
      </c>
      <c r="AK76" s="257"/>
      <c r="AL76" s="257">
        <f t="shared" ref="AL76:AL139" si="96">AL75+AK76</f>
        <v>1.2</v>
      </c>
      <c r="AM76" s="52"/>
      <c r="AN76" s="88"/>
    </row>
    <row r="77" spans="1:40" s="29" customFormat="1" ht="17.25" customHeight="1">
      <c r="A77" s="48">
        <v>68</v>
      </c>
      <c r="B77" s="49">
        <f t="shared" si="88"/>
        <v>45620</v>
      </c>
      <c r="C77" s="220">
        <f t="shared" si="89"/>
        <v>1049</v>
      </c>
      <c r="D77" s="220">
        <f t="shared" ref="D77" si="97">D76+26</f>
        <v>2143</v>
      </c>
      <c r="E77" s="220">
        <f t="shared" si="91"/>
        <v>3192</v>
      </c>
      <c r="F77" s="220">
        <f t="shared" si="83"/>
        <v>661</v>
      </c>
      <c r="G77" s="220">
        <f t="shared" si="84"/>
        <v>713</v>
      </c>
      <c r="H77" s="220">
        <f t="shared" si="85"/>
        <v>744</v>
      </c>
      <c r="I77" s="220">
        <f t="shared" si="86"/>
        <v>778</v>
      </c>
      <c r="J77" s="220">
        <f t="shared" si="87"/>
        <v>644</v>
      </c>
      <c r="K77" s="220">
        <f t="shared" si="69"/>
        <v>2531</v>
      </c>
      <c r="L77" s="220">
        <f t="shared" si="69"/>
        <v>2479</v>
      </c>
      <c r="M77" s="220">
        <f t="shared" si="69"/>
        <v>2448</v>
      </c>
      <c r="N77" s="220">
        <f t="shared" si="69"/>
        <v>2414</v>
      </c>
      <c r="O77" s="220">
        <f t="shared" si="69"/>
        <v>2548</v>
      </c>
      <c r="P77" s="220">
        <f t="shared" si="92"/>
        <v>2000</v>
      </c>
      <c r="Q77" s="220">
        <f t="shared" si="92"/>
        <v>2000</v>
      </c>
      <c r="R77" s="220">
        <f t="shared" si="92"/>
        <v>2000</v>
      </c>
      <c r="S77" s="220">
        <f t="shared" si="92"/>
        <v>2000</v>
      </c>
      <c r="T77" s="220">
        <f t="shared" si="92"/>
        <v>2000</v>
      </c>
      <c r="U77" s="220">
        <f t="shared" si="93"/>
        <v>531</v>
      </c>
      <c r="V77" s="220">
        <f t="shared" si="93"/>
        <v>479</v>
      </c>
      <c r="W77" s="220">
        <f t="shared" si="93"/>
        <v>448</v>
      </c>
      <c r="X77" s="220">
        <f t="shared" si="93"/>
        <v>414</v>
      </c>
      <c r="Y77" s="220">
        <f t="shared" si="93"/>
        <v>548</v>
      </c>
      <c r="Z77" s="220">
        <v>0</v>
      </c>
      <c r="AA77" s="220">
        <v>0</v>
      </c>
      <c r="AB77" s="220">
        <v>1</v>
      </c>
      <c r="AC77" s="220">
        <v>0</v>
      </c>
      <c r="AD77" s="220">
        <v>0</v>
      </c>
      <c r="AE77" s="220">
        <f t="shared" si="94"/>
        <v>-78</v>
      </c>
      <c r="AF77" s="220">
        <f t="shared" si="94"/>
        <v>-100</v>
      </c>
      <c r="AG77" s="220">
        <f t="shared" si="94"/>
        <v>-151</v>
      </c>
      <c r="AH77" s="220">
        <f t="shared" si="94"/>
        <v>-135</v>
      </c>
      <c r="AI77" s="220">
        <f t="shared" si="94"/>
        <v>-101</v>
      </c>
      <c r="AJ77" s="50">
        <f t="shared" si="95"/>
        <v>1.6480000000000041</v>
      </c>
      <c r="AK77" s="257"/>
      <c r="AL77" s="257">
        <f t="shared" si="96"/>
        <v>1.2</v>
      </c>
      <c r="AM77" s="52"/>
      <c r="AN77" s="88"/>
    </row>
    <row r="78" spans="1:40" s="29" customFormat="1" ht="17.25" customHeight="1">
      <c r="A78" s="48">
        <v>69</v>
      </c>
      <c r="B78" s="49">
        <f t="shared" si="88"/>
        <v>45621</v>
      </c>
      <c r="C78" s="220">
        <f t="shared" si="89"/>
        <v>1049</v>
      </c>
      <c r="D78" s="220">
        <f t="shared" ref="D78" si="98">D77+32</f>
        <v>2175</v>
      </c>
      <c r="E78" s="220">
        <f t="shared" si="91"/>
        <v>3224</v>
      </c>
      <c r="F78" s="220">
        <f t="shared" si="83"/>
        <v>694</v>
      </c>
      <c r="G78" s="220">
        <f t="shared" si="84"/>
        <v>745</v>
      </c>
      <c r="H78" s="220">
        <f t="shared" si="85"/>
        <v>777</v>
      </c>
      <c r="I78" s="220">
        <f t="shared" si="86"/>
        <v>810</v>
      </c>
      <c r="J78" s="220">
        <f t="shared" si="87"/>
        <v>678</v>
      </c>
      <c r="K78" s="220">
        <f t="shared" si="69"/>
        <v>2530</v>
      </c>
      <c r="L78" s="220">
        <f t="shared" si="69"/>
        <v>2479</v>
      </c>
      <c r="M78" s="220">
        <f t="shared" si="69"/>
        <v>2447</v>
      </c>
      <c r="N78" s="220">
        <f t="shared" si="69"/>
        <v>2414</v>
      </c>
      <c r="O78" s="220">
        <f t="shared" si="69"/>
        <v>2546</v>
      </c>
      <c r="P78" s="220">
        <f t="shared" si="92"/>
        <v>2000</v>
      </c>
      <c r="Q78" s="220">
        <f t="shared" si="92"/>
        <v>2000</v>
      </c>
      <c r="R78" s="220">
        <f t="shared" si="92"/>
        <v>2000</v>
      </c>
      <c r="S78" s="220">
        <f t="shared" si="92"/>
        <v>2000</v>
      </c>
      <c r="T78" s="220">
        <f t="shared" si="92"/>
        <v>2000</v>
      </c>
      <c r="U78" s="220">
        <f t="shared" si="93"/>
        <v>530</v>
      </c>
      <c r="V78" s="220">
        <f t="shared" si="93"/>
        <v>479</v>
      </c>
      <c r="W78" s="220">
        <f t="shared" si="93"/>
        <v>447</v>
      </c>
      <c r="X78" s="220">
        <f t="shared" si="93"/>
        <v>414</v>
      </c>
      <c r="Y78" s="220">
        <f t="shared" si="93"/>
        <v>546</v>
      </c>
      <c r="Z78" s="220">
        <v>1</v>
      </c>
      <c r="AA78" s="220">
        <v>0</v>
      </c>
      <c r="AB78" s="220">
        <v>1</v>
      </c>
      <c r="AC78" s="220">
        <v>0</v>
      </c>
      <c r="AD78" s="220">
        <v>2</v>
      </c>
      <c r="AE78" s="220">
        <f t="shared" si="94"/>
        <v>-79</v>
      </c>
      <c r="AF78" s="220">
        <f t="shared" si="94"/>
        <v>-100</v>
      </c>
      <c r="AG78" s="220">
        <f t="shared" si="94"/>
        <v>-152</v>
      </c>
      <c r="AH78" s="220">
        <f t="shared" si="94"/>
        <v>-135</v>
      </c>
      <c r="AI78" s="220">
        <f t="shared" si="94"/>
        <v>-103</v>
      </c>
      <c r="AJ78" s="50">
        <f t="shared" si="95"/>
        <v>1.6470000000000042</v>
      </c>
      <c r="AK78" s="257"/>
      <c r="AL78" s="257">
        <f t="shared" si="96"/>
        <v>1.2</v>
      </c>
      <c r="AM78" s="52"/>
      <c r="AN78" s="88"/>
    </row>
    <row r="79" spans="1:40" s="29" customFormat="1" ht="17.25" customHeight="1">
      <c r="A79" s="48">
        <v>70</v>
      </c>
      <c r="B79" s="49">
        <f t="shared" si="88"/>
        <v>45622</v>
      </c>
      <c r="C79" s="220">
        <f t="shared" si="89"/>
        <v>1049</v>
      </c>
      <c r="D79" s="220">
        <f t="shared" ref="D79" si="99">D78-18</f>
        <v>2157</v>
      </c>
      <c r="E79" s="220">
        <f t="shared" si="91"/>
        <v>3206</v>
      </c>
      <c r="F79" s="220">
        <f t="shared" si="83"/>
        <v>676</v>
      </c>
      <c r="G79" s="220">
        <f t="shared" si="84"/>
        <v>729</v>
      </c>
      <c r="H79" s="220">
        <f t="shared" si="85"/>
        <v>760</v>
      </c>
      <c r="I79" s="220">
        <f t="shared" si="86"/>
        <v>795</v>
      </c>
      <c r="J79" s="220">
        <f t="shared" si="87"/>
        <v>660</v>
      </c>
      <c r="K79" s="220">
        <f t="shared" si="69"/>
        <v>2530</v>
      </c>
      <c r="L79" s="220">
        <f t="shared" si="69"/>
        <v>2477</v>
      </c>
      <c r="M79" s="220">
        <f t="shared" si="69"/>
        <v>2446</v>
      </c>
      <c r="N79" s="220">
        <f t="shared" si="69"/>
        <v>2411</v>
      </c>
      <c r="O79" s="220">
        <f t="shared" si="69"/>
        <v>2546</v>
      </c>
      <c r="P79" s="220">
        <f t="shared" si="92"/>
        <v>2000</v>
      </c>
      <c r="Q79" s="220">
        <f t="shared" si="92"/>
        <v>2000</v>
      </c>
      <c r="R79" s="220">
        <f t="shared" si="92"/>
        <v>2000</v>
      </c>
      <c r="S79" s="220">
        <f t="shared" si="92"/>
        <v>2000</v>
      </c>
      <c r="T79" s="220">
        <f t="shared" si="92"/>
        <v>2000</v>
      </c>
      <c r="U79" s="220">
        <f t="shared" si="93"/>
        <v>530</v>
      </c>
      <c r="V79" s="220">
        <f t="shared" si="93"/>
        <v>477</v>
      </c>
      <c r="W79" s="220">
        <f t="shared" si="93"/>
        <v>446</v>
      </c>
      <c r="X79" s="220">
        <f t="shared" si="93"/>
        <v>411</v>
      </c>
      <c r="Y79" s="220">
        <f t="shared" si="93"/>
        <v>546</v>
      </c>
      <c r="Z79" s="220">
        <v>0</v>
      </c>
      <c r="AA79" s="220">
        <v>2</v>
      </c>
      <c r="AB79" s="220">
        <v>1</v>
      </c>
      <c r="AC79" s="220">
        <v>3</v>
      </c>
      <c r="AD79" s="220">
        <v>0</v>
      </c>
      <c r="AE79" s="220">
        <f t="shared" si="94"/>
        <v>-79</v>
      </c>
      <c r="AF79" s="220">
        <f t="shared" si="94"/>
        <v>-102</v>
      </c>
      <c r="AG79" s="220">
        <f t="shared" si="94"/>
        <v>-153</v>
      </c>
      <c r="AH79" s="220">
        <f t="shared" si="94"/>
        <v>-138</v>
      </c>
      <c r="AI79" s="220">
        <f t="shared" si="94"/>
        <v>-103</v>
      </c>
      <c r="AJ79" s="50">
        <f t="shared" si="95"/>
        <v>1.6460000000000043</v>
      </c>
      <c r="AK79" s="257"/>
      <c r="AL79" s="257">
        <f t="shared" si="96"/>
        <v>1.2</v>
      </c>
      <c r="AM79" s="52"/>
      <c r="AN79" s="88"/>
    </row>
    <row r="80" spans="1:40" s="29" customFormat="1" ht="17.25" customHeight="1">
      <c r="A80" s="48">
        <v>71</v>
      </c>
      <c r="B80" s="49">
        <f t="shared" si="88"/>
        <v>45623</v>
      </c>
      <c r="C80" s="220">
        <f t="shared" si="89"/>
        <v>1049</v>
      </c>
      <c r="D80" s="220">
        <f t="shared" ref="D80" si="100">D79-26</f>
        <v>2131</v>
      </c>
      <c r="E80" s="220">
        <f t="shared" si="91"/>
        <v>3180</v>
      </c>
      <c r="F80" s="220">
        <f t="shared" si="83"/>
        <v>651</v>
      </c>
      <c r="G80" s="220">
        <f t="shared" si="84"/>
        <v>703</v>
      </c>
      <c r="H80" s="220">
        <f t="shared" si="85"/>
        <v>734</v>
      </c>
      <c r="I80" s="220">
        <f t="shared" si="86"/>
        <v>772</v>
      </c>
      <c r="J80" s="220">
        <f t="shared" si="87"/>
        <v>634</v>
      </c>
      <c r="K80" s="220">
        <f t="shared" si="69"/>
        <v>2529</v>
      </c>
      <c r="L80" s="220">
        <f t="shared" si="69"/>
        <v>2477</v>
      </c>
      <c r="M80" s="220">
        <f t="shared" si="69"/>
        <v>2446</v>
      </c>
      <c r="N80" s="220">
        <f t="shared" si="69"/>
        <v>2408</v>
      </c>
      <c r="O80" s="220">
        <f t="shared" si="69"/>
        <v>2546</v>
      </c>
      <c r="P80" s="220">
        <f t="shared" si="92"/>
        <v>2000</v>
      </c>
      <c r="Q80" s="220">
        <f t="shared" si="92"/>
        <v>2000</v>
      </c>
      <c r="R80" s="220">
        <f t="shared" si="92"/>
        <v>2000</v>
      </c>
      <c r="S80" s="220">
        <f t="shared" si="92"/>
        <v>2000</v>
      </c>
      <c r="T80" s="220">
        <f t="shared" si="92"/>
        <v>2000</v>
      </c>
      <c r="U80" s="220">
        <f t="shared" si="93"/>
        <v>529</v>
      </c>
      <c r="V80" s="220">
        <f t="shared" si="93"/>
        <v>477</v>
      </c>
      <c r="W80" s="220">
        <f t="shared" si="93"/>
        <v>446</v>
      </c>
      <c r="X80" s="220">
        <f t="shared" si="93"/>
        <v>408</v>
      </c>
      <c r="Y80" s="220">
        <f t="shared" si="93"/>
        <v>546</v>
      </c>
      <c r="Z80" s="220">
        <v>1</v>
      </c>
      <c r="AA80" s="220">
        <v>0</v>
      </c>
      <c r="AB80" s="220">
        <v>0</v>
      </c>
      <c r="AC80" s="220">
        <v>3</v>
      </c>
      <c r="AD80" s="220">
        <v>0</v>
      </c>
      <c r="AE80" s="220">
        <f t="shared" si="94"/>
        <v>-80</v>
      </c>
      <c r="AF80" s="220">
        <f t="shared" si="94"/>
        <v>-102</v>
      </c>
      <c r="AG80" s="220">
        <f t="shared" si="94"/>
        <v>-153</v>
      </c>
      <c r="AH80" s="220">
        <f t="shared" si="94"/>
        <v>-141</v>
      </c>
      <c r="AI80" s="220">
        <f t="shared" si="94"/>
        <v>-103</v>
      </c>
      <c r="AJ80" s="50">
        <f t="shared" si="95"/>
        <v>1.6460000000000043</v>
      </c>
      <c r="AK80" s="257"/>
      <c r="AL80" s="257">
        <f t="shared" si="96"/>
        <v>1.2</v>
      </c>
      <c r="AM80" s="52"/>
      <c r="AN80" s="88"/>
    </row>
    <row r="81" spans="1:40" s="29" customFormat="1" ht="17.25" customHeight="1">
      <c r="A81" s="48">
        <v>72</v>
      </c>
      <c r="B81" s="49">
        <f t="shared" si="88"/>
        <v>45624</v>
      </c>
      <c r="C81" s="220">
        <f t="shared" si="89"/>
        <v>1049</v>
      </c>
      <c r="D81" s="220">
        <f t="shared" ref="D81" si="101">D80+15</f>
        <v>2146</v>
      </c>
      <c r="E81" s="220">
        <f t="shared" si="91"/>
        <v>3195</v>
      </c>
      <c r="F81" s="220">
        <f t="shared" si="83"/>
        <v>668</v>
      </c>
      <c r="G81" s="220">
        <f t="shared" si="84"/>
        <v>721</v>
      </c>
      <c r="H81" s="220">
        <f t="shared" si="85"/>
        <v>753</v>
      </c>
      <c r="I81" s="220">
        <f t="shared" si="86"/>
        <v>789</v>
      </c>
      <c r="J81" s="220">
        <f t="shared" si="87"/>
        <v>649</v>
      </c>
      <c r="K81" s="220">
        <f t="shared" si="69"/>
        <v>2527</v>
      </c>
      <c r="L81" s="220">
        <f t="shared" si="69"/>
        <v>2474</v>
      </c>
      <c r="M81" s="220">
        <f t="shared" si="69"/>
        <v>2442</v>
      </c>
      <c r="N81" s="220">
        <f t="shared" si="69"/>
        <v>2406</v>
      </c>
      <c r="O81" s="220">
        <f t="shared" si="69"/>
        <v>2546</v>
      </c>
      <c r="P81" s="220">
        <f t="shared" si="92"/>
        <v>2000</v>
      </c>
      <c r="Q81" s="220">
        <f t="shared" si="92"/>
        <v>2000</v>
      </c>
      <c r="R81" s="220">
        <f t="shared" si="92"/>
        <v>2000</v>
      </c>
      <c r="S81" s="220">
        <f t="shared" si="92"/>
        <v>2000</v>
      </c>
      <c r="T81" s="220">
        <f t="shared" si="92"/>
        <v>2000</v>
      </c>
      <c r="U81" s="220">
        <f t="shared" si="93"/>
        <v>527</v>
      </c>
      <c r="V81" s="220">
        <f t="shared" si="93"/>
        <v>474</v>
      </c>
      <c r="W81" s="220">
        <f t="shared" si="93"/>
        <v>442</v>
      </c>
      <c r="X81" s="220">
        <f t="shared" si="93"/>
        <v>406</v>
      </c>
      <c r="Y81" s="220">
        <f t="shared" si="93"/>
        <v>546</v>
      </c>
      <c r="Z81" s="220">
        <v>2</v>
      </c>
      <c r="AA81" s="220">
        <v>3</v>
      </c>
      <c r="AB81" s="220">
        <v>4</v>
      </c>
      <c r="AC81" s="220">
        <v>2</v>
      </c>
      <c r="AD81" s="220">
        <v>0</v>
      </c>
      <c r="AE81" s="220">
        <f t="shared" si="94"/>
        <v>-82</v>
      </c>
      <c r="AF81" s="220">
        <f t="shared" si="94"/>
        <v>-105</v>
      </c>
      <c r="AG81" s="220">
        <f t="shared" si="94"/>
        <v>-157</v>
      </c>
      <c r="AH81" s="220">
        <f t="shared" si="94"/>
        <v>-143</v>
      </c>
      <c r="AI81" s="220">
        <f t="shared" si="94"/>
        <v>-103</v>
      </c>
      <c r="AJ81" s="50">
        <f t="shared" si="95"/>
        <v>1.6420000000000043</v>
      </c>
      <c r="AK81" s="257"/>
      <c r="AL81" s="257">
        <f t="shared" si="96"/>
        <v>1.2</v>
      </c>
      <c r="AM81" s="52"/>
      <c r="AN81" s="88"/>
    </row>
    <row r="82" spans="1:40" s="29" customFormat="1" ht="17.25" customHeight="1">
      <c r="A82" s="48">
        <v>73</v>
      </c>
      <c r="B82" s="49">
        <f t="shared" si="88"/>
        <v>45625</v>
      </c>
      <c r="C82" s="220">
        <f t="shared" si="89"/>
        <v>1049</v>
      </c>
      <c r="D82" s="220">
        <f t="shared" ref="D82" si="102">D81+26</f>
        <v>2172</v>
      </c>
      <c r="E82" s="220">
        <f t="shared" si="91"/>
        <v>3221</v>
      </c>
      <c r="F82" s="220">
        <f t="shared" si="83"/>
        <v>695</v>
      </c>
      <c r="G82" s="220">
        <f t="shared" si="84"/>
        <v>747</v>
      </c>
      <c r="H82" s="220">
        <f t="shared" si="85"/>
        <v>781</v>
      </c>
      <c r="I82" s="220">
        <f t="shared" si="86"/>
        <v>815</v>
      </c>
      <c r="J82" s="220">
        <f t="shared" si="87"/>
        <v>675</v>
      </c>
      <c r="K82" s="220">
        <f t="shared" si="69"/>
        <v>2526</v>
      </c>
      <c r="L82" s="220">
        <f t="shared" si="69"/>
        <v>2474</v>
      </c>
      <c r="M82" s="220">
        <f t="shared" si="69"/>
        <v>2440</v>
      </c>
      <c r="N82" s="220">
        <f t="shared" si="69"/>
        <v>2406</v>
      </c>
      <c r="O82" s="220">
        <f t="shared" si="69"/>
        <v>2546</v>
      </c>
      <c r="P82" s="220">
        <f t="shared" si="92"/>
        <v>2000</v>
      </c>
      <c r="Q82" s="220">
        <f t="shared" si="92"/>
        <v>2000</v>
      </c>
      <c r="R82" s="220">
        <f t="shared" si="92"/>
        <v>2000</v>
      </c>
      <c r="S82" s="220">
        <f t="shared" si="92"/>
        <v>2000</v>
      </c>
      <c r="T82" s="220">
        <f t="shared" si="92"/>
        <v>2000</v>
      </c>
      <c r="U82" s="220">
        <f t="shared" si="93"/>
        <v>526</v>
      </c>
      <c r="V82" s="220">
        <f t="shared" si="93"/>
        <v>474</v>
      </c>
      <c r="W82" s="220">
        <f t="shared" si="93"/>
        <v>440</v>
      </c>
      <c r="X82" s="220">
        <f t="shared" si="93"/>
        <v>406</v>
      </c>
      <c r="Y82" s="220">
        <f t="shared" si="93"/>
        <v>546</v>
      </c>
      <c r="Z82" s="220">
        <v>1</v>
      </c>
      <c r="AA82" s="220">
        <v>0</v>
      </c>
      <c r="AB82" s="220">
        <v>2</v>
      </c>
      <c r="AC82" s="220">
        <v>0</v>
      </c>
      <c r="AD82" s="220">
        <v>0</v>
      </c>
      <c r="AE82" s="220">
        <f t="shared" si="94"/>
        <v>-83</v>
      </c>
      <c r="AF82" s="220">
        <f t="shared" si="94"/>
        <v>-105</v>
      </c>
      <c r="AG82" s="220">
        <f t="shared" si="94"/>
        <v>-159</v>
      </c>
      <c r="AH82" s="220">
        <f t="shared" si="94"/>
        <v>-143</v>
      </c>
      <c r="AI82" s="220">
        <f t="shared" si="94"/>
        <v>-103</v>
      </c>
      <c r="AJ82" s="50">
        <f t="shared" si="95"/>
        <v>1.6400000000000043</v>
      </c>
      <c r="AK82" s="257"/>
      <c r="AL82" s="257">
        <f t="shared" si="96"/>
        <v>1.2</v>
      </c>
      <c r="AM82" s="52"/>
      <c r="AN82" s="88"/>
    </row>
    <row r="83" spans="1:40" s="29" customFormat="1" ht="17.25" customHeight="1">
      <c r="A83" s="48">
        <v>74</v>
      </c>
      <c r="B83" s="49">
        <f t="shared" si="88"/>
        <v>45626</v>
      </c>
      <c r="C83" s="220">
        <f t="shared" si="89"/>
        <v>1049</v>
      </c>
      <c r="D83" s="220">
        <f t="shared" ref="D83" si="103">D82+32</f>
        <v>2204</v>
      </c>
      <c r="E83" s="220">
        <f t="shared" si="91"/>
        <v>3253</v>
      </c>
      <c r="F83" s="220">
        <f t="shared" si="83"/>
        <v>727</v>
      </c>
      <c r="G83" s="220">
        <f t="shared" si="84"/>
        <v>779</v>
      </c>
      <c r="H83" s="220">
        <f t="shared" si="85"/>
        <v>813</v>
      </c>
      <c r="I83" s="220">
        <f t="shared" si="86"/>
        <v>847</v>
      </c>
      <c r="J83" s="220">
        <f t="shared" si="87"/>
        <v>707</v>
      </c>
      <c r="K83" s="220">
        <f t="shared" si="69"/>
        <v>2526</v>
      </c>
      <c r="L83" s="220">
        <f t="shared" si="69"/>
        <v>2474</v>
      </c>
      <c r="M83" s="220">
        <f t="shared" si="69"/>
        <v>2440</v>
      </c>
      <c r="N83" s="220">
        <f t="shared" si="69"/>
        <v>2406</v>
      </c>
      <c r="O83" s="220">
        <f t="shared" si="69"/>
        <v>2546</v>
      </c>
      <c r="P83" s="220">
        <f t="shared" si="92"/>
        <v>2000</v>
      </c>
      <c r="Q83" s="220">
        <f t="shared" si="92"/>
        <v>2000</v>
      </c>
      <c r="R83" s="220">
        <f t="shared" si="92"/>
        <v>2000</v>
      </c>
      <c r="S83" s="220">
        <f t="shared" si="92"/>
        <v>2000</v>
      </c>
      <c r="T83" s="220">
        <f t="shared" si="92"/>
        <v>2000</v>
      </c>
      <c r="U83" s="220">
        <f t="shared" si="93"/>
        <v>526</v>
      </c>
      <c r="V83" s="220">
        <f t="shared" si="93"/>
        <v>474</v>
      </c>
      <c r="W83" s="220">
        <f t="shared" si="93"/>
        <v>440</v>
      </c>
      <c r="X83" s="220">
        <f t="shared" si="93"/>
        <v>406</v>
      </c>
      <c r="Y83" s="220">
        <f t="shared" si="93"/>
        <v>546</v>
      </c>
      <c r="Z83" s="220">
        <v>0</v>
      </c>
      <c r="AA83" s="220">
        <v>0</v>
      </c>
      <c r="AB83" s="220">
        <v>0</v>
      </c>
      <c r="AC83" s="220">
        <v>0</v>
      </c>
      <c r="AD83" s="220">
        <v>0</v>
      </c>
      <c r="AE83" s="220">
        <f t="shared" si="94"/>
        <v>-83</v>
      </c>
      <c r="AF83" s="220">
        <f t="shared" si="94"/>
        <v>-105</v>
      </c>
      <c r="AG83" s="220">
        <f t="shared" si="94"/>
        <v>-159</v>
      </c>
      <c r="AH83" s="220">
        <f t="shared" si="94"/>
        <v>-143</v>
      </c>
      <c r="AI83" s="220">
        <f t="shared" si="94"/>
        <v>-103</v>
      </c>
      <c r="AJ83" s="50">
        <f t="shared" si="95"/>
        <v>1.6400000000000043</v>
      </c>
      <c r="AK83" s="257"/>
      <c r="AL83" s="257">
        <f t="shared" si="96"/>
        <v>1.2</v>
      </c>
      <c r="AM83" s="52"/>
      <c r="AN83" s="88"/>
    </row>
    <row r="84" spans="1:40" s="29" customFormat="1" ht="17.25" customHeight="1">
      <c r="A84" s="48">
        <v>75</v>
      </c>
      <c r="B84" s="49">
        <f t="shared" si="88"/>
        <v>45627</v>
      </c>
      <c r="C84" s="220">
        <f t="shared" si="89"/>
        <v>1049</v>
      </c>
      <c r="D84" s="220">
        <f t="shared" ref="D84" si="104">D83-18</f>
        <v>2186</v>
      </c>
      <c r="E84" s="220">
        <f t="shared" si="91"/>
        <v>3235</v>
      </c>
      <c r="F84" s="220">
        <f t="shared" si="83"/>
        <v>710</v>
      </c>
      <c r="G84" s="220">
        <f t="shared" si="84"/>
        <v>762</v>
      </c>
      <c r="H84" s="220">
        <f t="shared" si="85"/>
        <v>798</v>
      </c>
      <c r="I84" s="220">
        <f t="shared" si="86"/>
        <v>830</v>
      </c>
      <c r="J84" s="220">
        <f t="shared" si="87"/>
        <v>691</v>
      </c>
      <c r="K84" s="220">
        <f t="shared" si="69"/>
        <v>2525</v>
      </c>
      <c r="L84" s="220">
        <f t="shared" si="69"/>
        <v>2473</v>
      </c>
      <c r="M84" s="220">
        <f t="shared" si="69"/>
        <v>2437</v>
      </c>
      <c r="N84" s="220">
        <f t="shared" si="69"/>
        <v>2405</v>
      </c>
      <c r="O84" s="220">
        <f t="shared" si="69"/>
        <v>2544</v>
      </c>
      <c r="P84" s="220">
        <f t="shared" si="92"/>
        <v>2000</v>
      </c>
      <c r="Q84" s="220">
        <f t="shared" si="92"/>
        <v>2000</v>
      </c>
      <c r="R84" s="220">
        <f t="shared" si="92"/>
        <v>2000</v>
      </c>
      <c r="S84" s="220">
        <f t="shared" si="92"/>
        <v>2000</v>
      </c>
      <c r="T84" s="220">
        <f t="shared" si="92"/>
        <v>2000</v>
      </c>
      <c r="U84" s="220">
        <f t="shared" si="93"/>
        <v>525</v>
      </c>
      <c r="V84" s="220">
        <f t="shared" si="93"/>
        <v>473</v>
      </c>
      <c r="W84" s="220">
        <f t="shared" si="93"/>
        <v>437</v>
      </c>
      <c r="X84" s="220">
        <f t="shared" si="93"/>
        <v>405</v>
      </c>
      <c r="Y84" s="220">
        <f t="shared" si="93"/>
        <v>544</v>
      </c>
      <c r="Z84" s="220">
        <v>1</v>
      </c>
      <c r="AA84" s="220">
        <v>1</v>
      </c>
      <c r="AB84" s="220">
        <v>3</v>
      </c>
      <c r="AC84" s="220">
        <v>1</v>
      </c>
      <c r="AD84" s="220">
        <v>2</v>
      </c>
      <c r="AE84" s="220">
        <f t="shared" si="94"/>
        <v>-84</v>
      </c>
      <c r="AF84" s="220">
        <f t="shared" si="94"/>
        <v>-106</v>
      </c>
      <c r="AG84" s="220">
        <f t="shared" si="94"/>
        <v>-162</v>
      </c>
      <c r="AH84" s="220">
        <f t="shared" si="94"/>
        <v>-144</v>
      </c>
      <c r="AI84" s="220">
        <f t="shared" si="94"/>
        <v>-105</v>
      </c>
      <c r="AJ84" s="50">
        <f t="shared" si="95"/>
        <v>1.6370000000000045</v>
      </c>
      <c r="AK84" s="257"/>
      <c r="AL84" s="257">
        <f t="shared" si="96"/>
        <v>1.2</v>
      </c>
      <c r="AM84" s="52"/>
      <c r="AN84" s="88"/>
    </row>
    <row r="85" spans="1:40" s="29" customFormat="1" ht="17.25" customHeight="1">
      <c r="A85" s="48">
        <v>76</v>
      </c>
      <c r="B85" s="49">
        <f t="shared" si="88"/>
        <v>45628</v>
      </c>
      <c r="C85" s="220">
        <f t="shared" si="89"/>
        <v>1049</v>
      </c>
      <c r="D85" s="220">
        <f t="shared" ref="D85" si="105">D84-26</f>
        <v>2160</v>
      </c>
      <c r="E85" s="220">
        <f t="shared" si="91"/>
        <v>3209</v>
      </c>
      <c r="F85" s="220">
        <f t="shared" si="83"/>
        <v>684</v>
      </c>
      <c r="G85" s="220">
        <f t="shared" si="84"/>
        <v>737</v>
      </c>
      <c r="H85" s="220">
        <f t="shared" si="85"/>
        <v>772</v>
      </c>
      <c r="I85" s="220">
        <f t="shared" si="86"/>
        <v>805</v>
      </c>
      <c r="J85" s="220">
        <f t="shared" si="87"/>
        <v>665</v>
      </c>
      <c r="K85" s="220">
        <f t="shared" si="69"/>
        <v>2525</v>
      </c>
      <c r="L85" s="220">
        <f t="shared" si="69"/>
        <v>2472</v>
      </c>
      <c r="M85" s="220">
        <f t="shared" si="69"/>
        <v>2437</v>
      </c>
      <c r="N85" s="220">
        <f t="shared" si="69"/>
        <v>2404</v>
      </c>
      <c r="O85" s="220">
        <f t="shared" si="69"/>
        <v>2544</v>
      </c>
      <c r="P85" s="220">
        <f t="shared" si="92"/>
        <v>2000</v>
      </c>
      <c r="Q85" s="220">
        <f t="shared" si="92"/>
        <v>2000</v>
      </c>
      <c r="R85" s="220">
        <f t="shared" si="92"/>
        <v>2000</v>
      </c>
      <c r="S85" s="220">
        <f t="shared" si="92"/>
        <v>2000</v>
      </c>
      <c r="T85" s="220">
        <f t="shared" si="92"/>
        <v>2000</v>
      </c>
      <c r="U85" s="220">
        <f t="shared" si="93"/>
        <v>525</v>
      </c>
      <c r="V85" s="220">
        <f t="shared" si="93"/>
        <v>472</v>
      </c>
      <c r="W85" s="220">
        <f t="shared" si="93"/>
        <v>437</v>
      </c>
      <c r="X85" s="220">
        <f t="shared" si="93"/>
        <v>404</v>
      </c>
      <c r="Y85" s="220">
        <f t="shared" si="93"/>
        <v>544</v>
      </c>
      <c r="Z85" s="220">
        <v>0</v>
      </c>
      <c r="AA85" s="220">
        <v>1</v>
      </c>
      <c r="AB85" s="220">
        <v>0</v>
      </c>
      <c r="AC85" s="220">
        <v>1</v>
      </c>
      <c r="AD85" s="220">
        <v>0</v>
      </c>
      <c r="AE85" s="220">
        <f t="shared" si="94"/>
        <v>-84</v>
      </c>
      <c r="AF85" s="220">
        <f t="shared" si="94"/>
        <v>-107</v>
      </c>
      <c r="AG85" s="220">
        <f t="shared" si="94"/>
        <v>-162</v>
      </c>
      <c r="AH85" s="220">
        <f t="shared" si="94"/>
        <v>-145</v>
      </c>
      <c r="AI85" s="220">
        <f t="shared" si="94"/>
        <v>-105</v>
      </c>
      <c r="AJ85" s="50">
        <f t="shared" si="95"/>
        <v>1.6370000000000045</v>
      </c>
      <c r="AK85" s="257"/>
      <c r="AL85" s="257">
        <f t="shared" si="96"/>
        <v>1.2</v>
      </c>
      <c r="AM85" s="52"/>
      <c r="AN85" s="88"/>
    </row>
    <row r="86" spans="1:40" s="29" customFormat="1" ht="17.25" customHeight="1">
      <c r="A86" s="48">
        <v>77</v>
      </c>
      <c r="B86" s="49">
        <f t="shared" si="88"/>
        <v>45629</v>
      </c>
      <c r="C86" s="220">
        <f t="shared" si="89"/>
        <v>1049</v>
      </c>
      <c r="D86" s="220">
        <f t="shared" ref="D86" si="106">D85+15</f>
        <v>2175</v>
      </c>
      <c r="E86" s="220">
        <f t="shared" si="91"/>
        <v>3224</v>
      </c>
      <c r="F86" s="220">
        <f t="shared" si="83"/>
        <v>700</v>
      </c>
      <c r="G86" s="220">
        <f t="shared" si="84"/>
        <v>755</v>
      </c>
      <c r="H86" s="220">
        <f t="shared" si="85"/>
        <v>788</v>
      </c>
      <c r="I86" s="220">
        <f t="shared" si="86"/>
        <v>823</v>
      </c>
      <c r="J86" s="220">
        <f t="shared" si="87"/>
        <v>680</v>
      </c>
      <c r="K86" s="220">
        <f t="shared" si="69"/>
        <v>2524</v>
      </c>
      <c r="L86" s="220">
        <f t="shared" si="69"/>
        <v>2469</v>
      </c>
      <c r="M86" s="220">
        <f t="shared" si="69"/>
        <v>2436</v>
      </c>
      <c r="N86" s="220">
        <f t="shared" si="69"/>
        <v>2401</v>
      </c>
      <c r="O86" s="220">
        <f t="shared" si="69"/>
        <v>2544</v>
      </c>
      <c r="P86" s="220">
        <f t="shared" si="92"/>
        <v>2000</v>
      </c>
      <c r="Q86" s="220">
        <f t="shared" si="92"/>
        <v>2000</v>
      </c>
      <c r="R86" s="220">
        <f t="shared" si="92"/>
        <v>2000</v>
      </c>
      <c r="S86" s="220">
        <f t="shared" si="92"/>
        <v>2000</v>
      </c>
      <c r="T86" s="220">
        <f t="shared" si="92"/>
        <v>2000</v>
      </c>
      <c r="U86" s="220">
        <f t="shared" si="93"/>
        <v>524</v>
      </c>
      <c r="V86" s="220">
        <f t="shared" si="93"/>
        <v>469</v>
      </c>
      <c r="W86" s="220">
        <f t="shared" si="93"/>
        <v>436</v>
      </c>
      <c r="X86" s="220">
        <f t="shared" si="93"/>
        <v>401</v>
      </c>
      <c r="Y86" s="220">
        <f t="shared" si="93"/>
        <v>544</v>
      </c>
      <c r="Z86" s="220">
        <v>1</v>
      </c>
      <c r="AA86" s="220">
        <v>3</v>
      </c>
      <c r="AB86" s="220">
        <v>1</v>
      </c>
      <c r="AC86" s="220">
        <v>3</v>
      </c>
      <c r="AD86" s="220">
        <v>0</v>
      </c>
      <c r="AE86" s="220">
        <f t="shared" si="94"/>
        <v>-85</v>
      </c>
      <c r="AF86" s="220">
        <f t="shared" si="94"/>
        <v>-110</v>
      </c>
      <c r="AG86" s="220">
        <f t="shared" si="94"/>
        <v>-163</v>
      </c>
      <c r="AH86" s="220">
        <f t="shared" si="94"/>
        <v>-148</v>
      </c>
      <c r="AI86" s="220">
        <f t="shared" si="94"/>
        <v>-105</v>
      </c>
      <c r="AJ86" s="50">
        <f t="shared" si="95"/>
        <v>1.6360000000000046</v>
      </c>
      <c r="AK86" s="257"/>
      <c r="AL86" s="257">
        <f t="shared" si="96"/>
        <v>1.2</v>
      </c>
      <c r="AM86" s="52"/>
      <c r="AN86" s="88"/>
    </row>
    <row r="87" spans="1:40" s="29" customFormat="1" ht="17.25" customHeight="1">
      <c r="A87" s="48">
        <v>78</v>
      </c>
      <c r="B87" s="49">
        <f t="shared" si="88"/>
        <v>45630</v>
      </c>
      <c r="C87" s="220">
        <f t="shared" si="89"/>
        <v>1049</v>
      </c>
      <c r="D87" s="220">
        <f t="shared" ref="D87" si="107">D86+26</f>
        <v>2201</v>
      </c>
      <c r="E87" s="220">
        <f t="shared" si="91"/>
        <v>3250</v>
      </c>
      <c r="F87" s="220">
        <f t="shared" si="83"/>
        <v>727</v>
      </c>
      <c r="G87" s="220">
        <f t="shared" si="84"/>
        <v>782</v>
      </c>
      <c r="H87" s="220">
        <f t="shared" si="85"/>
        <v>815</v>
      </c>
      <c r="I87" s="220">
        <f t="shared" si="86"/>
        <v>850</v>
      </c>
      <c r="J87" s="220">
        <f t="shared" si="87"/>
        <v>706</v>
      </c>
      <c r="K87" s="220">
        <f t="shared" si="69"/>
        <v>2523</v>
      </c>
      <c r="L87" s="220">
        <f t="shared" si="69"/>
        <v>2468</v>
      </c>
      <c r="M87" s="220">
        <f t="shared" si="69"/>
        <v>2435</v>
      </c>
      <c r="N87" s="220">
        <f t="shared" si="69"/>
        <v>2400</v>
      </c>
      <c r="O87" s="220">
        <f t="shared" si="69"/>
        <v>2544</v>
      </c>
      <c r="P87" s="220">
        <f t="shared" si="92"/>
        <v>2000</v>
      </c>
      <c r="Q87" s="220">
        <f t="shared" si="92"/>
        <v>2000</v>
      </c>
      <c r="R87" s="220">
        <f t="shared" si="92"/>
        <v>2000</v>
      </c>
      <c r="S87" s="220">
        <f t="shared" si="92"/>
        <v>2000</v>
      </c>
      <c r="T87" s="220">
        <f t="shared" si="92"/>
        <v>2000</v>
      </c>
      <c r="U87" s="220">
        <f t="shared" si="93"/>
        <v>523</v>
      </c>
      <c r="V87" s="220">
        <f t="shared" si="93"/>
        <v>468</v>
      </c>
      <c r="W87" s="220">
        <f t="shared" si="93"/>
        <v>435</v>
      </c>
      <c r="X87" s="220">
        <f t="shared" si="93"/>
        <v>400</v>
      </c>
      <c r="Y87" s="220">
        <f t="shared" si="93"/>
        <v>544</v>
      </c>
      <c r="Z87" s="220">
        <v>1</v>
      </c>
      <c r="AA87" s="220">
        <v>1</v>
      </c>
      <c r="AB87" s="220">
        <v>1</v>
      </c>
      <c r="AC87" s="220">
        <v>1</v>
      </c>
      <c r="AD87" s="220">
        <v>0</v>
      </c>
      <c r="AE87" s="220">
        <f t="shared" si="94"/>
        <v>-86</v>
      </c>
      <c r="AF87" s="220">
        <f t="shared" si="94"/>
        <v>-111</v>
      </c>
      <c r="AG87" s="220">
        <f t="shared" si="94"/>
        <v>-164</v>
      </c>
      <c r="AH87" s="220">
        <f t="shared" si="94"/>
        <v>-149</v>
      </c>
      <c r="AI87" s="220">
        <f t="shared" si="94"/>
        <v>-105</v>
      </c>
      <c r="AJ87" s="50">
        <f t="shared" si="95"/>
        <v>1.6350000000000047</v>
      </c>
      <c r="AK87" s="257"/>
      <c r="AL87" s="257">
        <f t="shared" si="96"/>
        <v>1.2</v>
      </c>
      <c r="AM87" s="52"/>
      <c r="AN87" s="88"/>
    </row>
    <row r="88" spans="1:40" s="29" customFormat="1" ht="17.25" customHeight="1">
      <c r="A88" s="48">
        <v>79</v>
      </c>
      <c r="B88" s="49">
        <f t="shared" si="88"/>
        <v>45631</v>
      </c>
      <c r="C88" s="220">
        <f t="shared" si="89"/>
        <v>1049</v>
      </c>
      <c r="D88" s="220">
        <f t="shared" ref="D88" si="108">D87+32</f>
        <v>2233</v>
      </c>
      <c r="E88" s="220">
        <f t="shared" si="91"/>
        <v>3282</v>
      </c>
      <c r="F88" s="220">
        <f t="shared" si="83"/>
        <v>759</v>
      </c>
      <c r="G88" s="220">
        <f t="shared" si="84"/>
        <v>814</v>
      </c>
      <c r="H88" s="220">
        <f t="shared" si="85"/>
        <v>847</v>
      </c>
      <c r="I88" s="220">
        <f t="shared" si="86"/>
        <v>885</v>
      </c>
      <c r="J88" s="220">
        <f t="shared" si="87"/>
        <v>739</v>
      </c>
      <c r="K88" s="220">
        <f t="shared" si="69"/>
        <v>2523</v>
      </c>
      <c r="L88" s="220">
        <f t="shared" si="69"/>
        <v>2468</v>
      </c>
      <c r="M88" s="220">
        <f t="shared" si="69"/>
        <v>2435</v>
      </c>
      <c r="N88" s="220">
        <f t="shared" si="69"/>
        <v>2397</v>
      </c>
      <c r="O88" s="220">
        <f t="shared" si="69"/>
        <v>2543</v>
      </c>
      <c r="P88" s="220">
        <f t="shared" si="92"/>
        <v>2000</v>
      </c>
      <c r="Q88" s="220">
        <f t="shared" si="92"/>
        <v>2000</v>
      </c>
      <c r="R88" s="220">
        <f t="shared" si="92"/>
        <v>2000</v>
      </c>
      <c r="S88" s="220">
        <f t="shared" si="92"/>
        <v>2000</v>
      </c>
      <c r="T88" s="220">
        <f t="shared" si="92"/>
        <v>2000</v>
      </c>
      <c r="U88" s="220">
        <f t="shared" si="93"/>
        <v>523</v>
      </c>
      <c r="V88" s="220">
        <f t="shared" si="93"/>
        <v>468</v>
      </c>
      <c r="W88" s="220">
        <f t="shared" si="93"/>
        <v>435</v>
      </c>
      <c r="X88" s="220">
        <f t="shared" si="93"/>
        <v>397</v>
      </c>
      <c r="Y88" s="220">
        <f t="shared" si="93"/>
        <v>543</v>
      </c>
      <c r="Z88" s="220">
        <v>0</v>
      </c>
      <c r="AA88" s="220">
        <v>0</v>
      </c>
      <c r="AB88" s="220">
        <v>0</v>
      </c>
      <c r="AC88" s="220">
        <v>3</v>
      </c>
      <c r="AD88" s="220">
        <v>1</v>
      </c>
      <c r="AE88" s="220">
        <f t="shared" si="94"/>
        <v>-86</v>
      </c>
      <c r="AF88" s="220">
        <f t="shared" si="94"/>
        <v>-111</v>
      </c>
      <c r="AG88" s="220">
        <f t="shared" si="94"/>
        <v>-164</v>
      </c>
      <c r="AH88" s="220">
        <f t="shared" si="94"/>
        <v>-152</v>
      </c>
      <c r="AI88" s="220">
        <f t="shared" si="94"/>
        <v>-106</v>
      </c>
      <c r="AJ88" s="50">
        <f t="shared" si="95"/>
        <v>1.6350000000000047</v>
      </c>
      <c r="AK88" s="257"/>
      <c r="AL88" s="257">
        <f t="shared" si="96"/>
        <v>1.2</v>
      </c>
      <c r="AM88" s="52"/>
      <c r="AN88" s="88"/>
    </row>
    <row r="89" spans="1:40" s="29" customFormat="1" ht="17.25" customHeight="1">
      <c r="A89" s="48">
        <v>80</v>
      </c>
      <c r="B89" s="49">
        <f t="shared" si="88"/>
        <v>45632</v>
      </c>
      <c r="C89" s="220">
        <f t="shared" si="89"/>
        <v>1049</v>
      </c>
      <c r="D89" s="220">
        <f t="shared" ref="D89" si="109">D88-18</f>
        <v>2215</v>
      </c>
      <c r="E89" s="220">
        <f t="shared" si="91"/>
        <v>3264</v>
      </c>
      <c r="F89" s="220">
        <f t="shared" si="83"/>
        <v>741</v>
      </c>
      <c r="G89" s="220">
        <f t="shared" si="84"/>
        <v>797</v>
      </c>
      <c r="H89" s="220">
        <f t="shared" si="85"/>
        <v>829</v>
      </c>
      <c r="I89" s="220">
        <f t="shared" si="86"/>
        <v>868</v>
      </c>
      <c r="J89" s="220">
        <f t="shared" si="87"/>
        <v>721</v>
      </c>
      <c r="K89" s="220">
        <f t="shared" si="69"/>
        <v>2523</v>
      </c>
      <c r="L89" s="220">
        <f t="shared" si="69"/>
        <v>2467</v>
      </c>
      <c r="M89" s="220">
        <f t="shared" si="69"/>
        <v>2435</v>
      </c>
      <c r="N89" s="220">
        <f t="shared" si="69"/>
        <v>2396</v>
      </c>
      <c r="O89" s="220">
        <f t="shared" si="69"/>
        <v>2543</v>
      </c>
      <c r="P89" s="220">
        <f t="shared" si="92"/>
        <v>2000</v>
      </c>
      <c r="Q89" s="220">
        <f t="shared" si="92"/>
        <v>2000</v>
      </c>
      <c r="R89" s="220">
        <f t="shared" si="92"/>
        <v>2000</v>
      </c>
      <c r="S89" s="220">
        <f t="shared" si="92"/>
        <v>2000</v>
      </c>
      <c r="T89" s="220">
        <f t="shared" si="92"/>
        <v>2000</v>
      </c>
      <c r="U89" s="220">
        <f t="shared" si="93"/>
        <v>523</v>
      </c>
      <c r="V89" s="220">
        <f t="shared" si="93"/>
        <v>467</v>
      </c>
      <c r="W89" s="220">
        <f t="shared" si="93"/>
        <v>435</v>
      </c>
      <c r="X89" s="220">
        <f t="shared" si="93"/>
        <v>396</v>
      </c>
      <c r="Y89" s="220">
        <f t="shared" si="93"/>
        <v>543</v>
      </c>
      <c r="Z89" s="220">
        <v>0</v>
      </c>
      <c r="AA89" s="220">
        <v>1</v>
      </c>
      <c r="AB89" s="220">
        <v>0</v>
      </c>
      <c r="AC89" s="220">
        <v>1</v>
      </c>
      <c r="AD89" s="220">
        <v>0</v>
      </c>
      <c r="AE89" s="220">
        <f t="shared" si="94"/>
        <v>-86</v>
      </c>
      <c r="AF89" s="220">
        <f t="shared" si="94"/>
        <v>-112</v>
      </c>
      <c r="AG89" s="220">
        <f t="shared" si="94"/>
        <v>-164</v>
      </c>
      <c r="AH89" s="220">
        <f t="shared" si="94"/>
        <v>-153</v>
      </c>
      <c r="AI89" s="220">
        <f t="shared" si="94"/>
        <v>-106</v>
      </c>
      <c r="AJ89" s="50">
        <f t="shared" si="95"/>
        <v>1.6350000000000047</v>
      </c>
      <c r="AK89" s="257"/>
      <c r="AL89" s="257">
        <f t="shared" si="96"/>
        <v>1.2</v>
      </c>
      <c r="AM89" s="52"/>
      <c r="AN89" s="88"/>
    </row>
    <row r="90" spans="1:40" s="29" customFormat="1" ht="17.25" customHeight="1">
      <c r="A90" s="48">
        <v>81</v>
      </c>
      <c r="B90" s="49">
        <f t="shared" si="88"/>
        <v>45633</v>
      </c>
      <c r="C90" s="220">
        <f t="shared" si="89"/>
        <v>1049</v>
      </c>
      <c r="D90" s="220">
        <f t="shared" ref="D90" si="110">D89-26</f>
        <v>2189</v>
      </c>
      <c r="E90" s="220">
        <f t="shared" si="91"/>
        <v>3238</v>
      </c>
      <c r="F90" s="220">
        <f t="shared" si="83"/>
        <v>716</v>
      </c>
      <c r="G90" s="220">
        <f t="shared" si="84"/>
        <v>773</v>
      </c>
      <c r="H90" s="220">
        <f t="shared" si="85"/>
        <v>806</v>
      </c>
      <c r="I90" s="220">
        <f t="shared" si="86"/>
        <v>844</v>
      </c>
      <c r="J90" s="220">
        <f t="shared" si="87"/>
        <v>695</v>
      </c>
      <c r="K90" s="220">
        <f t="shared" si="69"/>
        <v>2522</v>
      </c>
      <c r="L90" s="220">
        <f t="shared" si="69"/>
        <v>2465</v>
      </c>
      <c r="M90" s="220">
        <f t="shared" si="69"/>
        <v>2432</v>
      </c>
      <c r="N90" s="220">
        <f t="shared" si="69"/>
        <v>2394</v>
      </c>
      <c r="O90" s="220">
        <f t="shared" si="69"/>
        <v>2543</v>
      </c>
      <c r="P90" s="220">
        <f t="shared" si="92"/>
        <v>2000</v>
      </c>
      <c r="Q90" s="220">
        <f t="shared" si="92"/>
        <v>2000</v>
      </c>
      <c r="R90" s="220">
        <f t="shared" si="92"/>
        <v>2000</v>
      </c>
      <c r="S90" s="220">
        <f t="shared" si="92"/>
        <v>2000</v>
      </c>
      <c r="T90" s="220">
        <f t="shared" si="92"/>
        <v>2000</v>
      </c>
      <c r="U90" s="220">
        <f t="shared" si="93"/>
        <v>522</v>
      </c>
      <c r="V90" s="220">
        <f t="shared" si="93"/>
        <v>465</v>
      </c>
      <c r="W90" s="220">
        <f t="shared" si="93"/>
        <v>432</v>
      </c>
      <c r="X90" s="220">
        <f t="shared" si="93"/>
        <v>394</v>
      </c>
      <c r="Y90" s="220">
        <f t="shared" si="93"/>
        <v>543</v>
      </c>
      <c r="Z90" s="220">
        <v>1</v>
      </c>
      <c r="AA90" s="220">
        <v>2</v>
      </c>
      <c r="AB90" s="220">
        <v>3</v>
      </c>
      <c r="AC90" s="220">
        <v>2</v>
      </c>
      <c r="AD90" s="220">
        <v>0</v>
      </c>
      <c r="AE90" s="220">
        <f t="shared" si="94"/>
        <v>-87</v>
      </c>
      <c r="AF90" s="220">
        <f t="shared" si="94"/>
        <v>-114</v>
      </c>
      <c r="AG90" s="220">
        <f t="shared" si="94"/>
        <v>-167</v>
      </c>
      <c r="AH90" s="220">
        <f t="shared" si="94"/>
        <v>-155</v>
      </c>
      <c r="AI90" s="220">
        <f t="shared" si="94"/>
        <v>-106</v>
      </c>
      <c r="AJ90" s="50">
        <f t="shared" si="95"/>
        <v>1.6320000000000048</v>
      </c>
      <c r="AK90" s="257"/>
      <c r="AL90" s="257">
        <f t="shared" si="96"/>
        <v>1.2</v>
      </c>
      <c r="AM90" s="52"/>
      <c r="AN90" s="88"/>
    </row>
    <row r="91" spans="1:40" s="29" customFormat="1" ht="17.25" customHeight="1">
      <c r="A91" s="48">
        <v>82</v>
      </c>
      <c r="B91" s="49">
        <f t="shared" si="88"/>
        <v>45634</v>
      </c>
      <c r="C91" s="220">
        <f t="shared" si="89"/>
        <v>1049</v>
      </c>
      <c r="D91" s="220">
        <f t="shared" ref="D91" si="111">D90+15</f>
        <v>2204</v>
      </c>
      <c r="E91" s="220">
        <f t="shared" si="91"/>
        <v>3253</v>
      </c>
      <c r="F91" s="220">
        <f t="shared" si="83"/>
        <v>732</v>
      </c>
      <c r="G91" s="220">
        <f t="shared" si="84"/>
        <v>788</v>
      </c>
      <c r="H91" s="220">
        <f t="shared" si="85"/>
        <v>822</v>
      </c>
      <c r="I91" s="220">
        <f t="shared" si="86"/>
        <v>861</v>
      </c>
      <c r="J91" s="220">
        <f t="shared" si="87"/>
        <v>711</v>
      </c>
      <c r="K91" s="220">
        <f t="shared" si="69"/>
        <v>2521</v>
      </c>
      <c r="L91" s="220">
        <f t="shared" si="69"/>
        <v>2465</v>
      </c>
      <c r="M91" s="220">
        <f t="shared" si="69"/>
        <v>2431</v>
      </c>
      <c r="N91" s="220">
        <f t="shared" si="69"/>
        <v>2392</v>
      </c>
      <c r="O91" s="220">
        <f t="shared" si="69"/>
        <v>2542</v>
      </c>
      <c r="P91" s="220">
        <f t="shared" si="92"/>
        <v>2000</v>
      </c>
      <c r="Q91" s="220">
        <f t="shared" si="92"/>
        <v>2000</v>
      </c>
      <c r="R91" s="220">
        <f t="shared" si="92"/>
        <v>2000</v>
      </c>
      <c r="S91" s="220">
        <f t="shared" si="92"/>
        <v>2000</v>
      </c>
      <c r="T91" s="220">
        <f t="shared" si="92"/>
        <v>2000</v>
      </c>
      <c r="U91" s="220">
        <f t="shared" si="93"/>
        <v>521</v>
      </c>
      <c r="V91" s="220">
        <f t="shared" si="93"/>
        <v>465</v>
      </c>
      <c r="W91" s="220">
        <f t="shared" si="93"/>
        <v>431</v>
      </c>
      <c r="X91" s="220">
        <f t="shared" si="93"/>
        <v>392</v>
      </c>
      <c r="Y91" s="220">
        <f t="shared" si="93"/>
        <v>542</v>
      </c>
      <c r="Z91" s="220">
        <v>1</v>
      </c>
      <c r="AA91" s="220">
        <v>0</v>
      </c>
      <c r="AB91" s="220">
        <v>1</v>
      </c>
      <c r="AC91" s="220">
        <v>2</v>
      </c>
      <c r="AD91" s="220">
        <v>1</v>
      </c>
      <c r="AE91" s="220">
        <f t="shared" si="94"/>
        <v>-88</v>
      </c>
      <c r="AF91" s="220">
        <f t="shared" si="94"/>
        <v>-114</v>
      </c>
      <c r="AG91" s="220">
        <f t="shared" si="94"/>
        <v>-168</v>
      </c>
      <c r="AH91" s="220">
        <f t="shared" si="94"/>
        <v>-157</v>
      </c>
      <c r="AI91" s="220">
        <f t="shared" si="94"/>
        <v>-107</v>
      </c>
      <c r="AJ91" s="50">
        <f t="shared" si="95"/>
        <v>1.6310000000000049</v>
      </c>
      <c r="AK91" s="257"/>
      <c r="AL91" s="257">
        <f t="shared" si="96"/>
        <v>1.2</v>
      </c>
      <c r="AM91" s="52"/>
      <c r="AN91" s="88"/>
    </row>
    <row r="92" spans="1:40" s="29" customFormat="1" ht="17.25" customHeight="1">
      <c r="A92" s="48">
        <v>83</v>
      </c>
      <c r="B92" s="49">
        <f t="shared" si="88"/>
        <v>45635</v>
      </c>
      <c r="C92" s="220">
        <f t="shared" si="89"/>
        <v>1049</v>
      </c>
      <c r="D92" s="220">
        <f t="shared" ref="D92" si="112">D91+26</f>
        <v>2230</v>
      </c>
      <c r="E92" s="220">
        <f t="shared" si="91"/>
        <v>3279</v>
      </c>
      <c r="F92" s="220">
        <f t="shared" si="83"/>
        <v>758</v>
      </c>
      <c r="G92" s="220">
        <f t="shared" si="84"/>
        <v>814</v>
      </c>
      <c r="H92" s="220">
        <f t="shared" si="85"/>
        <v>848</v>
      </c>
      <c r="I92" s="220">
        <f t="shared" si="86"/>
        <v>888</v>
      </c>
      <c r="J92" s="220">
        <f t="shared" si="87"/>
        <v>737</v>
      </c>
      <c r="K92" s="220">
        <f t="shared" si="69"/>
        <v>2521</v>
      </c>
      <c r="L92" s="220">
        <f t="shared" si="69"/>
        <v>2465</v>
      </c>
      <c r="M92" s="220">
        <f t="shared" si="69"/>
        <v>2431</v>
      </c>
      <c r="N92" s="220">
        <f t="shared" si="69"/>
        <v>2391</v>
      </c>
      <c r="O92" s="220">
        <f t="shared" si="69"/>
        <v>2542</v>
      </c>
      <c r="P92" s="220">
        <f t="shared" ref="P92:T107" si="113">+P91</f>
        <v>2000</v>
      </c>
      <c r="Q92" s="220">
        <f t="shared" si="113"/>
        <v>2000</v>
      </c>
      <c r="R92" s="220">
        <f t="shared" si="113"/>
        <v>2000</v>
      </c>
      <c r="S92" s="220">
        <f t="shared" si="113"/>
        <v>2000</v>
      </c>
      <c r="T92" s="220">
        <f t="shared" si="113"/>
        <v>2000</v>
      </c>
      <c r="U92" s="220">
        <f t="shared" ref="U92:Y107" si="114">U91-Z92</f>
        <v>521</v>
      </c>
      <c r="V92" s="220">
        <f t="shared" si="114"/>
        <v>465</v>
      </c>
      <c r="W92" s="220">
        <f t="shared" si="114"/>
        <v>431</v>
      </c>
      <c r="X92" s="220">
        <f t="shared" si="114"/>
        <v>391</v>
      </c>
      <c r="Y92" s="220">
        <f t="shared" si="114"/>
        <v>542</v>
      </c>
      <c r="Z92" s="220">
        <v>0</v>
      </c>
      <c r="AA92" s="220">
        <v>0</v>
      </c>
      <c r="AB92" s="220">
        <v>0</v>
      </c>
      <c r="AC92" s="220">
        <v>1</v>
      </c>
      <c r="AD92" s="220">
        <v>0</v>
      </c>
      <c r="AE92" s="220">
        <f t="shared" ref="AE92:AI107" si="115">AE91-Z92</f>
        <v>-88</v>
      </c>
      <c r="AF92" s="220">
        <f t="shared" si="115"/>
        <v>-114</v>
      </c>
      <c r="AG92" s="220">
        <f t="shared" si="115"/>
        <v>-168</v>
      </c>
      <c r="AH92" s="220">
        <f t="shared" si="115"/>
        <v>-158</v>
      </c>
      <c r="AI92" s="220">
        <f t="shared" si="115"/>
        <v>-107</v>
      </c>
      <c r="AJ92" s="50">
        <f t="shared" si="95"/>
        <v>1.6310000000000049</v>
      </c>
      <c r="AK92" s="257"/>
      <c r="AL92" s="257">
        <f t="shared" si="96"/>
        <v>1.2</v>
      </c>
      <c r="AM92" s="52"/>
      <c r="AN92" s="88"/>
    </row>
    <row r="93" spans="1:40" s="29" customFormat="1" ht="17.25" customHeight="1">
      <c r="A93" s="48">
        <v>84</v>
      </c>
      <c r="B93" s="49">
        <f t="shared" si="88"/>
        <v>45636</v>
      </c>
      <c r="C93" s="220">
        <f t="shared" si="89"/>
        <v>1049</v>
      </c>
      <c r="D93" s="220">
        <f t="shared" ref="D93" si="116">D92+32</f>
        <v>2262</v>
      </c>
      <c r="E93" s="220">
        <f t="shared" si="91"/>
        <v>3311</v>
      </c>
      <c r="F93" s="220">
        <f t="shared" si="83"/>
        <v>791</v>
      </c>
      <c r="G93" s="220">
        <f t="shared" si="84"/>
        <v>846</v>
      </c>
      <c r="H93" s="220">
        <f t="shared" si="85"/>
        <v>881</v>
      </c>
      <c r="I93" s="220">
        <f t="shared" si="86"/>
        <v>920</v>
      </c>
      <c r="J93" s="220">
        <f t="shared" si="87"/>
        <v>769</v>
      </c>
      <c r="K93" s="220">
        <f t="shared" si="69"/>
        <v>2520</v>
      </c>
      <c r="L93" s="220">
        <f t="shared" si="69"/>
        <v>2465</v>
      </c>
      <c r="M93" s="220">
        <f t="shared" si="69"/>
        <v>2430</v>
      </c>
      <c r="N93" s="220">
        <f t="shared" si="69"/>
        <v>2391</v>
      </c>
      <c r="O93" s="220">
        <f t="shared" si="69"/>
        <v>2542</v>
      </c>
      <c r="P93" s="220">
        <f t="shared" si="113"/>
        <v>2000</v>
      </c>
      <c r="Q93" s="220">
        <f t="shared" si="113"/>
        <v>2000</v>
      </c>
      <c r="R93" s="220">
        <f t="shared" si="113"/>
        <v>2000</v>
      </c>
      <c r="S93" s="220">
        <f t="shared" si="113"/>
        <v>2000</v>
      </c>
      <c r="T93" s="220">
        <f t="shared" si="113"/>
        <v>2000</v>
      </c>
      <c r="U93" s="220">
        <f t="shared" si="114"/>
        <v>520</v>
      </c>
      <c r="V93" s="220">
        <f t="shared" si="114"/>
        <v>465</v>
      </c>
      <c r="W93" s="220">
        <f t="shared" si="114"/>
        <v>430</v>
      </c>
      <c r="X93" s="220">
        <f t="shared" si="114"/>
        <v>391</v>
      </c>
      <c r="Y93" s="220">
        <f t="shared" si="114"/>
        <v>542</v>
      </c>
      <c r="Z93" s="220">
        <v>1</v>
      </c>
      <c r="AA93" s="220">
        <v>0</v>
      </c>
      <c r="AB93" s="220">
        <v>1</v>
      </c>
      <c r="AC93" s="220">
        <v>0</v>
      </c>
      <c r="AD93" s="220">
        <v>0</v>
      </c>
      <c r="AE93" s="220">
        <f t="shared" si="115"/>
        <v>-89</v>
      </c>
      <c r="AF93" s="220">
        <f t="shared" si="115"/>
        <v>-114</v>
      </c>
      <c r="AG93" s="220">
        <f t="shared" si="115"/>
        <v>-169</v>
      </c>
      <c r="AH93" s="220">
        <f t="shared" si="115"/>
        <v>-158</v>
      </c>
      <c r="AI93" s="220">
        <f t="shared" si="115"/>
        <v>-107</v>
      </c>
      <c r="AJ93" s="50">
        <f t="shared" si="95"/>
        <v>1.630000000000005</v>
      </c>
      <c r="AK93" s="257"/>
      <c r="AL93" s="257">
        <f t="shared" si="96"/>
        <v>1.2</v>
      </c>
      <c r="AM93" s="52"/>
      <c r="AN93" s="88"/>
    </row>
    <row r="94" spans="1:40" s="29" customFormat="1" ht="17.25" customHeight="1">
      <c r="A94" s="48">
        <v>85</v>
      </c>
      <c r="B94" s="49">
        <f t="shared" si="88"/>
        <v>45637</v>
      </c>
      <c r="C94" s="220">
        <f t="shared" si="89"/>
        <v>1049</v>
      </c>
      <c r="D94" s="220">
        <f t="shared" ref="D94" si="117">D93-18</f>
        <v>2244</v>
      </c>
      <c r="E94" s="220">
        <f t="shared" si="91"/>
        <v>3293</v>
      </c>
      <c r="F94" s="220">
        <f t="shared" si="83"/>
        <v>773</v>
      </c>
      <c r="G94" s="220">
        <f t="shared" si="84"/>
        <v>828</v>
      </c>
      <c r="H94" s="220">
        <f t="shared" si="85"/>
        <v>863</v>
      </c>
      <c r="I94" s="220">
        <f t="shared" si="86"/>
        <v>905</v>
      </c>
      <c r="J94" s="220">
        <f t="shared" si="87"/>
        <v>751</v>
      </c>
      <c r="K94" s="220">
        <f t="shared" si="69"/>
        <v>2520</v>
      </c>
      <c r="L94" s="220">
        <f t="shared" si="69"/>
        <v>2465</v>
      </c>
      <c r="M94" s="220">
        <f t="shared" si="69"/>
        <v>2430</v>
      </c>
      <c r="N94" s="220">
        <f t="shared" si="69"/>
        <v>2388</v>
      </c>
      <c r="O94" s="220">
        <f t="shared" si="69"/>
        <v>2542</v>
      </c>
      <c r="P94" s="220">
        <f t="shared" si="113"/>
        <v>2000</v>
      </c>
      <c r="Q94" s="220">
        <f t="shared" si="113"/>
        <v>2000</v>
      </c>
      <c r="R94" s="220">
        <f t="shared" si="113"/>
        <v>2000</v>
      </c>
      <c r="S94" s="220">
        <f t="shared" si="113"/>
        <v>2000</v>
      </c>
      <c r="T94" s="220">
        <f t="shared" si="113"/>
        <v>2000</v>
      </c>
      <c r="U94" s="220">
        <f t="shared" si="114"/>
        <v>520</v>
      </c>
      <c r="V94" s="220">
        <f t="shared" si="114"/>
        <v>465</v>
      </c>
      <c r="W94" s="220">
        <f t="shared" si="114"/>
        <v>430</v>
      </c>
      <c r="X94" s="220">
        <f t="shared" si="114"/>
        <v>388</v>
      </c>
      <c r="Y94" s="220">
        <f t="shared" si="114"/>
        <v>542</v>
      </c>
      <c r="Z94" s="220">
        <v>0</v>
      </c>
      <c r="AA94" s="220">
        <v>0</v>
      </c>
      <c r="AB94" s="220">
        <v>0</v>
      </c>
      <c r="AC94" s="220">
        <v>3</v>
      </c>
      <c r="AD94" s="220">
        <v>0</v>
      </c>
      <c r="AE94" s="220">
        <f t="shared" si="115"/>
        <v>-89</v>
      </c>
      <c r="AF94" s="220">
        <f t="shared" si="115"/>
        <v>-114</v>
      </c>
      <c r="AG94" s="220">
        <f t="shared" si="115"/>
        <v>-169</v>
      </c>
      <c r="AH94" s="220">
        <f t="shared" si="115"/>
        <v>-161</v>
      </c>
      <c r="AI94" s="220">
        <f t="shared" si="115"/>
        <v>-107</v>
      </c>
      <c r="AJ94" s="50">
        <f t="shared" si="95"/>
        <v>1.630000000000005</v>
      </c>
      <c r="AK94" s="257"/>
      <c r="AL94" s="257">
        <f t="shared" si="96"/>
        <v>1.2</v>
      </c>
      <c r="AM94" s="52"/>
      <c r="AN94" s="88"/>
    </row>
    <row r="95" spans="1:40" s="29" customFormat="1" ht="17.25" customHeight="1">
      <c r="A95" s="48">
        <v>86</v>
      </c>
      <c r="B95" s="49">
        <f t="shared" si="88"/>
        <v>45638</v>
      </c>
      <c r="C95" s="220">
        <f t="shared" si="89"/>
        <v>1049</v>
      </c>
      <c r="D95" s="220">
        <f t="shared" ref="D95" si="118">D94-26</f>
        <v>2218</v>
      </c>
      <c r="E95" s="220">
        <f t="shared" si="91"/>
        <v>3267</v>
      </c>
      <c r="F95" s="220">
        <f t="shared" si="83"/>
        <v>748</v>
      </c>
      <c r="G95" s="220">
        <f t="shared" si="84"/>
        <v>802</v>
      </c>
      <c r="H95" s="220">
        <f t="shared" si="85"/>
        <v>838</v>
      </c>
      <c r="I95" s="220">
        <f t="shared" si="86"/>
        <v>882</v>
      </c>
      <c r="J95" s="220">
        <f t="shared" si="87"/>
        <v>725</v>
      </c>
      <c r="K95" s="220">
        <f t="shared" si="69"/>
        <v>2519</v>
      </c>
      <c r="L95" s="220">
        <f t="shared" si="69"/>
        <v>2465</v>
      </c>
      <c r="M95" s="220">
        <f t="shared" si="69"/>
        <v>2429</v>
      </c>
      <c r="N95" s="220">
        <f t="shared" si="69"/>
        <v>2385</v>
      </c>
      <c r="O95" s="220">
        <f t="shared" si="69"/>
        <v>2542</v>
      </c>
      <c r="P95" s="220">
        <f t="shared" si="113"/>
        <v>2000</v>
      </c>
      <c r="Q95" s="220">
        <f t="shared" si="113"/>
        <v>2000</v>
      </c>
      <c r="R95" s="220">
        <f t="shared" si="113"/>
        <v>2000</v>
      </c>
      <c r="S95" s="220">
        <f t="shared" si="113"/>
        <v>2000</v>
      </c>
      <c r="T95" s="220">
        <f t="shared" si="113"/>
        <v>2000</v>
      </c>
      <c r="U95" s="220">
        <f t="shared" si="114"/>
        <v>519</v>
      </c>
      <c r="V95" s="220">
        <f t="shared" si="114"/>
        <v>465</v>
      </c>
      <c r="W95" s="220">
        <f t="shared" si="114"/>
        <v>429</v>
      </c>
      <c r="X95" s="220">
        <f t="shared" si="114"/>
        <v>385</v>
      </c>
      <c r="Y95" s="220">
        <f t="shared" si="114"/>
        <v>542</v>
      </c>
      <c r="Z95" s="220">
        <v>1</v>
      </c>
      <c r="AA95" s="220">
        <v>0</v>
      </c>
      <c r="AB95" s="220">
        <v>1</v>
      </c>
      <c r="AC95" s="220">
        <v>3</v>
      </c>
      <c r="AD95" s="220">
        <v>0</v>
      </c>
      <c r="AE95" s="220">
        <f t="shared" si="115"/>
        <v>-90</v>
      </c>
      <c r="AF95" s="220">
        <f t="shared" si="115"/>
        <v>-114</v>
      </c>
      <c r="AG95" s="220">
        <f t="shared" si="115"/>
        <v>-170</v>
      </c>
      <c r="AH95" s="220">
        <f t="shared" si="115"/>
        <v>-164</v>
      </c>
      <c r="AI95" s="220">
        <f t="shared" si="115"/>
        <v>-107</v>
      </c>
      <c r="AJ95" s="50">
        <f t="shared" si="95"/>
        <v>1.6290000000000051</v>
      </c>
      <c r="AK95" s="257"/>
      <c r="AL95" s="257">
        <f t="shared" si="96"/>
        <v>1.2</v>
      </c>
      <c r="AM95" s="52"/>
      <c r="AN95" s="88"/>
    </row>
    <row r="96" spans="1:40" s="29" customFormat="1" ht="17.25" customHeight="1">
      <c r="A96" s="48">
        <v>87</v>
      </c>
      <c r="B96" s="49">
        <f t="shared" si="88"/>
        <v>45639</v>
      </c>
      <c r="C96" s="220">
        <f t="shared" si="89"/>
        <v>1049</v>
      </c>
      <c r="D96" s="220">
        <f t="shared" ref="D96" si="119">D95+15</f>
        <v>2233</v>
      </c>
      <c r="E96" s="220">
        <f t="shared" si="91"/>
        <v>3282</v>
      </c>
      <c r="F96" s="220">
        <f t="shared" si="83"/>
        <v>764</v>
      </c>
      <c r="G96" s="220">
        <f t="shared" si="84"/>
        <v>817</v>
      </c>
      <c r="H96" s="220">
        <f t="shared" si="85"/>
        <v>854</v>
      </c>
      <c r="I96" s="220">
        <f t="shared" si="86"/>
        <v>897</v>
      </c>
      <c r="J96" s="220">
        <f t="shared" si="87"/>
        <v>740</v>
      </c>
      <c r="K96" s="220">
        <f t="shared" si="69"/>
        <v>2518</v>
      </c>
      <c r="L96" s="220">
        <f t="shared" si="69"/>
        <v>2465</v>
      </c>
      <c r="M96" s="220">
        <f t="shared" si="69"/>
        <v>2428</v>
      </c>
      <c r="N96" s="220">
        <f t="shared" si="69"/>
        <v>2385</v>
      </c>
      <c r="O96" s="220">
        <f t="shared" si="69"/>
        <v>2542</v>
      </c>
      <c r="P96" s="220">
        <f t="shared" si="113"/>
        <v>2000</v>
      </c>
      <c r="Q96" s="220">
        <f t="shared" si="113"/>
        <v>2000</v>
      </c>
      <c r="R96" s="220">
        <f t="shared" si="113"/>
        <v>2000</v>
      </c>
      <c r="S96" s="220">
        <f t="shared" si="113"/>
        <v>2000</v>
      </c>
      <c r="T96" s="220">
        <f t="shared" si="113"/>
        <v>2000</v>
      </c>
      <c r="U96" s="220">
        <f t="shared" si="114"/>
        <v>518</v>
      </c>
      <c r="V96" s="220">
        <f t="shared" si="114"/>
        <v>465</v>
      </c>
      <c r="W96" s="220">
        <f t="shared" si="114"/>
        <v>428</v>
      </c>
      <c r="X96" s="220">
        <f t="shared" si="114"/>
        <v>385</v>
      </c>
      <c r="Y96" s="220">
        <f t="shared" si="114"/>
        <v>542</v>
      </c>
      <c r="Z96" s="220">
        <v>1</v>
      </c>
      <c r="AA96" s="220">
        <v>0</v>
      </c>
      <c r="AB96" s="220">
        <v>1</v>
      </c>
      <c r="AC96" s="220">
        <v>0</v>
      </c>
      <c r="AD96" s="220">
        <v>0</v>
      </c>
      <c r="AE96" s="220">
        <f t="shared" si="115"/>
        <v>-91</v>
      </c>
      <c r="AF96" s="220">
        <f t="shared" si="115"/>
        <v>-114</v>
      </c>
      <c r="AG96" s="220">
        <f t="shared" si="115"/>
        <v>-171</v>
      </c>
      <c r="AH96" s="220">
        <f t="shared" si="115"/>
        <v>-164</v>
      </c>
      <c r="AI96" s="220">
        <f t="shared" si="115"/>
        <v>-107</v>
      </c>
      <c r="AJ96" s="50">
        <f t="shared" si="95"/>
        <v>1.6280000000000052</v>
      </c>
      <c r="AK96" s="257"/>
      <c r="AL96" s="257">
        <f t="shared" si="96"/>
        <v>1.2</v>
      </c>
      <c r="AM96" s="52"/>
      <c r="AN96" s="88"/>
    </row>
    <row r="97" spans="1:40" s="29" customFormat="1" ht="17.25" customHeight="1">
      <c r="A97" s="48">
        <v>88</v>
      </c>
      <c r="B97" s="49">
        <f t="shared" si="88"/>
        <v>45640</v>
      </c>
      <c r="C97" s="220">
        <f t="shared" si="89"/>
        <v>1049</v>
      </c>
      <c r="D97" s="220">
        <f t="shared" ref="D97" si="120">D96+26</f>
        <v>2259</v>
      </c>
      <c r="E97" s="220">
        <f t="shared" si="91"/>
        <v>3308</v>
      </c>
      <c r="F97" s="220">
        <f t="shared" si="83"/>
        <v>790</v>
      </c>
      <c r="G97" s="220">
        <f t="shared" si="84"/>
        <v>843</v>
      </c>
      <c r="H97" s="220">
        <f t="shared" si="85"/>
        <v>880</v>
      </c>
      <c r="I97" s="220">
        <f t="shared" si="86"/>
        <v>923</v>
      </c>
      <c r="J97" s="220">
        <f t="shared" si="87"/>
        <v>767</v>
      </c>
      <c r="K97" s="220">
        <f t="shared" si="69"/>
        <v>2518</v>
      </c>
      <c r="L97" s="220">
        <f t="shared" si="69"/>
        <v>2465</v>
      </c>
      <c r="M97" s="220">
        <f t="shared" si="69"/>
        <v>2428</v>
      </c>
      <c r="N97" s="220">
        <f t="shared" si="69"/>
        <v>2385</v>
      </c>
      <c r="O97" s="220">
        <f t="shared" si="69"/>
        <v>2541</v>
      </c>
      <c r="P97" s="220">
        <f t="shared" si="113"/>
        <v>2000</v>
      </c>
      <c r="Q97" s="220">
        <f t="shared" si="113"/>
        <v>2000</v>
      </c>
      <c r="R97" s="220">
        <f t="shared" si="113"/>
        <v>2000</v>
      </c>
      <c r="S97" s="220">
        <f t="shared" si="113"/>
        <v>2000</v>
      </c>
      <c r="T97" s="220">
        <f t="shared" si="113"/>
        <v>2000</v>
      </c>
      <c r="U97" s="220">
        <f t="shared" si="114"/>
        <v>518</v>
      </c>
      <c r="V97" s="220">
        <f t="shared" si="114"/>
        <v>465</v>
      </c>
      <c r="W97" s="220">
        <f t="shared" si="114"/>
        <v>428</v>
      </c>
      <c r="X97" s="220">
        <f t="shared" si="114"/>
        <v>385</v>
      </c>
      <c r="Y97" s="220">
        <f t="shared" si="114"/>
        <v>541</v>
      </c>
      <c r="Z97" s="220">
        <v>0</v>
      </c>
      <c r="AA97" s="220">
        <v>0</v>
      </c>
      <c r="AB97" s="220">
        <v>0</v>
      </c>
      <c r="AC97" s="220">
        <v>0</v>
      </c>
      <c r="AD97" s="220">
        <v>1</v>
      </c>
      <c r="AE97" s="220">
        <f t="shared" si="115"/>
        <v>-91</v>
      </c>
      <c r="AF97" s="220">
        <f t="shared" si="115"/>
        <v>-114</v>
      </c>
      <c r="AG97" s="220">
        <f t="shared" si="115"/>
        <v>-171</v>
      </c>
      <c r="AH97" s="220">
        <f t="shared" si="115"/>
        <v>-164</v>
      </c>
      <c r="AI97" s="220">
        <f t="shared" si="115"/>
        <v>-108</v>
      </c>
      <c r="AJ97" s="50">
        <f t="shared" si="95"/>
        <v>1.6280000000000052</v>
      </c>
      <c r="AK97" s="257"/>
      <c r="AL97" s="257">
        <f t="shared" si="96"/>
        <v>1.2</v>
      </c>
      <c r="AM97" s="52"/>
      <c r="AN97" s="88"/>
    </row>
    <row r="98" spans="1:40" s="29" customFormat="1" ht="17.25" customHeight="1">
      <c r="A98" s="48">
        <v>89</v>
      </c>
      <c r="B98" s="49">
        <f t="shared" si="88"/>
        <v>45641</v>
      </c>
      <c r="C98" s="220">
        <f t="shared" si="89"/>
        <v>1049</v>
      </c>
      <c r="D98" s="220">
        <f t="shared" ref="D98" si="121">D97+32</f>
        <v>2291</v>
      </c>
      <c r="E98" s="220">
        <f t="shared" si="91"/>
        <v>3340</v>
      </c>
      <c r="F98" s="220">
        <f t="shared" si="83"/>
        <v>823</v>
      </c>
      <c r="G98" s="220">
        <f t="shared" si="84"/>
        <v>876</v>
      </c>
      <c r="H98" s="220">
        <f t="shared" si="85"/>
        <v>913</v>
      </c>
      <c r="I98" s="220">
        <f t="shared" si="86"/>
        <v>956</v>
      </c>
      <c r="J98" s="220">
        <f t="shared" si="87"/>
        <v>799</v>
      </c>
      <c r="K98" s="220">
        <f t="shared" si="69"/>
        <v>2517</v>
      </c>
      <c r="L98" s="220">
        <f t="shared" si="69"/>
        <v>2464</v>
      </c>
      <c r="M98" s="220">
        <f t="shared" si="69"/>
        <v>2427</v>
      </c>
      <c r="N98" s="220">
        <f t="shared" si="69"/>
        <v>2384</v>
      </c>
      <c r="O98" s="220">
        <f t="shared" si="69"/>
        <v>2541</v>
      </c>
      <c r="P98" s="220">
        <f t="shared" si="113"/>
        <v>2000</v>
      </c>
      <c r="Q98" s="220">
        <f t="shared" si="113"/>
        <v>2000</v>
      </c>
      <c r="R98" s="220">
        <f t="shared" si="113"/>
        <v>2000</v>
      </c>
      <c r="S98" s="220">
        <f t="shared" si="113"/>
        <v>2000</v>
      </c>
      <c r="T98" s="220">
        <f t="shared" si="113"/>
        <v>2000</v>
      </c>
      <c r="U98" s="220">
        <f t="shared" si="114"/>
        <v>517</v>
      </c>
      <c r="V98" s="220">
        <f t="shared" si="114"/>
        <v>464</v>
      </c>
      <c r="W98" s="220">
        <f t="shared" si="114"/>
        <v>427</v>
      </c>
      <c r="X98" s="220">
        <f t="shared" si="114"/>
        <v>384</v>
      </c>
      <c r="Y98" s="220">
        <f t="shared" si="114"/>
        <v>541</v>
      </c>
      <c r="Z98" s="220">
        <v>1</v>
      </c>
      <c r="AA98" s="220">
        <v>1</v>
      </c>
      <c r="AB98" s="220">
        <v>1</v>
      </c>
      <c r="AC98" s="220">
        <v>1</v>
      </c>
      <c r="AD98" s="220">
        <v>0</v>
      </c>
      <c r="AE98" s="220">
        <f t="shared" si="115"/>
        <v>-92</v>
      </c>
      <c r="AF98" s="220">
        <f t="shared" si="115"/>
        <v>-115</v>
      </c>
      <c r="AG98" s="220">
        <f t="shared" si="115"/>
        <v>-172</v>
      </c>
      <c r="AH98" s="220">
        <f t="shared" si="115"/>
        <v>-165</v>
      </c>
      <c r="AI98" s="220">
        <f t="shared" si="115"/>
        <v>-108</v>
      </c>
      <c r="AJ98" s="50">
        <f t="shared" si="95"/>
        <v>1.6270000000000053</v>
      </c>
      <c r="AK98" s="257"/>
      <c r="AL98" s="257">
        <f t="shared" si="96"/>
        <v>1.2</v>
      </c>
      <c r="AM98" s="52"/>
      <c r="AN98" s="88"/>
    </row>
    <row r="99" spans="1:40" s="29" customFormat="1" ht="17.25" customHeight="1">
      <c r="A99" s="48">
        <v>90</v>
      </c>
      <c r="B99" s="49">
        <f t="shared" si="88"/>
        <v>45642</v>
      </c>
      <c r="C99" s="220">
        <f t="shared" si="89"/>
        <v>1049</v>
      </c>
      <c r="D99" s="220">
        <f t="shared" ref="D99" si="122">D98-18</f>
        <v>2273</v>
      </c>
      <c r="E99" s="220">
        <f t="shared" si="91"/>
        <v>3322</v>
      </c>
      <c r="F99" s="220">
        <f t="shared" si="83"/>
        <v>806</v>
      </c>
      <c r="G99" s="220">
        <f t="shared" si="84"/>
        <v>858</v>
      </c>
      <c r="H99" s="220">
        <f t="shared" si="85"/>
        <v>896</v>
      </c>
      <c r="I99" s="220">
        <f t="shared" si="86"/>
        <v>938</v>
      </c>
      <c r="J99" s="220">
        <f t="shared" si="87"/>
        <v>783</v>
      </c>
      <c r="K99" s="220">
        <f t="shared" si="69"/>
        <v>2516</v>
      </c>
      <c r="L99" s="220">
        <f t="shared" si="69"/>
        <v>2464</v>
      </c>
      <c r="M99" s="220">
        <f t="shared" si="69"/>
        <v>2426</v>
      </c>
      <c r="N99" s="220">
        <f t="shared" si="69"/>
        <v>2384</v>
      </c>
      <c r="O99" s="220">
        <f t="shared" si="69"/>
        <v>2539</v>
      </c>
      <c r="P99" s="220">
        <f t="shared" si="113"/>
        <v>2000</v>
      </c>
      <c r="Q99" s="220">
        <f t="shared" si="113"/>
        <v>2000</v>
      </c>
      <c r="R99" s="220">
        <f t="shared" si="113"/>
        <v>2000</v>
      </c>
      <c r="S99" s="220">
        <f t="shared" si="113"/>
        <v>2000</v>
      </c>
      <c r="T99" s="220">
        <f t="shared" si="113"/>
        <v>2000</v>
      </c>
      <c r="U99" s="220">
        <f t="shared" si="114"/>
        <v>516</v>
      </c>
      <c r="V99" s="220">
        <f t="shared" si="114"/>
        <v>464</v>
      </c>
      <c r="W99" s="220">
        <f t="shared" si="114"/>
        <v>426</v>
      </c>
      <c r="X99" s="220">
        <f t="shared" si="114"/>
        <v>384</v>
      </c>
      <c r="Y99" s="220">
        <f t="shared" si="114"/>
        <v>539</v>
      </c>
      <c r="Z99" s="220">
        <v>1</v>
      </c>
      <c r="AA99" s="220">
        <v>0</v>
      </c>
      <c r="AB99" s="220">
        <v>1</v>
      </c>
      <c r="AC99" s="220">
        <v>0</v>
      </c>
      <c r="AD99" s="220">
        <v>2</v>
      </c>
      <c r="AE99" s="220">
        <f t="shared" si="115"/>
        <v>-93</v>
      </c>
      <c r="AF99" s="220">
        <f t="shared" si="115"/>
        <v>-115</v>
      </c>
      <c r="AG99" s="220">
        <f t="shared" si="115"/>
        <v>-173</v>
      </c>
      <c r="AH99" s="220">
        <f t="shared" si="115"/>
        <v>-165</v>
      </c>
      <c r="AI99" s="220">
        <f t="shared" si="115"/>
        <v>-110</v>
      </c>
      <c r="AJ99" s="50">
        <f t="shared" si="95"/>
        <v>1.6260000000000054</v>
      </c>
      <c r="AK99" s="257"/>
      <c r="AL99" s="257">
        <f t="shared" si="96"/>
        <v>1.2</v>
      </c>
      <c r="AM99" s="52"/>
      <c r="AN99" s="88"/>
    </row>
    <row r="100" spans="1:40" s="29" customFormat="1" ht="17.25" customHeight="1">
      <c r="A100" s="48">
        <v>91</v>
      </c>
      <c r="B100" s="49">
        <f t="shared" si="88"/>
        <v>45643</v>
      </c>
      <c r="C100" s="220">
        <f t="shared" si="89"/>
        <v>1049</v>
      </c>
      <c r="D100" s="220">
        <f t="shared" ref="D100" si="123">D99-26</f>
        <v>2247</v>
      </c>
      <c r="E100" s="220">
        <f t="shared" si="91"/>
        <v>3296</v>
      </c>
      <c r="F100" s="220">
        <f t="shared" si="83"/>
        <v>780</v>
      </c>
      <c r="G100" s="220">
        <f t="shared" si="84"/>
        <v>832</v>
      </c>
      <c r="H100" s="220">
        <f t="shared" si="85"/>
        <v>870</v>
      </c>
      <c r="I100" s="220">
        <f t="shared" si="86"/>
        <v>912</v>
      </c>
      <c r="J100" s="220">
        <f t="shared" si="87"/>
        <v>757</v>
      </c>
      <c r="K100" s="220">
        <f t="shared" si="69"/>
        <v>2516</v>
      </c>
      <c r="L100" s="220">
        <f t="shared" si="69"/>
        <v>2464</v>
      </c>
      <c r="M100" s="220">
        <f t="shared" si="69"/>
        <v>2426</v>
      </c>
      <c r="N100" s="220">
        <f t="shared" si="69"/>
        <v>2384</v>
      </c>
      <c r="O100" s="220">
        <f t="shared" si="69"/>
        <v>2539</v>
      </c>
      <c r="P100" s="220">
        <f t="shared" si="113"/>
        <v>2000</v>
      </c>
      <c r="Q100" s="220">
        <f t="shared" si="113"/>
        <v>2000</v>
      </c>
      <c r="R100" s="220">
        <f t="shared" si="113"/>
        <v>2000</v>
      </c>
      <c r="S100" s="220">
        <f t="shared" si="113"/>
        <v>2000</v>
      </c>
      <c r="T100" s="220">
        <f t="shared" si="113"/>
        <v>2000</v>
      </c>
      <c r="U100" s="220">
        <f t="shared" si="114"/>
        <v>516</v>
      </c>
      <c r="V100" s="220">
        <f t="shared" si="114"/>
        <v>464</v>
      </c>
      <c r="W100" s="220">
        <f t="shared" si="114"/>
        <v>426</v>
      </c>
      <c r="X100" s="220">
        <f t="shared" si="114"/>
        <v>384</v>
      </c>
      <c r="Y100" s="220">
        <f t="shared" si="114"/>
        <v>539</v>
      </c>
      <c r="Z100" s="220">
        <v>0</v>
      </c>
      <c r="AA100" s="220">
        <v>0</v>
      </c>
      <c r="AB100" s="220">
        <v>0</v>
      </c>
      <c r="AC100" s="220">
        <v>0</v>
      </c>
      <c r="AD100" s="220">
        <v>0</v>
      </c>
      <c r="AE100" s="220">
        <f t="shared" si="115"/>
        <v>-93</v>
      </c>
      <c r="AF100" s="220">
        <f t="shared" si="115"/>
        <v>-115</v>
      </c>
      <c r="AG100" s="220">
        <f t="shared" si="115"/>
        <v>-173</v>
      </c>
      <c r="AH100" s="220">
        <f t="shared" si="115"/>
        <v>-165</v>
      </c>
      <c r="AI100" s="220">
        <f t="shared" si="115"/>
        <v>-110</v>
      </c>
      <c r="AJ100" s="50">
        <f t="shared" si="95"/>
        <v>1.6260000000000054</v>
      </c>
      <c r="AK100" s="257"/>
      <c r="AL100" s="257">
        <f t="shared" si="96"/>
        <v>1.2</v>
      </c>
      <c r="AM100" s="52"/>
      <c r="AN100" s="88"/>
    </row>
    <row r="101" spans="1:40" s="29" customFormat="1" ht="17.25" customHeight="1">
      <c r="A101" s="48">
        <v>92</v>
      </c>
      <c r="B101" s="49">
        <f t="shared" si="88"/>
        <v>45644</v>
      </c>
      <c r="C101" s="220">
        <f t="shared" si="89"/>
        <v>1049</v>
      </c>
      <c r="D101" s="220">
        <f t="shared" ref="D101" si="124">D100+15</f>
        <v>2262</v>
      </c>
      <c r="E101" s="220">
        <f t="shared" si="91"/>
        <v>3311</v>
      </c>
      <c r="F101" s="220">
        <f t="shared" si="83"/>
        <v>796</v>
      </c>
      <c r="G101" s="220">
        <f t="shared" si="84"/>
        <v>847</v>
      </c>
      <c r="H101" s="220">
        <f t="shared" si="85"/>
        <v>886</v>
      </c>
      <c r="I101" s="220">
        <f t="shared" si="86"/>
        <v>927</v>
      </c>
      <c r="J101" s="220">
        <f t="shared" si="87"/>
        <v>772</v>
      </c>
      <c r="K101" s="220">
        <f t="shared" si="69"/>
        <v>2515</v>
      </c>
      <c r="L101" s="220">
        <f t="shared" si="69"/>
        <v>2464</v>
      </c>
      <c r="M101" s="220">
        <f t="shared" si="69"/>
        <v>2425</v>
      </c>
      <c r="N101" s="220">
        <f t="shared" si="69"/>
        <v>2384</v>
      </c>
      <c r="O101" s="220">
        <f t="shared" si="69"/>
        <v>2539</v>
      </c>
      <c r="P101" s="220">
        <f t="shared" si="113"/>
        <v>2000</v>
      </c>
      <c r="Q101" s="220">
        <f t="shared" si="113"/>
        <v>2000</v>
      </c>
      <c r="R101" s="220">
        <f t="shared" si="113"/>
        <v>2000</v>
      </c>
      <c r="S101" s="220">
        <f t="shared" si="113"/>
        <v>2000</v>
      </c>
      <c r="T101" s="220">
        <f t="shared" si="113"/>
        <v>2000</v>
      </c>
      <c r="U101" s="220">
        <f t="shared" si="114"/>
        <v>515</v>
      </c>
      <c r="V101" s="220">
        <f t="shared" si="114"/>
        <v>464</v>
      </c>
      <c r="W101" s="220">
        <f t="shared" si="114"/>
        <v>425</v>
      </c>
      <c r="X101" s="220">
        <f t="shared" si="114"/>
        <v>384</v>
      </c>
      <c r="Y101" s="220">
        <f t="shared" si="114"/>
        <v>539</v>
      </c>
      <c r="Z101" s="220">
        <v>1</v>
      </c>
      <c r="AA101" s="220">
        <v>0</v>
      </c>
      <c r="AB101" s="220">
        <v>1</v>
      </c>
      <c r="AC101" s="220">
        <v>0</v>
      </c>
      <c r="AD101" s="220">
        <v>0</v>
      </c>
      <c r="AE101" s="220">
        <f t="shared" si="115"/>
        <v>-94</v>
      </c>
      <c r="AF101" s="220">
        <f t="shared" si="115"/>
        <v>-115</v>
      </c>
      <c r="AG101" s="220">
        <f t="shared" si="115"/>
        <v>-174</v>
      </c>
      <c r="AH101" s="220">
        <f t="shared" si="115"/>
        <v>-165</v>
      </c>
      <c r="AI101" s="220">
        <f t="shared" si="115"/>
        <v>-110</v>
      </c>
      <c r="AJ101" s="50">
        <f t="shared" si="95"/>
        <v>1.6250000000000056</v>
      </c>
      <c r="AK101" s="257"/>
      <c r="AL101" s="257">
        <f t="shared" si="96"/>
        <v>1.2</v>
      </c>
      <c r="AM101" s="52"/>
      <c r="AN101" s="88"/>
    </row>
    <row r="102" spans="1:40" s="29" customFormat="1" ht="17.25" customHeight="1">
      <c r="A102" s="48">
        <v>93</v>
      </c>
      <c r="B102" s="49">
        <f t="shared" si="88"/>
        <v>45645</v>
      </c>
      <c r="C102" s="220">
        <f t="shared" si="89"/>
        <v>1049</v>
      </c>
      <c r="D102" s="220">
        <f t="shared" ref="D102" si="125">D101+26</f>
        <v>2288</v>
      </c>
      <c r="E102" s="220">
        <f t="shared" si="91"/>
        <v>3337</v>
      </c>
      <c r="F102" s="220">
        <f t="shared" si="83"/>
        <v>822</v>
      </c>
      <c r="G102" s="220">
        <f t="shared" si="84"/>
        <v>875</v>
      </c>
      <c r="H102" s="220">
        <f t="shared" si="85"/>
        <v>912</v>
      </c>
      <c r="I102" s="220">
        <f t="shared" si="86"/>
        <v>955</v>
      </c>
      <c r="J102" s="220">
        <f t="shared" si="87"/>
        <v>798</v>
      </c>
      <c r="K102" s="220">
        <f t="shared" si="69"/>
        <v>2515</v>
      </c>
      <c r="L102" s="220">
        <f t="shared" si="69"/>
        <v>2462</v>
      </c>
      <c r="M102" s="220">
        <f t="shared" si="69"/>
        <v>2425</v>
      </c>
      <c r="N102" s="220">
        <f t="shared" si="69"/>
        <v>2382</v>
      </c>
      <c r="O102" s="220">
        <f t="shared" si="69"/>
        <v>2539</v>
      </c>
      <c r="P102" s="220">
        <f t="shared" si="113"/>
        <v>2000</v>
      </c>
      <c r="Q102" s="220">
        <f t="shared" si="113"/>
        <v>2000</v>
      </c>
      <c r="R102" s="220">
        <f t="shared" si="113"/>
        <v>2000</v>
      </c>
      <c r="S102" s="220">
        <f t="shared" si="113"/>
        <v>2000</v>
      </c>
      <c r="T102" s="220">
        <f t="shared" si="113"/>
        <v>2000</v>
      </c>
      <c r="U102" s="220">
        <f t="shared" si="114"/>
        <v>515</v>
      </c>
      <c r="V102" s="220">
        <f t="shared" si="114"/>
        <v>462</v>
      </c>
      <c r="W102" s="220">
        <f t="shared" si="114"/>
        <v>425</v>
      </c>
      <c r="X102" s="220">
        <f t="shared" si="114"/>
        <v>382</v>
      </c>
      <c r="Y102" s="220">
        <f t="shared" si="114"/>
        <v>539</v>
      </c>
      <c r="Z102" s="220">
        <v>0</v>
      </c>
      <c r="AA102" s="220">
        <v>2</v>
      </c>
      <c r="AB102" s="220">
        <v>0</v>
      </c>
      <c r="AC102" s="220">
        <v>2</v>
      </c>
      <c r="AD102" s="220">
        <v>0</v>
      </c>
      <c r="AE102" s="220">
        <f t="shared" si="115"/>
        <v>-94</v>
      </c>
      <c r="AF102" s="220">
        <f t="shared" si="115"/>
        <v>-117</v>
      </c>
      <c r="AG102" s="220">
        <f t="shared" si="115"/>
        <v>-174</v>
      </c>
      <c r="AH102" s="220">
        <f t="shared" si="115"/>
        <v>-167</v>
      </c>
      <c r="AI102" s="220">
        <f t="shared" si="115"/>
        <v>-110</v>
      </c>
      <c r="AJ102" s="50">
        <f t="shared" si="95"/>
        <v>1.6250000000000056</v>
      </c>
      <c r="AK102" s="257"/>
      <c r="AL102" s="257">
        <f t="shared" si="96"/>
        <v>1.2</v>
      </c>
      <c r="AM102" s="52"/>
      <c r="AN102" s="88"/>
    </row>
    <row r="103" spans="1:40" s="29" customFormat="1" ht="17.25" customHeight="1">
      <c r="A103" s="48">
        <v>94</v>
      </c>
      <c r="B103" s="49">
        <f t="shared" si="88"/>
        <v>45646</v>
      </c>
      <c r="C103" s="220">
        <f t="shared" si="89"/>
        <v>1049</v>
      </c>
      <c r="D103" s="220">
        <f t="shared" ref="D103" si="126">D102+32</f>
        <v>2320</v>
      </c>
      <c r="E103" s="220">
        <f t="shared" si="91"/>
        <v>3369</v>
      </c>
      <c r="F103" s="220">
        <f t="shared" si="83"/>
        <v>854</v>
      </c>
      <c r="G103" s="220">
        <f t="shared" si="84"/>
        <v>907</v>
      </c>
      <c r="H103" s="220">
        <f t="shared" si="85"/>
        <v>947</v>
      </c>
      <c r="I103" s="220">
        <f t="shared" si="86"/>
        <v>990</v>
      </c>
      <c r="J103" s="220">
        <f t="shared" si="87"/>
        <v>830</v>
      </c>
      <c r="K103" s="220">
        <f t="shared" si="69"/>
        <v>2515</v>
      </c>
      <c r="L103" s="220">
        <f t="shared" si="69"/>
        <v>2462</v>
      </c>
      <c r="M103" s="220">
        <f t="shared" si="69"/>
        <v>2422</v>
      </c>
      <c r="N103" s="220">
        <f t="shared" si="69"/>
        <v>2379</v>
      </c>
      <c r="O103" s="220">
        <f t="shared" si="69"/>
        <v>2539</v>
      </c>
      <c r="P103" s="220">
        <f t="shared" si="113"/>
        <v>2000</v>
      </c>
      <c r="Q103" s="220">
        <f t="shared" si="113"/>
        <v>2000</v>
      </c>
      <c r="R103" s="220">
        <f t="shared" si="113"/>
        <v>2000</v>
      </c>
      <c r="S103" s="220">
        <f t="shared" si="113"/>
        <v>2000</v>
      </c>
      <c r="T103" s="220">
        <f t="shared" si="113"/>
        <v>2000</v>
      </c>
      <c r="U103" s="220">
        <f t="shared" si="114"/>
        <v>515</v>
      </c>
      <c r="V103" s="220">
        <f t="shared" si="114"/>
        <v>462</v>
      </c>
      <c r="W103" s="220">
        <f t="shared" si="114"/>
        <v>422</v>
      </c>
      <c r="X103" s="220">
        <f t="shared" si="114"/>
        <v>379</v>
      </c>
      <c r="Y103" s="220">
        <f t="shared" si="114"/>
        <v>539</v>
      </c>
      <c r="Z103" s="220">
        <v>0</v>
      </c>
      <c r="AA103" s="220">
        <v>0</v>
      </c>
      <c r="AB103" s="220">
        <v>3</v>
      </c>
      <c r="AC103" s="220">
        <v>3</v>
      </c>
      <c r="AD103" s="220">
        <v>0</v>
      </c>
      <c r="AE103" s="220">
        <f t="shared" si="115"/>
        <v>-94</v>
      </c>
      <c r="AF103" s="220">
        <f t="shared" si="115"/>
        <v>-117</v>
      </c>
      <c r="AG103" s="220">
        <f t="shared" si="115"/>
        <v>-177</v>
      </c>
      <c r="AH103" s="220">
        <f t="shared" si="115"/>
        <v>-170</v>
      </c>
      <c r="AI103" s="220">
        <f t="shared" si="115"/>
        <v>-110</v>
      </c>
      <c r="AJ103" s="50">
        <f t="shared" si="95"/>
        <v>1.6220000000000057</v>
      </c>
      <c r="AK103" s="257"/>
      <c r="AL103" s="257">
        <f t="shared" si="96"/>
        <v>1.2</v>
      </c>
      <c r="AM103" s="52"/>
      <c r="AN103" s="88"/>
    </row>
    <row r="104" spans="1:40" s="29" customFormat="1" ht="17.25" customHeight="1">
      <c r="A104" s="48">
        <v>95</v>
      </c>
      <c r="B104" s="49">
        <f t="shared" si="88"/>
        <v>45647</v>
      </c>
      <c r="C104" s="220">
        <f t="shared" si="89"/>
        <v>1049</v>
      </c>
      <c r="D104" s="220">
        <f t="shared" ref="D104" si="127">D103-18</f>
        <v>2302</v>
      </c>
      <c r="E104" s="220">
        <f t="shared" si="91"/>
        <v>3351</v>
      </c>
      <c r="F104" s="220">
        <f t="shared" si="83"/>
        <v>837</v>
      </c>
      <c r="G104" s="220">
        <f t="shared" si="84"/>
        <v>889</v>
      </c>
      <c r="H104" s="220">
        <f t="shared" si="85"/>
        <v>930</v>
      </c>
      <c r="I104" s="220">
        <f t="shared" si="86"/>
        <v>972</v>
      </c>
      <c r="J104" s="220">
        <f t="shared" si="87"/>
        <v>814</v>
      </c>
      <c r="K104" s="220">
        <f t="shared" si="69"/>
        <v>2514</v>
      </c>
      <c r="L104" s="220">
        <f t="shared" si="69"/>
        <v>2462</v>
      </c>
      <c r="M104" s="220">
        <f t="shared" si="69"/>
        <v>2421</v>
      </c>
      <c r="N104" s="220">
        <f t="shared" si="69"/>
        <v>2379</v>
      </c>
      <c r="O104" s="220">
        <f t="shared" si="69"/>
        <v>2537</v>
      </c>
      <c r="P104" s="220">
        <f t="shared" si="113"/>
        <v>2000</v>
      </c>
      <c r="Q104" s="220">
        <f t="shared" si="113"/>
        <v>2000</v>
      </c>
      <c r="R104" s="220">
        <f t="shared" si="113"/>
        <v>2000</v>
      </c>
      <c r="S104" s="220">
        <f t="shared" si="113"/>
        <v>2000</v>
      </c>
      <c r="T104" s="220">
        <f t="shared" si="113"/>
        <v>2000</v>
      </c>
      <c r="U104" s="220">
        <f t="shared" si="114"/>
        <v>514</v>
      </c>
      <c r="V104" s="220">
        <f t="shared" si="114"/>
        <v>462</v>
      </c>
      <c r="W104" s="220">
        <f t="shared" si="114"/>
        <v>421</v>
      </c>
      <c r="X104" s="220">
        <f t="shared" si="114"/>
        <v>379</v>
      </c>
      <c r="Y104" s="220">
        <f t="shared" si="114"/>
        <v>537</v>
      </c>
      <c r="Z104" s="220">
        <v>1</v>
      </c>
      <c r="AA104" s="220">
        <v>0</v>
      </c>
      <c r="AB104" s="220">
        <v>1</v>
      </c>
      <c r="AC104" s="220">
        <v>0</v>
      </c>
      <c r="AD104" s="220">
        <v>2</v>
      </c>
      <c r="AE104" s="220">
        <f t="shared" si="115"/>
        <v>-95</v>
      </c>
      <c r="AF104" s="220">
        <f t="shared" si="115"/>
        <v>-117</v>
      </c>
      <c r="AG104" s="220">
        <f t="shared" si="115"/>
        <v>-178</v>
      </c>
      <c r="AH104" s="220">
        <f t="shared" si="115"/>
        <v>-170</v>
      </c>
      <c r="AI104" s="220">
        <f t="shared" si="115"/>
        <v>-112</v>
      </c>
      <c r="AJ104" s="50">
        <f t="shared" si="95"/>
        <v>1.6210000000000058</v>
      </c>
      <c r="AK104" s="257"/>
      <c r="AL104" s="257">
        <f t="shared" si="96"/>
        <v>1.2</v>
      </c>
      <c r="AM104" s="52"/>
      <c r="AN104" s="88"/>
    </row>
    <row r="105" spans="1:40" s="29" customFormat="1" ht="17.25" customHeight="1">
      <c r="A105" s="48">
        <v>96</v>
      </c>
      <c r="B105" s="49">
        <f t="shared" si="88"/>
        <v>45648</v>
      </c>
      <c r="C105" s="220">
        <f t="shared" si="89"/>
        <v>1049</v>
      </c>
      <c r="D105" s="220">
        <f t="shared" ref="D105" si="128">D104-26</f>
        <v>2276</v>
      </c>
      <c r="E105" s="220">
        <f t="shared" si="91"/>
        <v>3325</v>
      </c>
      <c r="F105" s="220">
        <f t="shared" si="83"/>
        <v>811</v>
      </c>
      <c r="G105" s="220">
        <f t="shared" si="84"/>
        <v>863</v>
      </c>
      <c r="H105" s="220">
        <f t="shared" si="85"/>
        <v>904</v>
      </c>
      <c r="I105" s="220">
        <f t="shared" si="86"/>
        <v>949</v>
      </c>
      <c r="J105" s="220">
        <f t="shared" si="87"/>
        <v>788</v>
      </c>
      <c r="K105" s="220">
        <f t="shared" si="69"/>
        <v>2514</v>
      </c>
      <c r="L105" s="220">
        <f t="shared" si="69"/>
        <v>2462</v>
      </c>
      <c r="M105" s="220">
        <f t="shared" si="69"/>
        <v>2421</v>
      </c>
      <c r="N105" s="220">
        <f t="shared" si="69"/>
        <v>2376</v>
      </c>
      <c r="O105" s="220">
        <f t="shared" si="69"/>
        <v>2537</v>
      </c>
      <c r="P105" s="220">
        <f t="shared" si="113"/>
        <v>2000</v>
      </c>
      <c r="Q105" s="220">
        <f t="shared" si="113"/>
        <v>2000</v>
      </c>
      <c r="R105" s="220">
        <f t="shared" si="113"/>
        <v>2000</v>
      </c>
      <c r="S105" s="220">
        <f t="shared" si="113"/>
        <v>2000</v>
      </c>
      <c r="T105" s="220">
        <f t="shared" si="113"/>
        <v>2000</v>
      </c>
      <c r="U105" s="220">
        <f t="shared" si="114"/>
        <v>514</v>
      </c>
      <c r="V105" s="220">
        <f t="shared" si="114"/>
        <v>462</v>
      </c>
      <c r="W105" s="220">
        <f t="shared" si="114"/>
        <v>421</v>
      </c>
      <c r="X105" s="220">
        <f t="shared" si="114"/>
        <v>376</v>
      </c>
      <c r="Y105" s="220">
        <f t="shared" si="114"/>
        <v>537</v>
      </c>
      <c r="Z105" s="220">
        <v>0</v>
      </c>
      <c r="AA105" s="220">
        <v>0</v>
      </c>
      <c r="AB105" s="220">
        <v>0</v>
      </c>
      <c r="AC105" s="220">
        <v>3</v>
      </c>
      <c r="AD105" s="220">
        <v>0</v>
      </c>
      <c r="AE105" s="220">
        <f t="shared" si="115"/>
        <v>-95</v>
      </c>
      <c r="AF105" s="220">
        <f t="shared" si="115"/>
        <v>-117</v>
      </c>
      <c r="AG105" s="220">
        <f t="shared" si="115"/>
        <v>-178</v>
      </c>
      <c r="AH105" s="220">
        <f t="shared" si="115"/>
        <v>-173</v>
      </c>
      <c r="AI105" s="220">
        <f t="shared" si="115"/>
        <v>-112</v>
      </c>
      <c r="AJ105" s="50">
        <f t="shared" si="95"/>
        <v>1.6210000000000058</v>
      </c>
      <c r="AK105" s="257"/>
      <c r="AL105" s="257">
        <f t="shared" si="96"/>
        <v>1.2</v>
      </c>
      <c r="AM105" s="52"/>
      <c r="AN105" s="88"/>
    </row>
    <row r="106" spans="1:40" s="29" customFormat="1" ht="17.25" customHeight="1">
      <c r="A106" s="48">
        <v>97</v>
      </c>
      <c r="B106" s="49">
        <f t="shared" si="88"/>
        <v>45649</v>
      </c>
      <c r="C106" s="220">
        <f t="shared" si="89"/>
        <v>1049</v>
      </c>
      <c r="D106" s="220">
        <f t="shared" ref="D106" si="129">D105+15</f>
        <v>2291</v>
      </c>
      <c r="E106" s="220">
        <f t="shared" si="91"/>
        <v>3340</v>
      </c>
      <c r="F106" s="220">
        <f t="shared" si="83"/>
        <v>826</v>
      </c>
      <c r="G106" s="220">
        <f t="shared" si="84"/>
        <v>881</v>
      </c>
      <c r="H106" s="220">
        <f t="shared" si="85"/>
        <v>919</v>
      </c>
      <c r="I106" s="220">
        <f t="shared" si="86"/>
        <v>964</v>
      </c>
      <c r="J106" s="220">
        <f t="shared" si="87"/>
        <v>803</v>
      </c>
      <c r="K106" s="220">
        <f t="shared" si="69"/>
        <v>2514</v>
      </c>
      <c r="L106" s="220">
        <f t="shared" si="69"/>
        <v>2459</v>
      </c>
      <c r="M106" s="220">
        <f t="shared" si="69"/>
        <v>2421</v>
      </c>
      <c r="N106" s="220">
        <f t="shared" si="69"/>
        <v>2376</v>
      </c>
      <c r="O106" s="220">
        <f t="shared" si="69"/>
        <v>2537</v>
      </c>
      <c r="P106" s="220">
        <f t="shared" si="113"/>
        <v>2000</v>
      </c>
      <c r="Q106" s="220">
        <f t="shared" si="113"/>
        <v>2000</v>
      </c>
      <c r="R106" s="220">
        <f t="shared" si="113"/>
        <v>2000</v>
      </c>
      <c r="S106" s="220">
        <f t="shared" si="113"/>
        <v>2000</v>
      </c>
      <c r="T106" s="220">
        <f t="shared" si="113"/>
        <v>2000</v>
      </c>
      <c r="U106" s="220">
        <f t="shared" si="114"/>
        <v>514</v>
      </c>
      <c r="V106" s="220">
        <f t="shared" si="114"/>
        <v>459</v>
      </c>
      <c r="W106" s="220">
        <f t="shared" si="114"/>
        <v>421</v>
      </c>
      <c r="X106" s="220">
        <f t="shared" si="114"/>
        <v>376</v>
      </c>
      <c r="Y106" s="220">
        <f t="shared" si="114"/>
        <v>537</v>
      </c>
      <c r="Z106" s="220">
        <v>0</v>
      </c>
      <c r="AA106" s="220">
        <v>3</v>
      </c>
      <c r="AB106" s="220">
        <v>0</v>
      </c>
      <c r="AC106" s="220">
        <v>0</v>
      </c>
      <c r="AD106" s="220">
        <v>0</v>
      </c>
      <c r="AE106" s="220">
        <f t="shared" si="115"/>
        <v>-95</v>
      </c>
      <c r="AF106" s="220">
        <f t="shared" si="115"/>
        <v>-120</v>
      </c>
      <c r="AG106" s="220">
        <f t="shared" si="115"/>
        <v>-178</v>
      </c>
      <c r="AH106" s="220">
        <f t="shared" si="115"/>
        <v>-173</v>
      </c>
      <c r="AI106" s="220">
        <f t="shared" si="115"/>
        <v>-112</v>
      </c>
      <c r="AJ106" s="50">
        <f t="shared" si="95"/>
        <v>1.6210000000000058</v>
      </c>
      <c r="AK106" s="257"/>
      <c r="AL106" s="257">
        <f t="shared" si="96"/>
        <v>1.2</v>
      </c>
      <c r="AM106" s="52"/>
      <c r="AN106" s="88"/>
    </row>
    <row r="107" spans="1:40" s="29" customFormat="1" ht="17.25" customHeight="1">
      <c r="A107" s="48">
        <v>98</v>
      </c>
      <c r="B107" s="49">
        <f t="shared" si="88"/>
        <v>45650</v>
      </c>
      <c r="C107" s="220">
        <f t="shared" si="89"/>
        <v>1049</v>
      </c>
      <c r="D107" s="220">
        <f t="shared" ref="D107" si="130">D106+26</f>
        <v>2317</v>
      </c>
      <c r="E107" s="220">
        <f t="shared" si="91"/>
        <v>3366</v>
      </c>
      <c r="F107" s="220">
        <f t="shared" si="83"/>
        <v>853</v>
      </c>
      <c r="G107" s="220">
        <f t="shared" si="84"/>
        <v>907</v>
      </c>
      <c r="H107" s="220">
        <f t="shared" si="85"/>
        <v>946</v>
      </c>
      <c r="I107" s="220">
        <f t="shared" si="86"/>
        <v>990</v>
      </c>
      <c r="J107" s="220">
        <f t="shared" si="87"/>
        <v>830</v>
      </c>
      <c r="K107" s="220">
        <f t="shared" si="69"/>
        <v>2513</v>
      </c>
      <c r="L107" s="220">
        <f t="shared" si="69"/>
        <v>2459</v>
      </c>
      <c r="M107" s="220">
        <f t="shared" si="69"/>
        <v>2420</v>
      </c>
      <c r="N107" s="220">
        <f t="shared" si="69"/>
        <v>2376</v>
      </c>
      <c r="O107" s="220">
        <f t="shared" si="69"/>
        <v>2536</v>
      </c>
      <c r="P107" s="220">
        <f t="shared" si="113"/>
        <v>2000</v>
      </c>
      <c r="Q107" s="220">
        <f t="shared" si="113"/>
        <v>2000</v>
      </c>
      <c r="R107" s="220">
        <f t="shared" si="113"/>
        <v>2000</v>
      </c>
      <c r="S107" s="220">
        <f t="shared" si="113"/>
        <v>2000</v>
      </c>
      <c r="T107" s="220">
        <f t="shared" si="113"/>
        <v>2000</v>
      </c>
      <c r="U107" s="220">
        <f t="shared" si="114"/>
        <v>513</v>
      </c>
      <c r="V107" s="220">
        <f t="shared" si="114"/>
        <v>459</v>
      </c>
      <c r="W107" s="220">
        <f t="shared" si="114"/>
        <v>420</v>
      </c>
      <c r="X107" s="220">
        <f t="shared" si="114"/>
        <v>376</v>
      </c>
      <c r="Y107" s="220">
        <f t="shared" si="114"/>
        <v>536</v>
      </c>
      <c r="Z107" s="220">
        <v>1</v>
      </c>
      <c r="AA107" s="220">
        <v>0</v>
      </c>
      <c r="AB107" s="220">
        <v>1</v>
      </c>
      <c r="AC107" s="220">
        <v>0</v>
      </c>
      <c r="AD107" s="220">
        <v>1</v>
      </c>
      <c r="AE107" s="220">
        <f t="shared" si="115"/>
        <v>-96</v>
      </c>
      <c r="AF107" s="220">
        <f t="shared" si="115"/>
        <v>-120</v>
      </c>
      <c r="AG107" s="220">
        <f t="shared" si="115"/>
        <v>-179</v>
      </c>
      <c r="AH107" s="220">
        <f t="shared" si="115"/>
        <v>-173</v>
      </c>
      <c r="AI107" s="220">
        <f t="shared" si="115"/>
        <v>-113</v>
      </c>
      <c r="AJ107" s="50">
        <f t="shared" si="95"/>
        <v>1.6200000000000059</v>
      </c>
      <c r="AK107" s="257"/>
      <c r="AL107" s="257">
        <f t="shared" si="96"/>
        <v>1.2</v>
      </c>
      <c r="AM107" s="52"/>
      <c r="AN107" s="88"/>
    </row>
    <row r="108" spans="1:40" s="29" customFormat="1" ht="17.25" customHeight="1">
      <c r="A108" s="48">
        <v>99</v>
      </c>
      <c r="B108" s="49">
        <f t="shared" si="88"/>
        <v>45651</v>
      </c>
      <c r="C108" s="220">
        <f t="shared" si="89"/>
        <v>1049</v>
      </c>
      <c r="D108" s="220">
        <f t="shared" ref="D108" si="131">D107+32</f>
        <v>2349</v>
      </c>
      <c r="E108" s="220">
        <f t="shared" si="91"/>
        <v>3398</v>
      </c>
      <c r="F108" s="220">
        <f t="shared" si="83"/>
        <v>885</v>
      </c>
      <c r="G108" s="220">
        <f t="shared" si="84"/>
        <v>939</v>
      </c>
      <c r="H108" s="220">
        <f t="shared" si="85"/>
        <v>978</v>
      </c>
      <c r="I108" s="220">
        <f t="shared" si="86"/>
        <v>1025</v>
      </c>
      <c r="J108" s="220">
        <f t="shared" si="87"/>
        <v>864</v>
      </c>
      <c r="K108" s="220">
        <f t="shared" si="69"/>
        <v>2513</v>
      </c>
      <c r="L108" s="220">
        <f t="shared" si="69"/>
        <v>2459</v>
      </c>
      <c r="M108" s="220">
        <f t="shared" si="69"/>
        <v>2420</v>
      </c>
      <c r="N108" s="220">
        <f t="shared" si="69"/>
        <v>2373</v>
      </c>
      <c r="O108" s="220">
        <f t="shared" si="69"/>
        <v>2534</v>
      </c>
      <c r="P108" s="220">
        <f t="shared" ref="P108:T123" si="132">+P107</f>
        <v>2000</v>
      </c>
      <c r="Q108" s="220">
        <f t="shared" si="132"/>
        <v>2000</v>
      </c>
      <c r="R108" s="220">
        <f t="shared" si="132"/>
        <v>2000</v>
      </c>
      <c r="S108" s="220">
        <f t="shared" si="132"/>
        <v>2000</v>
      </c>
      <c r="T108" s="220">
        <f t="shared" si="132"/>
        <v>2000</v>
      </c>
      <c r="U108" s="220">
        <f t="shared" ref="U108:Y123" si="133">U107-Z108</f>
        <v>513</v>
      </c>
      <c r="V108" s="220">
        <f t="shared" si="133"/>
        <v>459</v>
      </c>
      <c r="W108" s="220">
        <f t="shared" si="133"/>
        <v>420</v>
      </c>
      <c r="X108" s="220">
        <f t="shared" si="133"/>
        <v>373</v>
      </c>
      <c r="Y108" s="220">
        <f t="shared" si="133"/>
        <v>534</v>
      </c>
      <c r="Z108" s="220">
        <v>0</v>
      </c>
      <c r="AA108" s="220">
        <v>0</v>
      </c>
      <c r="AB108" s="220">
        <v>0</v>
      </c>
      <c r="AC108" s="220">
        <v>3</v>
      </c>
      <c r="AD108" s="220">
        <v>2</v>
      </c>
      <c r="AE108" s="220">
        <f t="shared" ref="AE108:AI123" si="134">AE107-Z108</f>
        <v>-96</v>
      </c>
      <c r="AF108" s="220">
        <f t="shared" si="134"/>
        <v>-120</v>
      </c>
      <c r="AG108" s="220">
        <f t="shared" si="134"/>
        <v>-179</v>
      </c>
      <c r="AH108" s="220">
        <f t="shared" si="134"/>
        <v>-176</v>
      </c>
      <c r="AI108" s="220">
        <f t="shared" si="134"/>
        <v>-115</v>
      </c>
      <c r="AJ108" s="50">
        <f t="shared" si="95"/>
        <v>1.6200000000000059</v>
      </c>
      <c r="AK108" s="257"/>
      <c r="AL108" s="257">
        <f t="shared" si="96"/>
        <v>1.2</v>
      </c>
      <c r="AM108" s="52"/>
      <c r="AN108" s="88"/>
    </row>
    <row r="109" spans="1:40" s="29" customFormat="1" ht="17.25" customHeight="1">
      <c r="A109" s="48">
        <v>100</v>
      </c>
      <c r="B109" s="49">
        <f t="shared" si="88"/>
        <v>45652</v>
      </c>
      <c r="C109" s="220">
        <f t="shared" si="89"/>
        <v>1049</v>
      </c>
      <c r="D109" s="220">
        <f t="shared" ref="D109" si="135">D108-18</f>
        <v>2331</v>
      </c>
      <c r="E109" s="220">
        <f t="shared" si="91"/>
        <v>3380</v>
      </c>
      <c r="F109" s="220">
        <f t="shared" si="83"/>
        <v>868</v>
      </c>
      <c r="G109" s="220">
        <f t="shared" si="84"/>
        <v>921</v>
      </c>
      <c r="H109" s="220">
        <f t="shared" si="85"/>
        <v>961</v>
      </c>
      <c r="I109" s="220">
        <f t="shared" si="86"/>
        <v>1007</v>
      </c>
      <c r="J109" s="220">
        <f t="shared" si="87"/>
        <v>846</v>
      </c>
      <c r="K109" s="220">
        <f t="shared" si="69"/>
        <v>2512</v>
      </c>
      <c r="L109" s="220">
        <f t="shared" si="69"/>
        <v>2459</v>
      </c>
      <c r="M109" s="220">
        <f t="shared" si="69"/>
        <v>2419</v>
      </c>
      <c r="N109" s="220">
        <f t="shared" si="69"/>
        <v>2373</v>
      </c>
      <c r="O109" s="220">
        <f t="shared" si="69"/>
        <v>2534</v>
      </c>
      <c r="P109" s="220">
        <f t="shared" si="132"/>
        <v>2000</v>
      </c>
      <c r="Q109" s="220">
        <f t="shared" si="132"/>
        <v>2000</v>
      </c>
      <c r="R109" s="220">
        <f t="shared" si="132"/>
        <v>2000</v>
      </c>
      <c r="S109" s="220">
        <f t="shared" si="132"/>
        <v>2000</v>
      </c>
      <c r="T109" s="220">
        <f t="shared" si="132"/>
        <v>2000</v>
      </c>
      <c r="U109" s="220">
        <f t="shared" si="133"/>
        <v>512</v>
      </c>
      <c r="V109" s="220">
        <f t="shared" si="133"/>
        <v>459</v>
      </c>
      <c r="W109" s="220">
        <f t="shared" si="133"/>
        <v>419</v>
      </c>
      <c r="X109" s="220">
        <f t="shared" si="133"/>
        <v>373</v>
      </c>
      <c r="Y109" s="220">
        <f t="shared" si="133"/>
        <v>534</v>
      </c>
      <c r="Z109" s="220">
        <v>1</v>
      </c>
      <c r="AA109" s="220">
        <v>0</v>
      </c>
      <c r="AB109" s="220">
        <v>1</v>
      </c>
      <c r="AC109" s="220">
        <v>0</v>
      </c>
      <c r="AD109" s="220">
        <v>0</v>
      </c>
      <c r="AE109" s="220">
        <f t="shared" si="134"/>
        <v>-97</v>
      </c>
      <c r="AF109" s="220">
        <f t="shared" si="134"/>
        <v>-120</v>
      </c>
      <c r="AG109" s="220">
        <f t="shared" si="134"/>
        <v>-180</v>
      </c>
      <c r="AH109" s="220">
        <f t="shared" si="134"/>
        <v>-176</v>
      </c>
      <c r="AI109" s="220">
        <f t="shared" si="134"/>
        <v>-115</v>
      </c>
      <c r="AJ109" s="50">
        <f t="shared" si="95"/>
        <v>1.619000000000006</v>
      </c>
      <c r="AK109" s="257"/>
      <c r="AL109" s="257">
        <f t="shared" si="96"/>
        <v>1.2</v>
      </c>
      <c r="AM109" s="52"/>
      <c r="AN109" s="88"/>
    </row>
    <row r="110" spans="1:40" s="29" customFormat="1" ht="17.25" customHeight="1">
      <c r="A110" s="48">
        <v>101</v>
      </c>
      <c r="B110" s="49">
        <f t="shared" si="88"/>
        <v>45653</v>
      </c>
      <c r="C110" s="220">
        <f t="shared" si="89"/>
        <v>1049</v>
      </c>
      <c r="D110" s="220">
        <f t="shared" ref="D110" si="136">D109-26</f>
        <v>2305</v>
      </c>
      <c r="E110" s="220">
        <f t="shared" si="91"/>
        <v>3354</v>
      </c>
      <c r="F110" s="220">
        <f t="shared" si="83"/>
        <v>842</v>
      </c>
      <c r="G110" s="220">
        <f t="shared" si="84"/>
        <v>896</v>
      </c>
      <c r="H110" s="220">
        <f t="shared" si="85"/>
        <v>935</v>
      </c>
      <c r="I110" s="220">
        <f t="shared" si="86"/>
        <v>982</v>
      </c>
      <c r="J110" s="220">
        <f t="shared" si="87"/>
        <v>820</v>
      </c>
      <c r="K110" s="220">
        <f t="shared" si="69"/>
        <v>2512</v>
      </c>
      <c r="L110" s="220">
        <f t="shared" si="69"/>
        <v>2458</v>
      </c>
      <c r="M110" s="220">
        <f t="shared" si="69"/>
        <v>2419</v>
      </c>
      <c r="N110" s="220">
        <f t="shared" si="69"/>
        <v>2372</v>
      </c>
      <c r="O110" s="220">
        <f t="shared" si="69"/>
        <v>2534</v>
      </c>
      <c r="P110" s="220">
        <f t="shared" si="132"/>
        <v>2000</v>
      </c>
      <c r="Q110" s="220">
        <f t="shared" si="132"/>
        <v>2000</v>
      </c>
      <c r="R110" s="220">
        <f t="shared" si="132"/>
        <v>2000</v>
      </c>
      <c r="S110" s="220">
        <f t="shared" si="132"/>
        <v>2000</v>
      </c>
      <c r="T110" s="220">
        <f t="shared" si="132"/>
        <v>2000</v>
      </c>
      <c r="U110" s="220">
        <f t="shared" si="133"/>
        <v>512</v>
      </c>
      <c r="V110" s="220">
        <f t="shared" si="133"/>
        <v>458</v>
      </c>
      <c r="W110" s="220">
        <f t="shared" si="133"/>
        <v>419</v>
      </c>
      <c r="X110" s="220">
        <f t="shared" si="133"/>
        <v>372</v>
      </c>
      <c r="Y110" s="220">
        <f t="shared" si="133"/>
        <v>534</v>
      </c>
      <c r="Z110" s="220">
        <v>0</v>
      </c>
      <c r="AA110" s="220">
        <v>1</v>
      </c>
      <c r="AB110" s="220">
        <v>0</v>
      </c>
      <c r="AC110" s="220">
        <v>1</v>
      </c>
      <c r="AD110" s="220">
        <v>0</v>
      </c>
      <c r="AE110" s="220">
        <f t="shared" si="134"/>
        <v>-97</v>
      </c>
      <c r="AF110" s="220">
        <f t="shared" si="134"/>
        <v>-121</v>
      </c>
      <c r="AG110" s="220">
        <f t="shared" si="134"/>
        <v>-180</v>
      </c>
      <c r="AH110" s="220">
        <f t="shared" si="134"/>
        <v>-177</v>
      </c>
      <c r="AI110" s="220">
        <f t="shared" si="134"/>
        <v>-115</v>
      </c>
      <c r="AJ110" s="50">
        <f t="shared" si="95"/>
        <v>1.619000000000006</v>
      </c>
      <c r="AK110" s="257"/>
      <c r="AL110" s="257">
        <f t="shared" si="96"/>
        <v>1.2</v>
      </c>
      <c r="AM110" s="52"/>
      <c r="AN110" s="88"/>
    </row>
    <row r="111" spans="1:40" s="29" customFormat="1" ht="17.25" customHeight="1">
      <c r="A111" s="48">
        <v>102</v>
      </c>
      <c r="B111" s="49">
        <f t="shared" si="88"/>
        <v>45654</v>
      </c>
      <c r="C111" s="220">
        <f t="shared" si="89"/>
        <v>1049</v>
      </c>
      <c r="D111" s="220">
        <f t="shared" ref="D111" si="137">D110+15</f>
        <v>2320</v>
      </c>
      <c r="E111" s="220">
        <f t="shared" si="91"/>
        <v>3369</v>
      </c>
      <c r="F111" s="220">
        <f t="shared" si="83"/>
        <v>858</v>
      </c>
      <c r="G111" s="220">
        <f t="shared" si="84"/>
        <v>913</v>
      </c>
      <c r="H111" s="220">
        <f t="shared" si="85"/>
        <v>951</v>
      </c>
      <c r="I111" s="220">
        <f t="shared" si="86"/>
        <v>999</v>
      </c>
      <c r="J111" s="220">
        <f t="shared" si="87"/>
        <v>835</v>
      </c>
      <c r="K111" s="220">
        <f t="shared" si="69"/>
        <v>2511</v>
      </c>
      <c r="L111" s="220">
        <f t="shared" si="69"/>
        <v>2456</v>
      </c>
      <c r="M111" s="220">
        <f t="shared" si="69"/>
        <v>2418</v>
      </c>
      <c r="N111" s="220">
        <f t="shared" si="69"/>
        <v>2370</v>
      </c>
      <c r="O111" s="220">
        <f t="shared" si="69"/>
        <v>2534</v>
      </c>
      <c r="P111" s="220">
        <f t="shared" si="132"/>
        <v>2000</v>
      </c>
      <c r="Q111" s="220">
        <f t="shared" si="132"/>
        <v>2000</v>
      </c>
      <c r="R111" s="220">
        <f t="shared" si="132"/>
        <v>2000</v>
      </c>
      <c r="S111" s="220">
        <f t="shared" si="132"/>
        <v>2000</v>
      </c>
      <c r="T111" s="220">
        <f t="shared" si="132"/>
        <v>2000</v>
      </c>
      <c r="U111" s="220">
        <f t="shared" si="133"/>
        <v>511</v>
      </c>
      <c r="V111" s="220">
        <f t="shared" si="133"/>
        <v>456</v>
      </c>
      <c r="W111" s="220">
        <f t="shared" si="133"/>
        <v>418</v>
      </c>
      <c r="X111" s="220">
        <f t="shared" si="133"/>
        <v>370</v>
      </c>
      <c r="Y111" s="220">
        <f t="shared" si="133"/>
        <v>534</v>
      </c>
      <c r="Z111" s="220">
        <v>1</v>
      </c>
      <c r="AA111" s="220">
        <v>2</v>
      </c>
      <c r="AB111" s="220">
        <v>1</v>
      </c>
      <c r="AC111" s="220">
        <v>2</v>
      </c>
      <c r="AD111" s="220">
        <v>0</v>
      </c>
      <c r="AE111" s="220">
        <f t="shared" si="134"/>
        <v>-98</v>
      </c>
      <c r="AF111" s="220">
        <f t="shared" si="134"/>
        <v>-123</v>
      </c>
      <c r="AG111" s="220">
        <f t="shared" si="134"/>
        <v>-181</v>
      </c>
      <c r="AH111" s="220">
        <f t="shared" si="134"/>
        <v>-179</v>
      </c>
      <c r="AI111" s="220">
        <f t="shared" si="134"/>
        <v>-115</v>
      </c>
      <c r="AJ111" s="50">
        <f t="shared" si="95"/>
        <v>1.6180000000000061</v>
      </c>
      <c r="AK111" s="257"/>
      <c r="AL111" s="257">
        <f t="shared" si="96"/>
        <v>1.2</v>
      </c>
      <c r="AM111" s="52"/>
      <c r="AN111" s="88"/>
    </row>
    <row r="112" spans="1:40" s="29" customFormat="1" ht="17.25" customHeight="1">
      <c r="A112" s="48">
        <v>103</v>
      </c>
      <c r="B112" s="49">
        <f t="shared" si="88"/>
        <v>45655</v>
      </c>
      <c r="C112" s="220">
        <f t="shared" si="89"/>
        <v>1049</v>
      </c>
      <c r="D112" s="220">
        <f t="shared" ref="D112" si="138">D111+26</f>
        <v>2346</v>
      </c>
      <c r="E112" s="220">
        <f t="shared" si="91"/>
        <v>3395</v>
      </c>
      <c r="F112" s="220">
        <f t="shared" si="83"/>
        <v>884</v>
      </c>
      <c r="G112" s="220">
        <f t="shared" si="84"/>
        <v>939</v>
      </c>
      <c r="H112" s="220">
        <f t="shared" si="85"/>
        <v>977</v>
      </c>
      <c r="I112" s="220">
        <f t="shared" si="86"/>
        <v>1028</v>
      </c>
      <c r="J112" s="220">
        <f t="shared" si="87"/>
        <v>861</v>
      </c>
      <c r="K112" s="220">
        <f t="shared" si="69"/>
        <v>2511</v>
      </c>
      <c r="L112" s="220">
        <f t="shared" si="69"/>
        <v>2456</v>
      </c>
      <c r="M112" s="220">
        <f t="shared" si="69"/>
        <v>2418</v>
      </c>
      <c r="N112" s="220">
        <f t="shared" si="69"/>
        <v>2367</v>
      </c>
      <c r="O112" s="220">
        <f t="shared" si="69"/>
        <v>2534</v>
      </c>
      <c r="P112" s="220">
        <f t="shared" si="132"/>
        <v>2000</v>
      </c>
      <c r="Q112" s="220">
        <f t="shared" si="132"/>
        <v>2000</v>
      </c>
      <c r="R112" s="220">
        <f t="shared" si="132"/>
        <v>2000</v>
      </c>
      <c r="S112" s="220">
        <f t="shared" si="132"/>
        <v>2000</v>
      </c>
      <c r="T112" s="220">
        <f t="shared" si="132"/>
        <v>2000</v>
      </c>
      <c r="U112" s="220">
        <f t="shared" si="133"/>
        <v>511</v>
      </c>
      <c r="V112" s="220">
        <f t="shared" si="133"/>
        <v>456</v>
      </c>
      <c r="W112" s="220">
        <f t="shared" si="133"/>
        <v>418</v>
      </c>
      <c r="X112" s="220">
        <f t="shared" si="133"/>
        <v>367</v>
      </c>
      <c r="Y112" s="220">
        <f t="shared" si="133"/>
        <v>534</v>
      </c>
      <c r="Z112" s="220">
        <v>0</v>
      </c>
      <c r="AA112" s="220">
        <v>0</v>
      </c>
      <c r="AB112" s="220">
        <v>0</v>
      </c>
      <c r="AC112" s="220">
        <v>3</v>
      </c>
      <c r="AD112" s="220">
        <v>0</v>
      </c>
      <c r="AE112" s="220">
        <f t="shared" si="134"/>
        <v>-98</v>
      </c>
      <c r="AF112" s="220">
        <f t="shared" si="134"/>
        <v>-123</v>
      </c>
      <c r="AG112" s="220">
        <f t="shared" si="134"/>
        <v>-181</v>
      </c>
      <c r="AH112" s="220">
        <f t="shared" si="134"/>
        <v>-182</v>
      </c>
      <c r="AI112" s="220">
        <f t="shared" si="134"/>
        <v>-115</v>
      </c>
      <c r="AJ112" s="50">
        <f t="shared" si="95"/>
        <v>1.6180000000000061</v>
      </c>
      <c r="AK112" s="257"/>
      <c r="AL112" s="257">
        <f t="shared" si="96"/>
        <v>1.2</v>
      </c>
      <c r="AM112" s="52"/>
      <c r="AN112" s="88"/>
    </row>
    <row r="113" spans="1:40" s="29" customFormat="1" ht="17.25" customHeight="1">
      <c r="A113" s="48">
        <v>104</v>
      </c>
      <c r="B113" s="49">
        <f t="shared" si="88"/>
        <v>45656</v>
      </c>
      <c r="C113" s="220">
        <f t="shared" si="89"/>
        <v>1049</v>
      </c>
      <c r="D113" s="220">
        <f t="shared" ref="D113" si="139">D112+32</f>
        <v>2378</v>
      </c>
      <c r="E113" s="220">
        <f t="shared" si="91"/>
        <v>3427</v>
      </c>
      <c r="F113" s="220">
        <f t="shared" si="83"/>
        <v>917</v>
      </c>
      <c r="G113" s="220">
        <f t="shared" si="84"/>
        <v>972</v>
      </c>
      <c r="H113" s="220">
        <f t="shared" si="85"/>
        <v>1010</v>
      </c>
      <c r="I113" s="220">
        <f t="shared" si="86"/>
        <v>1061</v>
      </c>
      <c r="J113" s="220">
        <f t="shared" si="87"/>
        <v>893</v>
      </c>
      <c r="K113" s="220">
        <f t="shared" ref="K113:O163" si="140">P113+U113</f>
        <v>2510</v>
      </c>
      <c r="L113" s="220">
        <f t="shared" si="140"/>
        <v>2455</v>
      </c>
      <c r="M113" s="220">
        <f t="shared" si="140"/>
        <v>2417</v>
      </c>
      <c r="N113" s="220">
        <f t="shared" si="140"/>
        <v>2366</v>
      </c>
      <c r="O113" s="220">
        <f t="shared" si="140"/>
        <v>2534</v>
      </c>
      <c r="P113" s="220">
        <f t="shared" si="132"/>
        <v>2000</v>
      </c>
      <c r="Q113" s="220">
        <f t="shared" si="132"/>
        <v>2000</v>
      </c>
      <c r="R113" s="220">
        <f t="shared" si="132"/>
        <v>2000</v>
      </c>
      <c r="S113" s="220">
        <f t="shared" si="132"/>
        <v>2000</v>
      </c>
      <c r="T113" s="220">
        <f t="shared" si="132"/>
        <v>2000</v>
      </c>
      <c r="U113" s="220">
        <f t="shared" si="133"/>
        <v>510</v>
      </c>
      <c r="V113" s="220">
        <f t="shared" si="133"/>
        <v>455</v>
      </c>
      <c r="W113" s="220">
        <f t="shared" si="133"/>
        <v>417</v>
      </c>
      <c r="X113" s="220">
        <f t="shared" si="133"/>
        <v>366</v>
      </c>
      <c r="Y113" s="220">
        <f t="shared" si="133"/>
        <v>534</v>
      </c>
      <c r="Z113" s="220">
        <v>1</v>
      </c>
      <c r="AA113" s="220">
        <v>1</v>
      </c>
      <c r="AB113" s="220">
        <v>1</v>
      </c>
      <c r="AC113" s="220">
        <v>1</v>
      </c>
      <c r="AD113" s="220">
        <v>0</v>
      </c>
      <c r="AE113" s="220">
        <f t="shared" si="134"/>
        <v>-99</v>
      </c>
      <c r="AF113" s="220">
        <f t="shared" si="134"/>
        <v>-124</v>
      </c>
      <c r="AG113" s="220">
        <f t="shared" si="134"/>
        <v>-182</v>
      </c>
      <c r="AH113" s="220">
        <f t="shared" si="134"/>
        <v>-183</v>
      </c>
      <c r="AI113" s="220">
        <f t="shared" si="134"/>
        <v>-115</v>
      </c>
      <c r="AJ113" s="50">
        <f t="shared" si="95"/>
        <v>1.6170000000000062</v>
      </c>
      <c r="AK113" s="257"/>
      <c r="AL113" s="257">
        <f t="shared" si="96"/>
        <v>1.2</v>
      </c>
      <c r="AM113" s="52"/>
      <c r="AN113" s="88"/>
    </row>
    <row r="114" spans="1:40" s="29" customFormat="1" ht="17.25" customHeight="1">
      <c r="A114" s="48">
        <v>105</v>
      </c>
      <c r="B114" s="49">
        <f t="shared" si="88"/>
        <v>45657</v>
      </c>
      <c r="C114" s="220">
        <f t="shared" si="89"/>
        <v>1049</v>
      </c>
      <c r="D114" s="220">
        <f t="shared" ref="D114" si="141">D113-18</f>
        <v>2360</v>
      </c>
      <c r="E114" s="220">
        <f t="shared" si="91"/>
        <v>3409</v>
      </c>
      <c r="F114" s="220">
        <f t="shared" si="83"/>
        <v>899</v>
      </c>
      <c r="G114" s="220">
        <f t="shared" si="84"/>
        <v>954</v>
      </c>
      <c r="H114" s="220">
        <f t="shared" si="85"/>
        <v>995</v>
      </c>
      <c r="I114" s="220">
        <f t="shared" si="86"/>
        <v>1043</v>
      </c>
      <c r="J114" s="220">
        <f t="shared" si="87"/>
        <v>875</v>
      </c>
      <c r="K114" s="220">
        <f t="shared" si="140"/>
        <v>2510</v>
      </c>
      <c r="L114" s="220">
        <f t="shared" si="140"/>
        <v>2455</v>
      </c>
      <c r="M114" s="220">
        <f t="shared" si="140"/>
        <v>2414</v>
      </c>
      <c r="N114" s="220">
        <f t="shared" si="140"/>
        <v>2366</v>
      </c>
      <c r="O114" s="220">
        <f t="shared" si="140"/>
        <v>2534</v>
      </c>
      <c r="P114" s="220">
        <f t="shared" si="132"/>
        <v>2000</v>
      </c>
      <c r="Q114" s="220">
        <f t="shared" si="132"/>
        <v>2000</v>
      </c>
      <c r="R114" s="220">
        <f t="shared" si="132"/>
        <v>2000</v>
      </c>
      <c r="S114" s="220">
        <f t="shared" si="132"/>
        <v>2000</v>
      </c>
      <c r="T114" s="220">
        <f t="shared" si="132"/>
        <v>2000</v>
      </c>
      <c r="U114" s="220">
        <f t="shared" si="133"/>
        <v>510</v>
      </c>
      <c r="V114" s="220">
        <f t="shared" si="133"/>
        <v>455</v>
      </c>
      <c r="W114" s="220">
        <f t="shared" si="133"/>
        <v>414</v>
      </c>
      <c r="X114" s="220">
        <f t="shared" si="133"/>
        <v>366</v>
      </c>
      <c r="Y114" s="220">
        <f t="shared" si="133"/>
        <v>534</v>
      </c>
      <c r="Z114" s="220">
        <v>0</v>
      </c>
      <c r="AA114" s="220">
        <v>0</v>
      </c>
      <c r="AB114" s="220">
        <v>3</v>
      </c>
      <c r="AC114" s="220">
        <v>0</v>
      </c>
      <c r="AD114" s="220">
        <v>0</v>
      </c>
      <c r="AE114" s="220">
        <f t="shared" si="134"/>
        <v>-99</v>
      </c>
      <c r="AF114" s="220">
        <f t="shared" si="134"/>
        <v>-124</v>
      </c>
      <c r="AG114" s="220">
        <f t="shared" si="134"/>
        <v>-185</v>
      </c>
      <c r="AH114" s="220">
        <f t="shared" si="134"/>
        <v>-183</v>
      </c>
      <c r="AI114" s="220">
        <f t="shared" si="134"/>
        <v>-115</v>
      </c>
      <c r="AJ114" s="50">
        <f t="shared" si="95"/>
        <v>1.6140000000000063</v>
      </c>
      <c r="AK114" s="257"/>
      <c r="AL114" s="257">
        <f t="shared" si="96"/>
        <v>1.2</v>
      </c>
      <c r="AM114" s="52"/>
      <c r="AN114" s="88"/>
    </row>
    <row r="115" spans="1:40" s="29" customFormat="1" ht="17.25" customHeight="1">
      <c r="A115" s="48">
        <v>106</v>
      </c>
      <c r="B115" s="49">
        <f t="shared" si="88"/>
        <v>45658</v>
      </c>
      <c r="C115" s="220">
        <f t="shared" si="89"/>
        <v>1049</v>
      </c>
      <c r="D115" s="220">
        <f t="shared" ref="D115" si="142">D114-26</f>
        <v>2334</v>
      </c>
      <c r="E115" s="220">
        <f t="shared" si="91"/>
        <v>3383</v>
      </c>
      <c r="F115" s="220">
        <f t="shared" si="83"/>
        <v>874</v>
      </c>
      <c r="G115" s="220">
        <f t="shared" si="84"/>
        <v>929</v>
      </c>
      <c r="H115" s="220">
        <f t="shared" si="85"/>
        <v>970</v>
      </c>
      <c r="I115" s="220">
        <f t="shared" si="86"/>
        <v>1020</v>
      </c>
      <c r="J115" s="220">
        <f t="shared" si="87"/>
        <v>849</v>
      </c>
      <c r="K115" s="220">
        <f t="shared" si="140"/>
        <v>2509</v>
      </c>
      <c r="L115" s="220">
        <f t="shared" si="140"/>
        <v>2454</v>
      </c>
      <c r="M115" s="220">
        <f t="shared" si="140"/>
        <v>2413</v>
      </c>
      <c r="N115" s="220">
        <f t="shared" si="140"/>
        <v>2363</v>
      </c>
      <c r="O115" s="220">
        <f t="shared" si="140"/>
        <v>2534</v>
      </c>
      <c r="P115" s="220">
        <f t="shared" si="132"/>
        <v>2000</v>
      </c>
      <c r="Q115" s="220">
        <f t="shared" si="132"/>
        <v>2000</v>
      </c>
      <c r="R115" s="220">
        <f t="shared" si="132"/>
        <v>2000</v>
      </c>
      <c r="S115" s="220">
        <f t="shared" si="132"/>
        <v>2000</v>
      </c>
      <c r="T115" s="220">
        <f t="shared" si="132"/>
        <v>2000</v>
      </c>
      <c r="U115" s="220">
        <f t="shared" si="133"/>
        <v>509</v>
      </c>
      <c r="V115" s="220">
        <f t="shared" si="133"/>
        <v>454</v>
      </c>
      <c r="W115" s="220">
        <f t="shared" si="133"/>
        <v>413</v>
      </c>
      <c r="X115" s="220">
        <f t="shared" si="133"/>
        <v>363</v>
      </c>
      <c r="Y115" s="220">
        <f t="shared" si="133"/>
        <v>534</v>
      </c>
      <c r="Z115" s="220">
        <v>1</v>
      </c>
      <c r="AA115" s="220">
        <v>1</v>
      </c>
      <c r="AB115" s="220">
        <v>1</v>
      </c>
      <c r="AC115" s="220">
        <v>3</v>
      </c>
      <c r="AD115" s="220">
        <v>0</v>
      </c>
      <c r="AE115" s="220">
        <f t="shared" si="134"/>
        <v>-100</v>
      </c>
      <c r="AF115" s="220">
        <f t="shared" si="134"/>
        <v>-125</v>
      </c>
      <c r="AG115" s="220">
        <f t="shared" si="134"/>
        <v>-186</v>
      </c>
      <c r="AH115" s="220">
        <f t="shared" si="134"/>
        <v>-186</v>
      </c>
      <c r="AI115" s="220">
        <f t="shared" si="134"/>
        <v>-115</v>
      </c>
      <c r="AJ115" s="50">
        <f t="shared" si="95"/>
        <v>1.6130000000000064</v>
      </c>
      <c r="AK115" s="257"/>
      <c r="AL115" s="257">
        <f t="shared" si="96"/>
        <v>1.2</v>
      </c>
      <c r="AM115" s="52"/>
      <c r="AN115" s="88"/>
    </row>
    <row r="116" spans="1:40" s="29" customFormat="1" ht="17.25" customHeight="1">
      <c r="A116" s="48">
        <v>107</v>
      </c>
      <c r="B116" s="49">
        <f t="shared" si="88"/>
        <v>45659</v>
      </c>
      <c r="C116" s="220">
        <f t="shared" si="89"/>
        <v>1049</v>
      </c>
      <c r="D116" s="220">
        <f t="shared" ref="D116" si="143">D115+15</f>
        <v>2349</v>
      </c>
      <c r="E116" s="220">
        <f t="shared" si="91"/>
        <v>3398</v>
      </c>
      <c r="F116" s="220">
        <f t="shared" si="83"/>
        <v>889</v>
      </c>
      <c r="G116" s="220">
        <f t="shared" si="84"/>
        <v>946</v>
      </c>
      <c r="H116" s="220">
        <f t="shared" si="85"/>
        <v>985</v>
      </c>
      <c r="I116" s="220">
        <f t="shared" si="86"/>
        <v>1037</v>
      </c>
      <c r="J116" s="220">
        <f t="shared" si="87"/>
        <v>865</v>
      </c>
      <c r="K116" s="220">
        <f t="shared" si="140"/>
        <v>2509</v>
      </c>
      <c r="L116" s="220">
        <f t="shared" si="140"/>
        <v>2452</v>
      </c>
      <c r="M116" s="220">
        <f t="shared" si="140"/>
        <v>2413</v>
      </c>
      <c r="N116" s="220">
        <f t="shared" si="140"/>
        <v>2361</v>
      </c>
      <c r="O116" s="220">
        <f t="shared" si="140"/>
        <v>2533</v>
      </c>
      <c r="P116" s="220">
        <f t="shared" si="132"/>
        <v>2000</v>
      </c>
      <c r="Q116" s="220">
        <f t="shared" si="132"/>
        <v>2000</v>
      </c>
      <c r="R116" s="220">
        <f t="shared" si="132"/>
        <v>2000</v>
      </c>
      <c r="S116" s="220">
        <f t="shared" si="132"/>
        <v>2000</v>
      </c>
      <c r="T116" s="220">
        <f t="shared" si="132"/>
        <v>2000</v>
      </c>
      <c r="U116" s="220">
        <f t="shared" si="133"/>
        <v>509</v>
      </c>
      <c r="V116" s="220">
        <f t="shared" si="133"/>
        <v>452</v>
      </c>
      <c r="W116" s="220">
        <f t="shared" si="133"/>
        <v>413</v>
      </c>
      <c r="X116" s="220">
        <f t="shared" si="133"/>
        <v>361</v>
      </c>
      <c r="Y116" s="220">
        <f t="shared" si="133"/>
        <v>533</v>
      </c>
      <c r="Z116" s="220">
        <v>0</v>
      </c>
      <c r="AA116" s="220">
        <v>2</v>
      </c>
      <c r="AB116" s="220">
        <v>0</v>
      </c>
      <c r="AC116" s="220">
        <v>2</v>
      </c>
      <c r="AD116" s="220">
        <v>1</v>
      </c>
      <c r="AE116" s="220">
        <f t="shared" si="134"/>
        <v>-100</v>
      </c>
      <c r="AF116" s="220">
        <f t="shared" si="134"/>
        <v>-127</v>
      </c>
      <c r="AG116" s="220">
        <f t="shared" si="134"/>
        <v>-186</v>
      </c>
      <c r="AH116" s="220">
        <f t="shared" si="134"/>
        <v>-188</v>
      </c>
      <c r="AI116" s="220">
        <f t="shared" si="134"/>
        <v>-116</v>
      </c>
      <c r="AJ116" s="50">
        <f t="shared" si="95"/>
        <v>1.6130000000000064</v>
      </c>
      <c r="AK116" s="257"/>
      <c r="AL116" s="257">
        <f t="shared" si="96"/>
        <v>1.2</v>
      </c>
      <c r="AM116" s="52"/>
      <c r="AN116" s="88"/>
    </row>
    <row r="117" spans="1:40" s="29" customFormat="1" ht="17.25" customHeight="1">
      <c r="A117" s="48">
        <v>108</v>
      </c>
      <c r="B117" s="49">
        <f t="shared" si="88"/>
        <v>45660</v>
      </c>
      <c r="C117" s="220">
        <f t="shared" si="89"/>
        <v>1049</v>
      </c>
      <c r="D117" s="220">
        <f t="shared" ref="D117" si="144">D116+26</f>
        <v>2375</v>
      </c>
      <c r="E117" s="220">
        <f t="shared" si="91"/>
        <v>3424</v>
      </c>
      <c r="F117" s="220">
        <f t="shared" si="83"/>
        <v>915</v>
      </c>
      <c r="G117" s="220">
        <f t="shared" si="84"/>
        <v>972</v>
      </c>
      <c r="H117" s="220">
        <f t="shared" si="85"/>
        <v>1014</v>
      </c>
      <c r="I117" s="220">
        <f t="shared" si="86"/>
        <v>1063</v>
      </c>
      <c r="J117" s="220">
        <f t="shared" si="87"/>
        <v>891</v>
      </c>
      <c r="K117" s="220">
        <f t="shared" si="140"/>
        <v>2509</v>
      </c>
      <c r="L117" s="220">
        <f t="shared" si="140"/>
        <v>2452</v>
      </c>
      <c r="M117" s="220">
        <f t="shared" si="140"/>
        <v>2410</v>
      </c>
      <c r="N117" s="220">
        <f t="shared" si="140"/>
        <v>2361</v>
      </c>
      <c r="O117" s="220">
        <f t="shared" si="140"/>
        <v>2533</v>
      </c>
      <c r="P117" s="220">
        <f t="shared" si="132"/>
        <v>2000</v>
      </c>
      <c r="Q117" s="220">
        <f t="shared" si="132"/>
        <v>2000</v>
      </c>
      <c r="R117" s="220">
        <f t="shared" si="132"/>
        <v>2000</v>
      </c>
      <c r="S117" s="220">
        <f t="shared" si="132"/>
        <v>2000</v>
      </c>
      <c r="T117" s="220">
        <f t="shared" si="132"/>
        <v>2000</v>
      </c>
      <c r="U117" s="220">
        <f t="shared" si="133"/>
        <v>509</v>
      </c>
      <c r="V117" s="220">
        <f t="shared" si="133"/>
        <v>452</v>
      </c>
      <c r="W117" s="220">
        <f t="shared" si="133"/>
        <v>410</v>
      </c>
      <c r="X117" s="220">
        <f t="shared" si="133"/>
        <v>361</v>
      </c>
      <c r="Y117" s="220">
        <f t="shared" si="133"/>
        <v>533</v>
      </c>
      <c r="Z117" s="220">
        <v>0</v>
      </c>
      <c r="AA117" s="220">
        <v>0</v>
      </c>
      <c r="AB117" s="220">
        <v>3</v>
      </c>
      <c r="AC117" s="220">
        <v>0</v>
      </c>
      <c r="AD117" s="220">
        <v>0</v>
      </c>
      <c r="AE117" s="220">
        <f t="shared" si="134"/>
        <v>-100</v>
      </c>
      <c r="AF117" s="220">
        <f t="shared" si="134"/>
        <v>-127</v>
      </c>
      <c r="AG117" s="220">
        <f t="shared" si="134"/>
        <v>-189</v>
      </c>
      <c r="AH117" s="220">
        <f t="shared" si="134"/>
        <v>-188</v>
      </c>
      <c r="AI117" s="220">
        <f t="shared" si="134"/>
        <v>-116</v>
      </c>
      <c r="AJ117" s="50">
        <f t="shared" si="95"/>
        <v>1.6100000000000065</v>
      </c>
      <c r="AK117" s="257"/>
      <c r="AL117" s="257">
        <f t="shared" si="96"/>
        <v>1.2</v>
      </c>
      <c r="AM117" s="52"/>
      <c r="AN117" s="88"/>
    </row>
    <row r="118" spans="1:40" s="29" customFormat="1" ht="17.25" customHeight="1">
      <c r="A118" s="48">
        <v>109</v>
      </c>
      <c r="B118" s="49">
        <f t="shared" si="88"/>
        <v>45661</v>
      </c>
      <c r="C118" s="220">
        <f t="shared" si="89"/>
        <v>1049</v>
      </c>
      <c r="D118" s="220">
        <f t="shared" ref="D118" si="145">D117+32</f>
        <v>2407</v>
      </c>
      <c r="E118" s="220">
        <f t="shared" si="91"/>
        <v>3456</v>
      </c>
      <c r="F118" s="220">
        <f t="shared" si="83"/>
        <v>947</v>
      </c>
      <c r="G118" s="220">
        <f t="shared" si="84"/>
        <v>1006</v>
      </c>
      <c r="H118" s="220">
        <f t="shared" si="85"/>
        <v>1046</v>
      </c>
      <c r="I118" s="220">
        <f t="shared" si="86"/>
        <v>1097</v>
      </c>
      <c r="J118" s="220">
        <f t="shared" si="87"/>
        <v>923</v>
      </c>
      <c r="K118" s="220">
        <f t="shared" si="140"/>
        <v>2509</v>
      </c>
      <c r="L118" s="220">
        <f t="shared" si="140"/>
        <v>2450</v>
      </c>
      <c r="M118" s="220">
        <f t="shared" si="140"/>
        <v>2410</v>
      </c>
      <c r="N118" s="220">
        <f t="shared" si="140"/>
        <v>2359</v>
      </c>
      <c r="O118" s="220">
        <f t="shared" si="140"/>
        <v>2533</v>
      </c>
      <c r="P118" s="220">
        <f t="shared" si="132"/>
        <v>2000</v>
      </c>
      <c r="Q118" s="220">
        <f t="shared" si="132"/>
        <v>2000</v>
      </c>
      <c r="R118" s="220">
        <f t="shared" si="132"/>
        <v>2000</v>
      </c>
      <c r="S118" s="220">
        <f t="shared" si="132"/>
        <v>2000</v>
      </c>
      <c r="T118" s="220">
        <f t="shared" si="132"/>
        <v>2000</v>
      </c>
      <c r="U118" s="220">
        <f t="shared" si="133"/>
        <v>509</v>
      </c>
      <c r="V118" s="220">
        <f t="shared" si="133"/>
        <v>450</v>
      </c>
      <c r="W118" s="220">
        <f t="shared" si="133"/>
        <v>410</v>
      </c>
      <c r="X118" s="220">
        <f t="shared" si="133"/>
        <v>359</v>
      </c>
      <c r="Y118" s="220">
        <f t="shared" si="133"/>
        <v>533</v>
      </c>
      <c r="Z118" s="220">
        <v>0</v>
      </c>
      <c r="AA118" s="220">
        <v>2</v>
      </c>
      <c r="AB118" s="220">
        <v>0</v>
      </c>
      <c r="AC118" s="220">
        <v>2</v>
      </c>
      <c r="AD118" s="220">
        <v>0</v>
      </c>
      <c r="AE118" s="220">
        <f t="shared" si="134"/>
        <v>-100</v>
      </c>
      <c r="AF118" s="220">
        <f t="shared" si="134"/>
        <v>-129</v>
      </c>
      <c r="AG118" s="220">
        <f t="shared" si="134"/>
        <v>-189</v>
      </c>
      <c r="AH118" s="220">
        <f t="shared" si="134"/>
        <v>-190</v>
      </c>
      <c r="AI118" s="220">
        <f t="shared" si="134"/>
        <v>-116</v>
      </c>
      <c r="AJ118" s="50">
        <f t="shared" si="95"/>
        <v>1.6100000000000065</v>
      </c>
      <c r="AK118" s="257"/>
      <c r="AL118" s="257">
        <f t="shared" si="96"/>
        <v>1.2</v>
      </c>
      <c r="AM118" s="52"/>
      <c r="AN118" s="88"/>
    </row>
    <row r="119" spans="1:40" s="29" customFormat="1" ht="17.25" customHeight="1">
      <c r="A119" s="48">
        <v>110</v>
      </c>
      <c r="B119" s="49">
        <f t="shared" si="88"/>
        <v>45662</v>
      </c>
      <c r="C119" s="220">
        <f t="shared" si="89"/>
        <v>1049</v>
      </c>
      <c r="D119" s="220">
        <f t="shared" ref="D119" si="146">D118-18</f>
        <v>2389</v>
      </c>
      <c r="E119" s="220">
        <f t="shared" si="91"/>
        <v>3438</v>
      </c>
      <c r="F119" s="220">
        <f t="shared" si="83"/>
        <v>930</v>
      </c>
      <c r="G119" s="220">
        <f t="shared" si="84"/>
        <v>988</v>
      </c>
      <c r="H119" s="220">
        <f t="shared" si="85"/>
        <v>1029</v>
      </c>
      <c r="I119" s="220">
        <f t="shared" si="86"/>
        <v>1079</v>
      </c>
      <c r="J119" s="220">
        <f t="shared" si="87"/>
        <v>906</v>
      </c>
      <c r="K119" s="220">
        <f t="shared" si="140"/>
        <v>2508</v>
      </c>
      <c r="L119" s="220">
        <f t="shared" si="140"/>
        <v>2450</v>
      </c>
      <c r="M119" s="220">
        <f t="shared" si="140"/>
        <v>2409</v>
      </c>
      <c r="N119" s="220">
        <f t="shared" si="140"/>
        <v>2359</v>
      </c>
      <c r="O119" s="220">
        <f t="shared" si="140"/>
        <v>2532</v>
      </c>
      <c r="P119" s="220">
        <f t="shared" si="132"/>
        <v>2000</v>
      </c>
      <c r="Q119" s="220">
        <f t="shared" si="132"/>
        <v>2000</v>
      </c>
      <c r="R119" s="220">
        <f t="shared" si="132"/>
        <v>2000</v>
      </c>
      <c r="S119" s="220">
        <f t="shared" si="132"/>
        <v>2000</v>
      </c>
      <c r="T119" s="220">
        <f t="shared" si="132"/>
        <v>2000</v>
      </c>
      <c r="U119" s="220">
        <f t="shared" si="133"/>
        <v>508</v>
      </c>
      <c r="V119" s="220">
        <f t="shared" si="133"/>
        <v>450</v>
      </c>
      <c r="W119" s="220">
        <f t="shared" si="133"/>
        <v>409</v>
      </c>
      <c r="X119" s="220">
        <f t="shared" si="133"/>
        <v>359</v>
      </c>
      <c r="Y119" s="220">
        <f t="shared" si="133"/>
        <v>532</v>
      </c>
      <c r="Z119" s="220">
        <v>1</v>
      </c>
      <c r="AA119" s="220">
        <v>0</v>
      </c>
      <c r="AB119" s="220">
        <v>1</v>
      </c>
      <c r="AC119" s="220">
        <v>0</v>
      </c>
      <c r="AD119" s="220">
        <v>1</v>
      </c>
      <c r="AE119" s="220">
        <f t="shared" si="134"/>
        <v>-101</v>
      </c>
      <c r="AF119" s="220">
        <f t="shared" si="134"/>
        <v>-129</v>
      </c>
      <c r="AG119" s="220">
        <f t="shared" si="134"/>
        <v>-190</v>
      </c>
      <c r="AH119" s="220">
        <f t="shared" si="134"/>
        <v>-190</v>
      </c>
      <c r="AI119" s="220">
        <f t="shared" si="134"/>
        <v>-117</v>
      </c>
      <c r="AJ119" s="50">
        <f t="shared" si="95"/>
        <v>1.6090000000000066</v>
      </c>
      <c r="AK119" s="257"/>
      <c r="AL119" s="257">
        <f t="shared" si="96"/>
        <v>1.2</v>
      </c>
      <c r="AM119" s="52"/>
      <c r="AN119" s="88"/>
    </row>
    <row r="120" spans="1:40" s="29" customFormat="1" ht="17.25" customHeight="1">
      <c r="A120" s="48">
        <v>111</v>
      </c>
      <c r="B120" s="49">
        <f t="shared" si="88"/>
        <v>45663</v>
      </c>
      <c r="C120" s="220">
        <f t="shared" si="89"/>
        <v>1049</v>
      </c>
      <c r="D120" s="220">
        <f t="shared" ref="D120" si="147">D119-26</f>
        <v>2363</v>
      </c>
      <c r="E120" s="220">
        <f t="shared" si="91"/>
        <v>3412</v>
      </c>
      <c r="F120" s="220">
        <f t="shared" si="83"/>
        <v>904</v>
      </c>
      <c r="G120" s="220">
        <f t="shared" si="84"/>
        <v>962</v>
      </c>
      <c r="H120" s="220">
        <f t="shared" si="85"/>
        <v>1003</v>
      </c>
      <c r="I120" s="220">
        <f t="shared" si="86"/>
        <v>1056</v>
      </c>
      <c r="J120" s="220">
        <f t="shared" si="87"/>
        <v>880</v>
      </c>
      <c r="K120" s="220">
        <f t="shared" si="140"/>
        <v>2508</v>
      </c>
      <c r="L120" s="220">
        <f t="shared" si="140"/>
        <v>2450</v>
      </c>
      <c r="M120" s="220">
        <f t="shared" si="140"/>
        <v>2409</v>
      </c>
      <c r="N120" s="220">
        <f t="shared" si="140"/>
        <v>2356</v>
      </c>
      <c r="O120" s="220">
        <f t="shared" si="140"/>
        <v>2532</v>
      </c>
      <c r="P120" s="220">
        <f t="shared" si="132"/>
        <v>2000</v>
      </c>
      <c r="Q120" s="220">
        <f t="shared" si="132"/>
        <v>2000</v>
      </c>
      <c r="R120" s="220">
        <f t="shared" si="132"/>
        <v>2000</v>
      </c>
      <c r="S120" s="220">
        <f t="shared" si="132"/>
        <v>2000</v>
      </c>
      <c r="T120" s="220">
        <f t="shared" si="132"/>
        <v>2000</v>
      </c>
      <c r="U120" s="220">
        <f t="shared" si="133"/>
        <v>508</v>
      </c>
      <c r="V120" s="220">
        <f t="shared" si="133"/>
        <v>450</v>
      </c>
      <c r="W120" s="220">
        <f t="shared" si="133"/>
        <v>409</v>
      </c>
      <c r="X120" s="220">
        <f t="shared" si="133"/>
        <v>356</v>
      </c>
      <c r="Y120" s="220">
        <f t="shared" si="133"/>
        <v>532</v>
      </c>
      <c r="Z120" s="220">
        <v>0</v>
      </c>
      <c r="AA120" s="220">
        <v>0</v>
      </c>
      <c r="AB120" s="220">
        <v>0</v>
      </c>
      <c r="AC120" s="220">
        <v>3</v>
      </c>
      <c r="AD120" s="220">
        <v>0</v>
      </c>
      <c r="AE120" s="220">
        <f t="shared" si="134"/>
        <v>-101</v>
      </c>
      <c r="AF120" s="220">
        <f t="shared" si="134"/>
        <v>-129</v>
      </c>
      <c r="AG120" s="220">
        <f t="shared" si="134"/>
        <v>-190</v>
      </c>
      <c r="AH120" s="220">
        <f t="shared" si="134"/>
        <v>-193</v>
      </c>
      <c r="AI120" s="220">
        <f t="shared" si="134"/>
        <v>-117</v>
      </c>
      <c r="AJ120" s="50">
        <f t="shared" si="95"/>
        <v>1.6090000000000066</v>
      </c>
      <c r="AK120" s="257"/>
      <c r="AL120" s="257">
        <f t="shared" si="96"/>
        <v>1.2</v>
      </c>
      <c r="AM120" s="52"/>
      <c r="AN120" s="88"/>
    </row>
    <row r="121" spans="1:40" s="29" customFormat="1" ht="17.25" customHeight="1">
      <c r="A121" s="48">
        <v>112</v>
      </c>
      <c r="B121" s="49">
        <f t="shared" si="88"/>
        <v>45664</v>
      </c>
      <c r="C121" s="220">
        <f t="shared" si="89"/>
        <v>1049</v>
      </c>
      <c r="D121" s="220">
        <f t="shared" ref="D121" si="148">D120+15</f>
        <v>2378</v>
      </c>
      <c r="E121" s="220">
        <f t="shared" si="91"/>
        <v>3427</v>
      </c>
      <c r="F121" s="220">
        <f t="shared" si="83"/>
        <v>920</v>
      </c>
      <c r="G121" s="220">
        <f t="shared" si="84"/>
        <v>979</v>
      </c>
      <c r="H121" s="220">
        <f t="shared" si="85"/>
        <v>1019</v>
      </c>
      <c r="I121" s="220">
        <f t="shared" si="86"/>
        <v>1073</v>
      </c>
      <c r="J121" s="220">
        <f t="shared" si="87"/>
        <v>895</v>
      </c>
      <c r="K121" s="220">
        <f t="shared" si="140"/>
        <v>2507</v>
      </c>
      <c r="L121" s="220">
        <f t="shared" si="140"/>
        <v>2448</v>
      </c>
      <c r="M121" s="220">
        <f t="shared" si="140"/>
        <v>2408</v>
      </c>
      <c r="N121" s="220">
        <f t="shared" si="140"/>
        <v>2354</v>
      </c>
      <c r="O121" s="220">
        <f t="shared" si="140"/>
        <v>2532</v>
      </c>
      <c r="P121" s="220">
        <f t="shared" si="132"/>
        <v>2000</v>
      </c>
      <c r="Q121" s="220">
        <f t="shared" si="132"/>
        <v>2000</v>
      </c>
      <c r="R121" s="220">
        <f t="shared" si="132"/>
        <v>2000</v>
      </c>
      <c r="S121" s="220">
        <f t="shared" si="132"/>
        <v>2000</v>
      </c>
      <c r="T121" s="220">
        <f t="shared" si="132"/>
        <v>2000</v>
      </c>
      <c r="U121" s="220">
        <f t="shared" si="133"/>
        <v>507</v>
      </c>
      <c r="V121" s="220">
        <f t="shared" si="133"/>
        <v>448</v>
      </c>
      <c r="W121" s="220">
        <f t="shared" si="133"/>
        <v>408</v>
      </c>
      <c r="X121" s="220">
        <f t="shared" si="133"/>
        <v>354</v>
      </c>
      <c r="Y121" s="220">
        <f t="shared" si="133"/>
        <v>532</v>
      </c>
      <c r="Z121" s="220">
        <v>1</v>
      </c>
      <c r="AA121" s="220">
        <v>2</v>
      </c>
      <c r="AB121" s="220">
        <v>1</v>
      </c>
      <c r="AC121" s="220">
        <v>2</v>
      </c>
      <c r="AD121" s="220">
        <v>0</v>
      </c>
      <c r="AE121" s="220">
        <f t="shared" si="134"/>
        <v>-102</v>
      </c>
      <c r="AF121" s="220">
        <f t="shared" si="134"/>
        <v>-131</v>
      </c>
      <c r="AG121" s="220">
        <f t="shared" si="134"/>
        <v>-191</v>
      </c>
      <c r="AH121" s="220">
        <f t="shared" si="134"/>
        <v>-195</v>
      </c>
      <c r="AI121" s="220">
        <f t="shared" si="134"/>
        <v>-117</v>
      </c>
      <c r="AJ121" s="50">
        <f t="shared" si="95"/>
        <v>1.6080000000000068</v>
      </c>
      <c r="AK121" s="257"/>
      <c r="AL121" s="257">
        <f t="shared" si="96"/>
        <v>1.2</v>
      </c>
      <c r="AM121" s="52"/>
      <c r="AN121" s="88"/>
    </row>
    <row r="122" spans="1:40" s="29" customFormat="1" ht="17.25" customHeight="1">
      <c r="A122" s="48">
        <v>113</v>
      </c>
      <c r="B122" s="49">
        <f t="shared" si="88"/>
        <v>45665</v>
      </c>
      <c r="C122" s="220">
        <f t="shared" si="89"/>
        <v>1049</v>
      </c>
      <c r="D122" s="220">
        <f t="shared" ref="D122" si="149">D121+26</f>
        <v>2404</v>
      </c>
      <c r="E122" s="220">
        <f t="shared" si="91"/>
        <v>3453</v>
      </c>
      <c r="F122" s="220">
        <f t="shared" si="83"/>
        <v>946</v>
      </c>
      <c r="G122" s="220">
        <f t="shared" si="84"/>
        <v>1005</v>
      </c>
      <c r="H122" s="220">
        <f t="shared" si="85"/>
        <v>1045</v>
      </c>
      <c r="I122" s="220">
        <f t="shared" si="86"/>
        <v>1099</v>
      </c>
      <c r="J122" s="220">
        <f t="shared" si="87"/>
        <v>921</v>
      </c>
      <c r="K122" s="220">
        <f t="shared" si="140"/>
        <v>2507</v>
      </c>
      <c r="L122" s="220">
        <f t="shared" si="140"/>
        <v>2448</v>
      </c>
      <c r="M122" s="220">
        <f t="shared" si="140"/>
        <v>2408</v>
      </c>
      <c r="N122" s="220">
        <f t="shared" si="140"/>
        <v>2354</v>
      </c>
      <c r="O122" s="220">
        <f t="shared" si="140"/>
        <v>2532</v>
      </c>
      <c r="P122" s="220">
        <f t="shared" si="132"/>
        <v>2000</v>
      </c>
      <c r="Q122" s="220">
        <f t="shared" si="132"/>
        <v>2000</v>
      </c>
      <c r="R122" s="220">
        <f t="shared" si="132"/>
        <v>2000</v>
      </c>
      <c r="S122" s="220">
        <f t="shared" si="132"/>
        <v>2000</v>
      </c>
      <c r="T122" s="220">
        <f t="shared" si="132"/>
        <v>2000</v>
      </c>
      <c r="U122" s="220">
        <f t="shared" si="133"/>
        <v>507</v>
      </c>
      <c r="V122" s="220">
        <f t="shared" si="133"/>
        <v>448</v>
      </c>
      <c r="W122" s="220">
        <f t="shared" si="133"/>
        <v>408</v>
      </c>
      <c r="X122" s="220">
        <f t="shared" si="133"/>
        <v>354</v>
      </c>
      <c r="Y122" s="220">
        <f t="shared" si="133"/>
        <v>532</v>
      </c>
      <c r="Z122" s="220">
        <v>0</v>
      </c>
      <c r="AA122" s="220">
        <v>0</v>
      </c>
      <c r="AB122" s="220">
        <v>0</v>
      </c>
      <c r="AC122" s="220">
        <v>0</v>
      </c>
      <c r="AD122" s="220">
        <v>0</v>
      </c>
      <c r="AE122" s="220">
        <f t="shared" si="134"/>
        <v>-102</v>
      </c>
      <c r="AF122" s="220">
        <f t="shared" si="134"/>
        <v>-131</v>
      </c>
      <c r="AG122" s="220">
        <f t="shared" si="134"/>
        <v>-191</v>
      </c>
      <c r="AH122" s="220">
        <f t="shared" si="134"/>
        <v>-195</v>
      </c>
      <c r="AI122" s="220">
        <f t="shared" si="134"/>
        <v>-117</v>
      </c>
      <c r="AJ122" s="50">
        <f t="shared" si="95"/>
        <v>1.6080000000000068</v>
      </c>
      <c r="AK122" s="257"/>
      <c r="AL122" s="257">
        <f t="shared" si="96"/>
        <v>1.2</v>
      </c>
      <c r="AM122" s="52"/>
      <c r="AN122" s="88"/>
    </row>
    <row r="123" spans="1:40" s="29" customFormat="1" ht="17.25" customHeight="1">
      <c r="A123" s="48">
        <v>114</v>
      </c>
      <c r="B123" s="49">
        <f t="shared" si="88"/>
        <v>45666</v>
      </c>
      <c r="C123" s="220">
        <f t="shared" si="89"/>
        <v>1049</v>
      </c>
      <c r="D123" s="220">
        <f t="shared" ref="D123" si="150">D122+32</f>
        <v>2436</v>
      </c>
      <c r="E123" s="220">
        <f t="shared" si="91"/>
        <v>3485</v>
      </c>
      <c r="F123" s="220">
        <f t="shared" si="83"/>
        <v>979</v>
      </c>
      <c r="G123" s="220">
        <f t="shared" si="84"/>
        <v>1037</v>
      </c>
      <c r="H123" s="220">
        <f t="shared" si="85"/>
        <v>1078</v>
      </c>
      <c r="I123" s="220">
        <f t="shared" si="86"/>
        <v>1131</v>
      </c>
      <c r="J123" s="220">
        <f t="shared" si="87"/>
        <v>954</v>
      </c>
      <c r="K123" s="220">
        <f t="shared" si="140"/>
        <v>2506</v>
      </c>
      <c r="L123" s="220">
        <f t="shared" si="140"/>
        <v>2448</v>
      </c>
      <c r="M123" s="220">
        <f t="shared" si="140"/>
        <v>2407</v>
      </c>
      <c r="N123" s="220">
        <f t="shared" si="140"/>
        <v>2354</v>
      </c>
      <c r="O123" s="220">
        <f t="shared" si="140"/>
        <v>2531</v>
      </c>
      <c r="P123" s="220">
        <f t="shared" si="132"/>
        <v>2000</v>
      </c>
      <c r="Q123" s="220">
        <f t="shared" si="132"/>
        <v>2000</v>
      </c>
      <c r="R123" s="220">
        <f t="shared" si="132"/>
        <v>2000</v>
      </c>
      <c r="S123" s="220">
        <f t="shared" si="132"/>
        <v>2000</v>
      </c>
      <c r="T123" s="220">
        <f t="shared" si="132"/>
        <v>2000</v>
      </c>
      <c r="U123" s="220">
        <f t="shared" si="133"/>
        <v>506</v>
      </c>
      <c r="V123" s="220">
        <f t="shared" si="133"/>
        <v>448</v>
      </c>
      <c r="W123" s="220">
        <f t="shared" si="133"/>
        <v>407</v>
      </c>
      <c r="X123" s="220">
        <f t="shared" si="133"/>
        <v>354</v>
      </c>
      <c r="Y123" s="220">
        <f t="shared" si="133"/>
        <v>531</v>
      </c>
      <c r="Z123" s="220">
        <v>1</v>
      </c>
      <c r="AA123" s="220">
        <v>0</v>
      </c>
      <c r="AB123" s="220">
        <v>1</v>
      </c>
      <c r="AC123" s="220">
        <v>0</v>
      </c>
      <c r="AD123" s="220">
        <v>1</v>
      </c>
      <c r="AE123" s="220">
        <f t="shared" si="134"/>
        <v>-103</v>
      </c>
      <c r="AF123" s="220">
        <f t="shared" si="134"/>
        <v>-131</v>
      </c>
      <c r="AG123" s="220">
        <f t="shared" si="134"/>
        <v>-192</v>
      </c>
      <c r="AH123" s="220">
        <f t="shared" si="134"/>
        <v>-195</v>
      </c>
      <c r="AI123" s="220">
        <f t="shared" si="134"/>
        <v>-118</v>
      </c>
      <c r="AJ123" s="50">
        <f t="shared" si="95"/>
        <v>1.6070000000000069</v>
      </c>
      <c r="AK123" s="257"/>
      <c r="AL123" s="257">
        <f t="shared" si="96"/>
        <v>1.2</v>
      </c>
      <c r="AM123" s="52"/>
      <c r="AN123" s="88"/>
    </row>
    <row r="124" spans="1:40" s="29" customFormat="1" ht="17.25" customHeight="1">
      <c r="A124" s="48">
        <v>115</v>
      </c>
      <c r="B124" s="49">
        <f t="shared" si="88"/>
        <v>45667</v>
      </c>
      <c r="C124" s="220">
        <f t="shared" si="89"/>
        <v>1049</v>
      </c>
      <c r="D124" s="220">
        <f t="shared" ref="D124" si="151">D123-18</f>
        <v>2418</v>
      </c>
      <c r="E124" s="220">
        <f t="shared" si="91"/>
        <v>3467</v>
      </c>
      <c r="F124" s="220">
        <f t="shared" si="83"/>
        <v>962</v>
      </c>
      <c r="G124" s="220">
        <f t="shared" si="84"/>
        <v>1020</v>
      </c>
      <c r="H124" s="220">
        <f t="shared" si="85"/>
        <v>1061</v>
      </c>
      <c r="I124" s="220">
        <f t="shared" si="86"/>
        <v>1114</v>
      </c>
      <c r="J124" s="220">
        <f t="shared" si="87"/>
        <v>937</v>
      </c>
      <c r="K124" s="220">
        <f t="shared" si="140"/>
        <v>2505</v>
      </c>
      <c r="L124" s="220">
        <f t="shared" si="140"/>
        <v>2447</v>
      </c>
      <c r="M124" s="220">
        <f t="shared" si="140"/>
        <v>2406</v>
      </c>
      <c r="N124" s="220">
        <f t="shared" si="140"/>
        <v>2353</v>
      </c>
      <c r="O124" s="220">
        <f t="shared" si="140"/>
        <v>2530</v>
      </c>
      <c r="P124" s="220">
        <f t="shared" ref="P124:T139" si="152">+P123</f>
        <v>2000</v>
      </c>
      <c r="Q124" s="220">
        <f t="shared" si="152"/>
        <v>2000</v>
      </c>
      <c r="R124" s="220">
        <f t="shared" si="152"/>
        <v>2000</v>
      </c>
      <c r="S124" s="220">
        <f t="shared" si="152"/>
        <v>2000</v>
      </c>
      <c r="T124" s="220">
        <f t="shared" si="152"/>
        <v>2000</v>
      </c>
      <c r="U124" s="220">
        <f t="shared" ref="U124:Y139" si="153">U123-Z124</f>
        <v>505</v>
      </c>
      <c r="V124" s="220">
        <f t="shared" si="153"/>
        <v>447</v>
      </c>
      <c r="W124" s="220">
        <f t="shared" si="153"/>
        <v>406</v>
      </c>
      <c r="X124" s="220">
        <f t="shared" si="153"/>
        <v>353</v>
      </c>
      <c r="Y124" s="220">
        <f t="shared" si="153"/>
        <v>530</v>
      </c>
      <c r="Z124" s="220">
        <v>1</v>
      </c>
      <c r="AA124" s="220">
        <v>1</v>
      </c>
      <c r="AB124" s="220">
        <v>1</v>
      </c>
      <c r="AC124" s="220">
        <v>1</v>
      </c>
      <c r="AD124" s="220">
        <v>1</v>
      </c>
      <c r="AE124" s="220">
        <f t="shared" ref="AE124:AI139" si="154">AE123-Z124</f>
        <v>-104</v>
      </c>
      <c r="AF124" s="220">
        <f t="shared" si="154"/>
        <v>-132</v>
      </c>
      <c r="AG124" s="220">
        <f t="shared" si="154"/>
        <v>-193</v>
      </c>
      <c r="AH124" s="220">
        <f t="shared" si="154"/>
        <v>-196</v>
      </c>
      <c r="AI124" s="220">
        <f t="shared" si="154"/>
        <v>-119</v>
      </c>
      <c r="AJ124" s="50">
        <f t="shared" si="95"/>
        <v>1.606000000000007</v>
      </c>
      <c r="AK124" s="257"/>
      <c r="AL124" s="257">
        <f t="shared" si="96"/>
        <v>1.2</v>
      </c>
      <c r="AM124" s="52"/>
      <c r="AN124" s="88"/>
    </row>
    <row r="125" spans="1:40" s="29" customFormat="1" ht="17.25" customHeight="1">
      <c r="A125" s="48">
        <v>116</v>
      </c>
      <c r="B125" s="49">
        <f t="shared" si="88"/>
        <v>45668</v>
      </c>
      <c r="C125" s="220">
        <f t="shared" si="89"/>
        <v>1049</v>
      </c>
      <c r="D125" s="220">
        <f t="shared" ref="D125" si="155">D124-26</f>
        <v>2392</v>
      </c>
      <c r="E125" s="220">
        <f t="shared" si="91"/>
        <v>3441</v>
      </c>
      <c r="F125" s="220">
        <f t="shared" si="83"/>
        <v>936</v>
      </c>
      <c r="G125" s="220">
        <f t="shared" si="84"/>
        <v>994</v>
      </c>
      <c r="H125" s="220">
        <f t="shared" si="85"/>
        <v>1035</v>
      </c>
      <c r="I125" s="220">
        <f t="shared" si="86"/>
        <v>1088</v>
      </c>
      <c r="J125" s="220">
        <f t="shared" si="87"/>
        <v>911</v>
      </c>
      <c r="K125" s="220">
        <f t="shared" si="140"/>
        <v>2505</v>
      </c>
      <c r="L125" s="220">
        <f t="shared" si="140"/>
        <v>2447</v>
      </c>
      <c r="M125" s="220">
        <f t="shared" si="140"/>
        <v>2406</v>
      </c>
      <c r="N125" s="220">
        <f t="shared" si="140"/>
        <v>2353</v>
      </c>
      <c r="O125" s="220">
        <f t="shared" si="140"/>
        <v>2530</v>
      </c>
      <c r="P125" s="220">
        <f t="shared" si="152"/>
        <v>2000</v>
      </c>
      <c r="Q125" s="220">
        <f t="shared" si="152"/>
        <v>2000</v>
      </c>
      <c r="R125" s="220">
        <f t="shared" si="152"/>
        <v>2000</v>
      </c>
      <c r="S125" s="220">
        <f t="shared" si="152"/>
        <v>2000</v>
      </c>
      <c r="T125" s="220">
        <f t="shared" si="152"/>
        <v>2000</v>
      </c>
      <c r="U125" s="220">
        <f t="shared" si="153"/>
        <v>505</v>
      </c>
      <c r="V125" s="220">
        <f t="shared" si="153"/>
        <v>447</v>
      </c>
      <c r="W125" s="220">
        <f t="shared" si="153"/>
        <v>406</v>
      </c>
      <c r="X125" s="220">
        <f t="shared" si="153"/>
        <v>353</v>
      </c>
      <c r="Y125" s="220">
        <f t="shared" si="153"/>
        <v>530</v>
      </c>
      <c r="Z125" s="220">
        <v>0</v>
      </c>
      <c r="AA125" s="220">
        <v>0</v>
      </c>
      <c r="AB125" s="220">
        <v>0</v>
      </c>
      <c r="AC125" s="220">
        <v>0</v>
      </c>
      <c r="AD125" s="220">
        <v>0</v>
      </c>
      <c r="AE125" s="220">
        <f t="shared" si="154"/>
        <v>-104</v>
      </c>
      <c r="AF125" s="220">
        <f t="shared" si="154"/>
        <v>-132</v>
      </c>
      <c r="AG125" s="220">
        <f t="shared" si="154"/>
        <v>-193</v>
      </c>
      <c r="AH125" s="220">
        <f t="shared" si="154"/>
        <v>-196</v>
      </c>
      <c r="AI125" s="220">
        <f t="shared" si="154"/>
        <v>-119</v>
      </c>
      <c r="AJ125" s="50">
        <f t="shared" si="95"/>
        <v>1.606000000000007</v>
      </c>
      <c r="AK125" s="257"/>
      <c r="AL125" s="257">
        <f t="shared" si="96"/>
        <v>1.2</v>
      </c>
      <c r="AM125" s="52"/>
      <c r="AN125" s="88"/>
    </row>
    <row r="126" spans="1:40" s="29" customFormat="1" ht="17.25" customHeight="1">
      <c r="A126" s="48">
        <v>117</v>
      </c>
      <c r="B126" s="49">
        <f t="shared" si="88"/>
        <v>45669</v>
      </c>
      <c r="C126" s="220">
        <f t="shared" si="89"/>
        <v>1049</v>
      </c>
      <c r="D126" s="220">
        <f t="shared" ref="D126" si="156">D125+15</f>
        <v>2407</v>
      </c>
      <c r="E126" s="220">
        <f t="shared" si="91"/>
        <v>3456</v>
      </c>
      <c r="F126" s="220">
        <f t="shared" si="83"/>
        <v>952</v>
      </c>
      <c r="G126" s="220">
        <f t="shared" si="84"/>
        <v>1009</v>
      </c>
      <c r="H126" s="220">
        <f t="shared" si="85"/>
        <v>1053</v>
      </c>
      <c r="I126" s="220">
        <f t="shared" si="86"/>
        <v>1103</v>
      </c>
      <c r="J126" s="220">
        <f t="shared" si="87"/>
        <v>926</v>
      </c>
      <c r="K126" s="220">
        <f t="shared" si="140"/>
        <v>2504</v>
      </c>
      <c r="L126" s="220">
        <f t="shared" si="140"/>
        <v>2447</v>
      </c>
      <c r="M126" s="220">
        <f t="shared" si="140"/>
        <v>2403</v>
      </c>
      <c r="N126" s="220">
        <f t="shared" si="140"/>
        <v>2353</v>
      </c>
      <c r="O126" s="220">
        <f t="shared" si="140"/>
        <v>2530</v>
      </c>
      <c r="P126" s="220">
        <f t="shared" si="152"/>
        <v>2000</v>
      </c>
      <c r="Q126" s="220">
        <f t="shared" si="152"/>
        <v>2000</v>
      </c>
      <c r="R126" s="220">
        <f t="shared" si="152"/>
        <v>2000</v>
      </c>
      <c r="S126" s="220">
        <f t="shared" si="152"/>
        <v>2000</v>
      </c>
      <c r="T126" s="220">
        <f t="shared" si="152"/>
        <v>2000</v>
      </c>
      <c r="U126" s="220">
        <f t="shared" si="153"/>
        <v>504</v>
      </c>
      <c r="V126" s="220">
        <f t="shared" si="153"/>
        <v>447</v>
      </c>
      <c r="W126" s="220">
        <f t="shared" si="153"/>
        <v>403</v>
      </c>
      <c r="X126" s="220">
        <f t="shared" si="153"/>
        <v>353</v>
      </c>
      <c r="Y126" s="220">
        <f t="shared" si="153"/>
        <v>530</v>
      </c>
      <c r="Z126" s="220">
        <v>1</v>
      </c>
      <c r="AA126" s="220">
        <v>0</v>
      </c>
      <c r="AB126" s="220">
        <v>3</v>
      </c>
      <c r="AC126" s="220">
        <v>0</v>
      </c>
      <c r="AD126" s="220">
        <v>0</v>
      </c>
      <c r="AE126" s="220">
        <f t="shared" si="154"/>
        <v>-105</v>
      </c>
      <c r="AF126" s="220">
        <f t="shared" si="154"/>
        <v>-132</v>
      </c>
      <c r="AG126" s="220">
        <f t="shared" si="154"/>
        <v>-196</v>
      </c>
      <c r="AH126" s="220">
        <f t="shared" si="154"/>
        <v>-196</v>
      </c>
      <c r="AI126" s="220">
        <f t="shared" si="154"/>
        <v>-119</v>
      </c>
      <c r="AJ126" s="50">
        <f t="shared" si="95"/>
        <v>1.6030000000000071</v>
      </c>
      <c r="AK126" s="257"/>
      <c r="AL126" s="257">
        <f t="shared" si="96"/>
        <v>1.2</v>
      </c>
      <c r="AM126" s="52"/>
      <c r="AN126" s="88"/>
    </row>
    <row r="127" spans="1:40" s="29" customFormat="1" ht="17.25" customHeight="1">
      <c r="A127" s="48">
        <v>118</v>
      </c>
      <c r="B127" s="49">
        <f t="shared" si="88"/>
        <v>45670</v>
      </c>
      <c r="C127" s="220">
        <f t="shared" si="89"/>
        <v>1049</v>
      </c>
      <c r="D127" s="220">
        <f t="shared" ref="D127" si="157">D126+26</f>
        <v>2433</v>
      </c>
      <c r="E127" s="220">
        <f t="shared" si="91"/>
        <v>3482</v>
      </c>
      <c r="F127" s="220">
        <f t="shared" si="83"/>
        <v>979</v>
      </c>
      <c r="G127" s="220">
        <f t="shared" si="84"/>
        <v>1035</v>
      </c>
      <c r="H127" s="220">
        <f t="shared" si="85"/>
        <v>1080</v>
      </c>
      <c r="I127" s="220">
        <f t="shared" si="86"/>
        <v>1132</v>
      </c>
      <c r="J127" s="220">
        <f t="shared" si="87"/>
        <v>953</v>
      </c>
      <c r="K127" s="220">
        <f t="shared" si="140"/>
        <v>2503</v>
      </c>
      <c r="L127" s="220">
        <f t="shared" si="140"/>
        <v>2447</v>
      </c>
      <c r="M127" s="220">
        <f t="shared" si="140"/>
        <v>2402</v>
      </c>
      <c r="N127" s="220">
        <f t="shared" si="140"/>
        <v>2350</v>
      </c>
      <c r="O127" s="220">
        <f t="shared" si="140"/>
        <v>2529</v>
      </c>
      <c r="P127" s="220">
        <f t="shared" si="152"/>
        <v>2000</v>
      </c>
      <c r="Q127" s="220">
        <f t="shared" si="152"/>
        <v>2000</v>
      </c>
      <c r="R127" s="220">
        <f t="shared" si="152"/>
        <v>2000</v>
      </c>
      <c r="S127" s="220">
        <f t="shared" si="152"/>
        <v>2000</v>
      </c>
      <c r="T127" s="220">
        <f t="shared" si="152"/>
        <v>2000</v>
      </c>
      <c r="U127" s="220">
        <f t="shared" si="153"/>
        <v>503</v>
      </c>
      <c r="V127" s="220">
        <f t="shared" si="153"/>
        <v>447</v>
      </c>
      <c r="W127" s="220">
        <f t="shared" si="153"/>
        <v>402</v>
      </c>
      <c r="X127" s="220">
        <f t="shared" si="153"/>
        <v>350</v>
      </c>
      <c r="Y127" s="220">
        <f t="shared" si="153"/>
        <v>529</v>
      </c>
      <c r="Z127" s="220">
        <v>1</v>
      </c>
      <c r="AA127" s="220">
        <v>0</v>
      </c>
      <c r="AB127" s="220">
        <v>1</v>
      </c>
      <c r="AC127" s="220">
        <v>3</v>
      </c>
      <c r="AD127" s="220">
        <v>1</v>
      </c>
      <c r="AE127" s="220">
        <f t="shared" si="154"/>
        <v>-106</v>
      </c>
      <c r="AF127" s="220">
        <f t="shared" si="154"/>
        <v>-132</v>
      </c>
      <c r="AG127" s="220">
        <f t="shared" si="154"/>
        <v>-197</v>
      </c>
      <c r="AH127" s="220">
        <f t="shared" si="154"/>
        <v>-199</v>
      </c>
      <c r="AI127" s="220">
        <f t="shared" si="154"/>
        <v>-120</v>
      </c>
      <c r="AJ127" s="50">
        <f t="shared" si="95"/>
        <v>1.6020000000000072</v>
      </c>
      <c r="AK127" s="257"/>
      <c r="AL127" s="257">
        <f t="shared" si="96"/>
        <v>1.2</v>
      </c>
      <c r="AM127" s="52"/>
      <c r="AN127" s="88"/>
    </row>
    <row r="128" spans="1:40" s="29" customFormat="1" ht="17.25" customHeight="1">
      <c r="A128" s="48">
        <v>119</v>
      </c>
      <c r="B128" s="49">
        <f t="shared" si="88"/>
        <v>45671</v>
      </c>
      <c r="C128" s="220">
        <f t="shared" si="89"/>
        <v>1049</v>
      </c>
      <c r="D128" s="220">
        <f t="shared" ref="D128" si="158">D127+32</f>
        <v>2465</v>
      </c>
      <c r="E128" s="220">
        <f t="shared" si="91"/>
        <v>3514</v>
      </c>
      <c r="F128" s="220">
        <f t="shared" si="83"/>
        <v>1011</v>
      </c>
      <c r="G128" s="220">
        <f t="shared" si="84"/>
        <v>1067</v>
      </c>
      <c r="H128" s="220">
        <f t="shared" si="85"/>
        <v>1115</v>
      </c>
      <c r="I128" s="220">
        <f t="shared" si="86"/>
        <v>1164</v>
      </c>
      <c r="J128" s="220">
        <f t="shared" si="87"/>
        <v>986</v>
      </c>
      <c r="K128" s="220">
        <f t="shared" si="140"/>
        <v>2503</v>
      </c>
      <c r="L128" s="220">
        <f t="shared" si="140"/>
        <v>2447</v>
      </c>
      <c r="M128" s="220">
        <f t="shared" si="140"/>
        <v>2399</v>
      </c>
      <c r="N128" s="220">
        <f t="shared" si="140"/>
        <v>2350</v>
      </c>
      <c r="O128" s="220">
        <f t="shared" si="140"/>
        <v>2528</v>
      </c>
      <c r="P128" s="220">
        <f t="shared" si="152"/>
        <v>2000</v>
      </c>
      <c r="Q128" s="220">
        <f t="shared" si="152"/>
        <v>2000</v>
      </c>
      <c r="R128" s="220">
        <f t="shared" si="152"/>
        <v>2000</v>
      </c>
      <c r="S128" s="220">
        <f t="shared" si="152"/>
        <v>2000</v>
      </c>
      <c r="T128" s="220">
        <f t="shared" si="152"/>
        <v>2000</v>
      </c>
      <c r="U128" s="220">
        <f t="shared" si="153"/>
        <v>503</v>
      </c>
      <c r="V128" s="220">
        <f t="shared" si="153"/>
        <v>447</v>
      </c>
      <c r="W128" s="220">
        <f t="shared" si="153"/>
        <v>399</v>
      </c>
      <c r="X128" s="220">
        <f t="shared" si="153"/>
        <v>350</v>
      </c>
      <c r="Y128" s="220">
        <f t="shared" si="153"/>
        <v>528</v>
      </c>
      <c r="Z128" s="220">
        <v>0</v>
      </c>
      <c r="AA128" s="220">
        <v>0</v>
      </c>
      <c r="AB128" s="220">
        <v>3</v>
      </c>
      <c r="AC128" s="220">
        <v>0</v>
      </c>
      <c r="AD128" s="220">
        <v>1</v>
      </c>
      <c r="AE128" s="220">
        <f t="shared" si="154"/>
        <v>-106</v>
      </c>
      <c r="AF128" s="220">
        <f t="shared" si="154"/>
        <v>-132</v>
      </c>
      <c r="AG128" s="220">
        <f t="shared" si="154"/>
        <v>-200</v>
      </c>
      <c r="AH128" s="220">
        <f t="shared" si="154"/>
        <v>-199</v>
      </c>
      <c r="AI128" s="220">
        <f t="shared" si="154"/>
        <v>-121</v>
      </c>
      <c r="AJ128" s="50">
        <f t="shared" si="95"/>
        <v>1.5990000000000073</v>
      </c>
      <c r="AK128" s="257"/>
      <c r="AL128" s="257">
        <f t="shared" si="96"/>
        <v>1.2</v>
      </c>
      <c r="AM128" s="52"/>
      <c r="AN128" s="88"/>
    </row>
    <row r="129" spans="1:40" s="29" customFormat="1" ht="17.25" customHeight="1">
      <c r="A129" s="48">
        <v>120</v>
      </c>
      <c r="B129" s="49">
        <f t="shared" si="88"/>
        <v>45672</v>
      </c>
      <c r="C129" s="220">
        <f t="shared" si="89"/>
        <v>1049</v>
      </c>
      <c r="D129" s="220">
        <f t="shared" ref="D129" si="159">D128-18</f>
        <v>2447</v>
      </c>
      <c r="E129" s="220">
        <f t="shared" si="91"/>
        <v>3496</v>
      </c>
      <c r="F129" s="220">
        <f t="shared" si="83"/>
        <v>994</v>
      </c>
      <c r="G129" s="220">
        <f t="shared" si="84"/>
        <v>1049</v>
      </c>
      <c r="H129" s="220">
        <f t="shared" si="85"/>
        <v>1098</v>
      </c>
      <c r="I129" s="220">
        <f t="shared" si="86"/>
        <v>1146</v>
      </c>
      <c r="J129" s="220">
        <f t="shared" si="87"/>
        <v>968</v>
      </c>
      <c r="K129" s="220">
        <f t="shared" si="140"/>
        <v>2502</v>
      </c>
      <c r="L129" s="220">
        <f t="shared" si="140"/>
        <v>2447</v>
      </c>
      <c r="M129" s="220">
        <f t="shared" si="140"/>
        <v>2398</v>
      </c>
      <c r="N129" s="220">
        <f t="shared" si="140"/>
        <v>2350</v>
      </c>
      <c r="O129" s="220">
        <f t="shared" si="140"/>
        <v>2528</v>
      </c>
      <c r="P129" s="220">
        <f t="shared" si="152"/>
        <v>2000</v>
      </c>
      <c r="Q129" s="220">
        <f t="shared" si="152"/>
        <v>2000</v>
      </c>
      <c r="R129" s="220">
        <f t="shared" si="152"/>
        <v>2000</v>
      </c>
      <c r="S129" s="220">
        <f t="shared" si="152"/>
        <v>2000</v>
      </c>
      <c r="T129" s="220">
        <f t="shared" si="152"/>
        <v>2000</v>
      </c>
      <c r="U129" s="220">
        <f t="shared" si="153"/>
        <v>502</v>
      </c>
      <c r="V129" s="220">
        <f t="shared" si="153"/>
        <v>447</v>
      </c>
      <c r="W129" s="220">
        <f t="shared" si="153"/>
        <v>398</v>
      </c>
      <c r="X129" s="220">
        <f t="shared" si="153"/>
        <v>350</v>
      </c>
      <c r="Y129" s="220">
        <f t="shared" si="153"/>
        <v>528</v>
      </c>
      <c r="Z129" s="220">
        <v>1</v>
      </c>
      <c r="AA129" s="220">
        <v>0</v>
      </c>
      <c r="AB129" s="220">
        <v>1</v>
      </c>
      <c r="AC129" s="220">
        <v>0</v>
      </c>
      <c r="AD129" s="220">
        <v>0</v>
      </c>
      <c r="AE129" s="220">
        <f t="shared" si="154"/>
        <v>-107</v>
      </c>
      <c r="AF129" s="220">
        <f t="shared" si="154"/>
        <v>-132</v>
      </c>
      <c r="AG129" s="220">
        <f t="shared" si="154"/>
        <v>-201</v>
      </c>
      <c r="AH129" s="220">
        <f t="shared" si="154"/>
        <v>-199</v>
      </c>
      <c r="AI129" s="220">
        <f t="shared" si="154"/>
        <v>-121</v>
      </c>
      <c r="AJ129" s="50">
        <f t="shared" si="95"/>
        <v>1.5980000000000074</v>
      </c>
      <c r="AK129" s="257"/>
      <c r="AL129" s="257">
        <f t="shared" si="96"/>
        <v>1.2</v>
      </c>
      <c r="AM129" s="52"/>
      <c r="AN129" s="88"/>
    </row>
    <row r="130" spans="1:40" s="29" customFormat="1" ht="17.25" customHeight="1">
      <c r="A130" s="48">
        <v>121</v>
      </c>
      <c r="B130" s="49">
        <f t="shared" si="88"/>
        <v>45673</v>
      </c>
      <c r="C130" s="220">
        <f t="shared" si="89"/>
        <v>1049</v>
      </c>
      <c r="D130" s="220">
        <f t="shared" ref="D130" si="160">D129-26</f>
        <v>2421</v>
      </c>
      <c r="E130" s="220">
        <f t="shared" si="91"/>
        <v>3470</v>
      </c>
      <c r="F130" s="220">
        <f t="shared" si="83"/>
        <v>968</v>
      </c>
      <c r="G130" s="220">
        <f t="shared" si="84"/>
        <v>1024</v>
      </c>
      <c r="H130" s="220">
        <f t="shared" si="85"/>
        <v>1075</v>
      </c>
      <c r="I130" s="220">
        <f t="shared" si="86"/>
        <v>1121</v>
      </c>
      <c r="J130" s="220">
        <f t="shared" si="87"/>
        <v>942</v>
      </c>
      <c r="K130" s="220">
        <f t="shared" si="140"/>
        <v>2502</v>
      </c>
      <c r="L130" s="220">
        <f t="shared" si="140"/>
        <v>2446</v>
      </c>
      <c r="M130" s="220">
        <f t="shared" si="140"/>
        <v>2395</v>
      </c>
      <c r="N130" s="220">
        <f t="shared" si="140"/>
        <v>2349</v>
      </c>
      <c r="O130" s="220">
        <f t="shared" si="140"/>
        <v>2528</v>
      </c>
      <c r="P130" s="220">
        <f t="shared" si="152"/>
        <v>2000</v>
      </c>
      <c r="Q130" s="220">
        <f t="shared" si="152"/>
        <v>2000</v>
      </c>
      <c r="R130" s="220">
        <f t="shared" si="152"/>
        <v>2000</v>
      </c>
      <c r="S130" s="220">
        <f t="shared" si="152"/>
        <v>2000</v>
      </c>
      <c r="T130" s="220">
        <f t="shared" si="152"/>
        <v>2000</v>
      </c>
      <c r="U130" s="220">
        <f t="shared" si="153"/>
        <v>502</v>
      </c>
      <c r="V130" s="220">
        <f t="shared" si="153"/>
        <v>446</v>
      </c>
      <c r="W130" s="220">
        <f t="shared" si="153"/>
        <v>395</v>
      </c>
      <c r="X130" s="220">
        <f t="shared" si="153"/>
        <v>349</v>
      </c>
      <c r="Y130" s="220">
        <f t="shared" si="153"/>
        <v>528</v>
      </c>
      <c r="Z130" s="220">
        <v>0</v>
      </c>
      <c r="AA130" s="220">
        <v>1</v>
      </c>
      <c r="AB130" s="220">
        <v>3</v>
      </c>
      <c r="AC130" s="220">
        <v>1</v>
      </c>
      <c r="AD130" s="220">
        <v>0</v>
      </c>
      <c r="AE130" s="220">
        <f t="shared" si="154"/>
        <v>-107</v>
      </c>
      <c r="AF130" s="220">
        <f t="shared" si="154"/>
        <v>-133</v>
      </c>
      <c r="AG130" s="220">
        <f t="shared" si="154"/>
        <v>-204</v>
      </c>
      <c r="AH130" s="220">
        <f t="shared" si="154"/>
        <v>-200</v>
      </c>
      <c r="AI130" s="220">
        <f t="shared" si="154"/>
        <v>-121</v>
      </c>
      <c r="AJ130" s="50">
        <f t="shared" si="95"/>
        <v>1.5950000000000075</v>
      </c>
      <c r="AK130" s="257"/>
      <c r="AL130" s="257">
        <f t="shared" si="96"/>
        <v>1.2</v>
      </c>
      <c r="AM130" s="52"/>
      <c r="AN130" s="88"/>
    </row>
    <row r="131" spans="1:40" s="29" customFormat="1" ht="17.25" customHeight="1">
      <c r="A131" s="48">
        <v>122</v>
      </c>
      <c r="B131" s="49">
        <f t="shared" si="88"/>
        <v>45674</v>
      </c>
      <c r="C131" s="220">
        <f t="shared" si="89"/>
        <v>1049</v>
      </c>
      <c r="D131" s="220">
        <f t="shared" ref="D131" si="161">D130+15</f>
        <v>2436</v>
      </c>
      <c r="E131" s="220">
        <f t="shared" si="91"/>
        <v>3485</v>
      </c>
      <c r="F131" s="220">
        <f t="shared" si="83"/>
        <v>983</v>
      </c>
      <c r="G131" s="220">
        <f t="shared" si="84"/>
        <v>1039</v>
      </c>
      <c r="H131" s="220">
        <f t="shared" si="85"/>
        <v>1090</v>
      </c>
      <c r="I131" s="220">
        <f t="shared" si="86"/>
        <v>1136</v>
      </c>
      <c r="J131" s="220">
        <f t="shared" si="87"/>
        <v>957</v>
      </c>
      <c r="K131" s="220">
        <f t="shared" si="140"/>
        <v>2502</v>
      </c>
      <c r="L131" s="220">
        <f t="shared" si="140"/>
        <v>2446</v>
      </c>
      <c r="M131" s="220">
        <f t="shared" si="140"/>
        <v>2395</v>
      </c>
      <c r="N131" s="220">
        <f t="shared" si="140"/>
        <v>2349</v>
      </c>
      <c r="O131" s="220">
        <f t="shared" si="140"/>
        <v>2528</v>
      </c>
      <c r="P131" s="220">
        <f t="shared" si="152"/>
        <v>2000</v>
      </c>
      <c r="Q131" s="220">
        <f t="shared" si="152"/>
        <v>2000</v>
      </c>
      <c r="R131" s="220">
        <f t="shared" si="152"/>
        <v>2000</v>
      </c>
      <c r="S131" s="220">
        <f t="shared" si="152"/>
        <v>2000</v>
      </c>
      <c r="T131" s="220">
        <f t="shared" si="152"/>
        <v>2000</v>
      </c>
      <c r="U131" s="220">
        <f t="shared" si="153"/>
        <v>502</v>
      </c>
      <c r="V131" s="220">
        <f t="shared" si="153"/>
        <v>446</v>
      </c>
      <c r="W131" s="220">
        <f t="shared" si="153"/>
        <v>395</v>
      </c>
      <c r="X131" s="220">
        <f t="shared" si="153"/>
        <v>349</v>
      </c>
      <c r="Y131" s="220">
        <f t="shared" si="153"/>
        <v>528</v>
      </c>
      <c r="Z131" s="220">
        <v>0</v>
      </c>
      <c r="AA131" s="220">
        <v>0</v>
      </c>
      <c r="AB131" s="220">
        <v>0</v>
      </c>
      <c r="AC131" s="220">
        <v>0</v>
      </c>
      <c r="AD131" s="220">
        <v>0</v>
      </c>
      <c r="AE131" s="220">
        <f t="shared" si="154"/>
        <v>-107</v>
      </c>
      <c r="AF131" s="220">
        <f t="shared" si="154"/>
        <v>-133</v>
      </c>
      <c r="AG131" s="220">
        <f t="shared" si="154"/>
        <v>-204</v>
      </c>
      <c r="AH131" s="220">
        <f t="shared" si="154"/>
        <v>-200</v>
      </c>
      <c r="AI131" s="220">
        <f t="shared" si="154"/>
        <v>-121</v>
      </c>
      <c r="AJ131" s="50">
        <f t="shared" si="95"/>
        <v>1.5950000000000075</v>
      </c>
      <c r="AK131" s="257"/>
      <c r="AL131" s="257">
        <f t="shared" si="96"/>
        <v>1.2</v>
      </c>
      <c r="AM131" s="52"/>
      <c r="AN131" s="88"/>
    </row>
    <row r="132" spans="1:40" s="29" customFormat="1" ht="17.25" customHeight="1">
      <c r="A132" s="48">
        <v>123</v>
      </c>
      <c r="B132" s="49">
        <f t="shared" si="88"/>
        <v>45675</v>
      </c>
      <c r="C132" s="220">
        <f t="shared" si="89"/>
        <v>1049</v>
      </c>
      <c r="D132" s="220">
        <f t="shared" ref="D132" si="162">D131+26</f>
        <v>2462</v>
      </c>
      <c r="E132" s="220">
        <f t="shared" si="91"/>
        <v>3511</v>
      </c>
      <c r="F132" s="220">
        <f t="shared" si="83"/>
        <v>1010</v>
      </c>
      <c r="G132" s="220">
        <f t="shared" si="84"/>
        <v>1065</v>
      </c>
      <c r="H132" s="220">
        <f t="shared" si="85"/>
        <v>1117</v>
      </c>
      <c r="I132" s="220">
        <f t="shared" si="86"/>
        <v>1165</v>
      </c>
      <c r="J132" s="220">
        <f t="shared" si="87"/>
        <v>983</v>
      </c>
      <c r="K132" s="220">
        <f t="shared" si="140"/>
        <v>2501</v>
      </c>
      <c r="L132" s="220">
        <f t="shared" si="140"/>
        <v>2446</v>
      </c>
      <c r="M132" s="220">
        <f t="shared" si="140"/>
        <v>2394</v>
      </c>
      <c r="N132" s="220">
        <f t="shared" si="140"/>
        <v>2346</v>
      </c>
      <c r="O132" s="220">
        <f t="shared" si="140"/>
        <v>2528</v>
      </c>
      <c r="P132" s="220">
        <f t="shared" si="152"/>
        <v>2000</v>
      </c>
      <c r="Q132" s="220">
        <f t="shared" si="152"/>
        <v>2000</v>
      </c>
      <c r="R132" s="220">
        <f t="shared" si="152"/>
        <v>2000</v>
      </c>
      <c r="S132" s="220">
        <f t="shared" si="152"/>
        <v>2000</v>
      </c>
      <c r="T132" s="220">
        <f t="shared" si="152"/>
        <v>2000</v>
      </c>
      <c r="U132" s="220">
        <f t="shared" si="153"/>
        <v>501</v>
      </c>
      <c r="V132" s="220">
        <f t="shared" si="153"/>
        <v>446</v>
      </c>
      <c r="W132" s="220">
        <f t="shared" si="153"/>
        <v>394</v>
      </c>
      <c r="X132" s="220">
        <f t="shared" si="153"/>
        <v>346</v>
      </c>
      <c r="Y132" s="220">
        <f t="shared" si="153"/>
        <v>528</v>
      </c>
      <c r="Z132" s="220">
        <v>1</v>
      </c>
      <c r="AA132" s="220">
        <v>0</v>
      </c>
      <c r="AB132" s="220">
        <v>1</v>
      </c>
      <c r="AC132" s="220">
        <v>3</v>
      </c>
      <c r="AD132" s="220">
        <v>0</v>
      </c>
      <c r="AE132" s="220">
        <f t="shared" si="154"/>
        <v>-108</v>
      </c>
      <c r="AF132" s="220">
        <f t="shared" si="154"/>
        <v>-133</v>
      </c>
      <c r="AG132" s="220">
        <f t="shared" si="154"/>
        <v>-205</v>
      </c>
      <c r="AH132" s="220">
        <f t="shared" si="154"/>
        <v>-203</v>
      </c>
      <c r="AI132" s="220">
        <f t="shared" si="154"/>
        <v>-121</v>
      </c>
      <c r="AJ132" s="50">
        <f t="shared" si="95"/>
        <v>1.5940000000000076</v>
      </c>
      <c r="AK132" s="257"/>
      <c r="AL132" s="257">
        <f t="shared" si="96"/>
        <v>1.2</v>
      </c>
      <c r="AM132" s="52"/>
      <c r="AN132" s="88"/>
    </row>
    <row r="133" spans="1:40" s="29" customFormat="1" ht="17.25" customHeight="1">
      <c r="A133" s="48">
        <v>124</v>
      </c>
      <c r="B133" s="49">
        <f t="shared" si="88"/>
        <v>45676</v>
      </c>
      <c r="C133" s="220">
        <f t="shared" si="89"/>
        <v>1049</v>
      </c>
      <c r="D133" s="220">
        <f t="shared" ref="D133" si="163">D132+32</f>
        <v>2494</v>
      </c>
      <c r="E133" s="220">
        <f t="shared" si="91"/>
        <v>3543</v>
      </c>
      <c r="F133" s="220">
        <f t="shared" si="83"/>
        <v>1042</v>
      </c>
      <c r="G133" s="220">
        <f t="shared" si="84"/>
        <v>1097</v>
      </c>
      <c r="H133" s="220">
        <f t="shared" si="85"/>
        <v>1149</v>
      </c>
      <c r="I133" s="220">
        <f t="shared" si="86"/>
        <v>1197</v>
      </c>
      <c r="J133" s="220">
        <f t="shared" si="87"/>
        <v>1016</v>
      </c>
      <c r="K133" s="220">
        <f t="shared" si="140"/>
        <v>2501</v>
      </c>
      <c r="L133" s="220">
        <f t="shared" si="140"/>
        <v>2446</v>
      </c>
      <c r="M133" s="220">
        <f t="shared" si="140"/>
        <v>2394</v>
      </c>
      <c r="N133" s="220">
        <f t="shared" si="140"/>
        <v>2346</v>
      </c>
      <c r="O133" s="220">
        <f t="shared" si="140"/>
        <v>2527</v>
      </c>
      <c r="P133" s="220">
        <f t="shared" si="152"/>
        <v>2000</v>
      </c>
      <c r="Q133" s="220">
        <f t="shared" si="152"/>
        <v>2000</v>
      </c>
      <c r="R133" s="220">
        <f t="shared" si="152"/>
        <v>2000</v>
      </c>
      <c r="S133" s="220">
        <f t="shared" si="152"/>
        <v>2000</v>
      </c>
      <c r="T133" s="220">
        <f t="shared" si="152"/>
        <v>2000</v>
      </c>
      <c r="U133" s="220">
        <f t="shared" si="153"/>
        <v>501</v>
      </c>
      <c r="V133" s="220">
        <f t="shared" si="153"/>
        <v>446</v>
      </c>
      <c r="W133" s="220">
        <f t="shared" si="153"/>
        <v>394</v>
      </c>
      <c r="X133" s="220">
        <f t="shared" si="153"/>
        <v>346</v>
      </c>
      <c r="Y133" s="220">
        <f t="shared" si="153"/>
        <v>527</v>
      </c>
      <c r="Z133" s="220">
        <v>0</v>
      </c>
      <c r="AA133" s="220">
        <v>0</v>
      </c>
      <c r="AB133" s="220">
        <v>0</v>
      </c>
      <c r="AC133" s="220">
        <v>0</v>
      </c>
      <c r="AD133" s="220">
        <v>1</v>
      </c>
      <c r="AE133" s="220">
        <f t="shared" si="154"/>
        <v>-108</v>
      </c>
      <c r="AF133" s="220">
        <f t="shared" si="154"/>
        <v>-133</v>
      </c>
      <c r="AG133" s="220">
        <f t="shared" si="154"/>
        <v>-205</v>
      </c>
      <c r="AH133" s="220">
        <f t="shared" si="154"/>
        <v>-203</v>
      </c>
      <c r="AI133" s="220">
        <f t="shared" si="154"/>
        <v>-122</v>
      </c>
      <c r="AJ133" s="50">
        <f t="shared" si="95"/>
        <v>1.5940000000000076</v>
      </c>
      <c r="AK133" s="257"/>
      <c r="AL133" s="257">
        <f t="shared" si="96"/>
        <v>1.2</v>
      </c>
      <c r="AM133" s="52"/>
      <c r="AN133" s="88"/>
    </row>
    <row r="134" spans="1:40" s="29" customFormat="1" ht="17.25" customHeight="1">
      <c r="A134" s="48">
        <v>125</v>
      </c>
      <c r="B134" s="49">
        <f t="shared" si="88"/>
        <v>45677</v>
      </c>
      <c r="C134" s="220">
        <f t="shared" si="89"/>
        <v>1049</v>
      </c>
      <c r="D134" s="220">
        <f t="shared" ref="D134" si="164">D133-18</f>
        <v>2476</v>
      </c>
      <c r="E134" s="220">
        <f t="shared" si="91"/>
        <v>3525</v>
      </c>
      <c r="F134" s="220">
        <f t="shared" si="83"/>
        <v>1024</v>
      </c>
      <c r="G134" s="220">
        <f t="shared" si="84"/>
        <v>1079</v>
      </c>
      <c r="H134" s="220">
        <f t="shared" si="85"/>
        <v>1134</v>
      </c>
      <c r="I134" s="220">
        <f t="shared" si="86"/>
        <v>1179</v>
      </c>
      <c r="J134" s="220">
        <f t="shared" si="87"/>
        <v>998</v>
      </c>
      <c r="K134" s="220">
        <f t="shared" si="140"/>
        <v>2501</v>
      </c>
      <c r="L134" s="220">
        <f t="shared" si="140"/>
        <v>2446</v>
      </c>
      <c r="M134" s="220">
        <f t="shared" si="140"/>
        <v>2391</v>
      </c>
      <c r="N134" s="220">
        <f t="shared" si="140"/>
        <v>2346</v>
      </c>
      <c r="O134" s="220">
        <f t="shared" si="140"/>
        <v>2527</v>
      </c>
      <c r="P134" s="220">
        <f t="shared" si="152"/>
        <v>2000</v>
      </c>
      <c r="Q134" s="220">
        <f t="shared" si="152"/>
        <v>2000</v>
      </c>
      <c r="R134" s="220">
        <f t="shared" si="152"/>
        <v>2000</v>
      </c>
      <c r="S134" s="220">
        <f t="shared" si="152"/>
        <v>2000</v>
      </c>
      <c r="T134" s="220">
        <f t="shared" si="152"/>
        <v>2000</v>
      </c>
      <c r="U134" s="220">
        <f t="shared" si="153"/>
        <v>501</v>
      </c>
      <c r="V134" s="220">
        <f t="shared" si="153"/>
        <v>446</v>
      </c>
      <c r="W134" s="220">
        <f t="shared" si="153"/>
        <v>391</v>
      </c>
      <c r="X134" s="220">
        <f t="shared" si="153"/>
        <v>346</v>
      </c>
      <c r="Y134" s="220">
        <f t="shared" si="153"/>
        <v>527</v>
      </c>
      <c r="Z134" s="220">
        <v>0</v>
      </c>
      <c r="AA134" s="220">
        <v>0</v>
      </c>
      <c r="AB134" s="220">
        <v>3</v>
      </c>
      <c r="AC134" s="220">
        <v>0</v>
      </c>
      <c r="AD134" s="220">
        <v>0</v>
      </c>
      <c r="AE134" s="220">
        <f t="shared" si="154"/>
        <v>-108</v>
      </c>
      <c r="AF134" s="220">
        <f t="shared" si="154"/>
        <v>-133</v>
      </c>
      <c r="AG134" s="220">
        <f t="shared" si="154"/>
        <v>-208</v>
      </c>
      <c r="AH134" s="220">
        <f t="shared" si="154"/>
        <v>-203</v>
      </c>
      <c r="AI134" s="220">
        <f t="shared" si="154"/>
        <v>-122</v>
      </c>
      <c r="AJ134" s="50">
        <f t="shared" si="95"/>
        <v>1.5910000000000077</v>
      </c>
      <c r="AK134" s="257"/>
      <c r="AL134" s="257">
        <f t="shared" si="96"/>
        <v>1.2</v>
      </c>
      <c r="AM134" s="52"/>
      <c r="AN134" s="88"/>
    </row>
    <row r="135" spans="1:40" s="29" customFormat="1" ht="17.25" customHeight="1">
      <c r="A135" s="48">
        <v>126</v>
      </c>
      <c r="B135" s="49">
        <f t="shared" si="88"/>
        <v>45678</v>
      </c>
      <c r="C135" s="220">
        <f t="shared" si="89"/>
        <v>1049</v>
      </c>
      <c r="D135" s="220">
        <f t="shared" ref="D135" si="165">D134-26</f>
        <v>2450</v>
      </c>
      <c r="E135" s="220">
        <f t="shared" si="91"/>
        <v>3499</v>
      </c>
      <c r="F135" s="220">
        <f t="shared" si="83"/>
        <v>999</v>
      </c>
      <c r="G135" s="220">
        <f t="shared" si="84"/>
        <v>1054</v>
      </c>
      <c r="H135" s="220">
        <f t="shared" si="85"/>
        <v>1109</v>
      </c>
      <c r="I135" s="220">
        <f t="shared" si="86"/>
        <v>1154</v>
      </c>
      <c r="J135" s="220">
        <f t="shared" si="87"/>
        <v>972</v>
      </c>
      <c r="K135" s="220">
        <f t="shared" si="140"/>
        <v>2500</v>
      </c>
      <c r="L135" s="220">
        <f t="shared" si="140"/>
        <v>2445</v>
      </c>
      <c r="M135" s="220">
        <f t="shared" si="140"/>
        <v>2390</v>
      </c>
      <c r="N135" s="220">
        <f t="shared" si="140"/>
        <v>2345</v>
      </c>
      <c r="O135" s="220">
        <f t="shared" si="140"/>
        <v>2527</v>
      </c>
      <c r="P135" s="220">
        <f t="shared" si="152"/>
        <v>2000</v>
      </c>
      <c r="Q135" s="220">
        <f t="shared" si="152"/>
        <v>2000</v>
      </c>
      <c r="R135" s="220">
        <f t="shared" si="152"/>
        <v>2000</v>
      </c>
      <c r="S135" s="220">
        <f t="shared" si="152"/>
        <v>2000</v>
      </c>
      <c r="T135" s="220">
        <f t="shared" si="152"/>
        <v>2000</v>
      </c>
      <c r="U135" s="220">
        <f t="shared" si="153"/>
        <v>500</v>
      </c>
      <c r="V135" s="220">
        <f t="shared" si="153"/>
        <v>445</v>
      </c>
      <c r="W135" s="220">
        <f t="shared" si="153"/>
        <v>390</v>
      </c>
      <c r="X135" s="220">
        <f t="shared" si="153"/>
        <v>345</v>
      </c>
      <c r="Y135" s="220">
        <f t="shared" si="153"/>
        <v>527</v>
      </c>
      <c r="Z135" s="220">
        <v>1</v>
      </c>
      <c r="AA135" s="220">
        <v>1</v>
      </c>
      <c r="AB135" s="220">
        <v>1</v>
      </c>
      <c r="AC135" s="220">
        <v>1</v>
      </c>
      <c r="AD135" s="220">
        <v>0</v>
      </c>
      <c r="AE135" s="220">
        <f t="shared" si="154"/>
        <v>-109</v>
      </c>
      <c r="AF135" s="220">
        <f t="shared" si="154"/>
        <v>-134</v>
      </c>
      <c r="AG135" s="220">
        <f t="shared" si="154"/>
        <v>-209</v>
      </c>
      <c r="AH135" s="220">
        <f t="shared" si="154"/>
        <v>-204</v>
      </c>
      <c r="AI135" s="220">
        <f t="shared" si="154"/>
        <v>-122</v>
      </c>
      <c r="AJ135" s="50">
        <f t="shared" si="95"/>
        <v>1.5900000000000079</v>
      </c>
      <c r="AK135" s="257"/>
      <c r="AL135" s="257">
        <f t="shared" si="96"/>
        <v>1.2</v>
      </c>
      <c r="AM135" s="52"/>
      <c r="AN135" s="88"/>
    </row>
    <row r="136" spans="1:40" s="29" customFormat="1" ht="17.25" customHeight="1">
      <c r="A136" s="48">
        <v>127</v>
      </c>
      <c r="B136" s="49">
        <f t="shared" si="88"/>
        <v>45679</v>
      </c>
      <c r="C136" s="220">
        <f t="shared" si="89"/>
        <v>1049</v>
      </c>
      <c r="D136" s="220">
        <f t="shared" ref="D136" si="166">D135+15</f>
        <v>2465</v>
      </c>
      <c r="E136" s="220">
        <f t="shared" si="91"/>
        <v>3514</v>
      </c>
      <c r="F136" s="220">
        <f t="shared" si="83"/>
        <v>1014</v>
      </c>
      <c r="G136" s="220">
        <f t="shared" si="84"/>
        <v>1070</v>
      </c>
      <c r="H136" s="220">
        <f t="shared" si="85"/>
        <v>1124</v>
      </c>
      <c r="I136" s="220">
        <f t="shared" si="86"/>
        <v>1170</v>
      </c>
      <c r="J136" s="220">
        <f t="shared" si="87"/>
        <v>987</v>
      </c>
      <c r="K136" s="220">
        <f t="shared" si="140"/>
        <v>2500</v>
      </c>
      <c r="L136" s="220">
        <f t="shared" si="140"/>
        <v>2444</v>
      </c>
      <c r="M136" s="220">
        <f t="shared" si="140"/>
        <v>2390</v>
      </c>
      <c r="N136" s="220">
        <f t="shared" si="140"/>
        <v>2344</v>
      </c>
      <c r="O136" s="220">
        <f t="shared" si="140"/>
        <v>2527</v>
      </c>
      <c r="P136" s="220">
        <f t="shared" si="152"/>
        <v>2000</v>
      </c>
      <c r="Q136" s="220">
        <f t="shared" si="152"/>
        <v>2000</v>
      </c>
      <c r="R136" s="220">
        <f t="shared" si="152"/>
        <v>2000</v>
      </c>
      <c r="S136" s="220">
        <f t="shared" si="152"/>
        <v>2000</v>
      </c>
      <c r="T136" s="220">
        <f t="shared" si="152"/>
        <v>2000</v>
      </c>
      <c r="U136" s="220">
        <f t="shared" si="153"/>
        <v>500</v>
      </c>
      <c r="V136" s="220">
        <f t="shared" si="153"/>
        <v>444</v>
      </c>
      <c r="W136" s="220">
        <f t="shared" si="153"/>
        <v>390</v>
      </c>
      <c r="X136" s="220">
        <f t="shared" si="153"/>
        <v>344</v>
      </c>
      <c r="Y136" s="220">
        <f t="shared" si="153"/>
        <v>527</v>
      </c>
      <c r="Z136" s="220">
        <v>0</v>
      </c>
      <c r="AA136" s="220">
        <v>1</v>
      </c>
      <c r="AB136" s="220">
        <v>0</v>
      </c>
      <c r="AC136" s="220">
        <v>1</v>
      </c>
      <c r="AD136" s="220">
        <v>0</v>
      </c>
      <c r="AE136" s="220">
        <f t="shared" si="154"/>
        <v>-109</v>
      </c>
      <c r="AF136" s="220">
        <f t="shared" si="154"/>
        <v>-135</v>
      </c>
      <c r="AG136" s="220">
        <f t="shared" si="154"/>
        <v>-209</v>
      </c>
      <c r="AH136" s="220">
        <f t="shared" si="154"/>
        <v>-205</v>
      </c>
      <c r="AI136" s="220">
        <f t="shared" si="154"/>
        <v>-122</v>
      </c>
      <c r="AJ136" s="50">
        <f t="shared" si="95"/>
        <v>1.5900000000000079</v>
      </c>
      <c r="AK136" s="257"/>
      <c r="AL136" s="257">
        <f t="shared" si="96"/>
        <v>1.2</v>
      </c>
      <c r="AM136" s="52"/>
      <c r="AN136" s="88"/>
    </row>
    <row r="137" spans="1:40" s="29" customFormat="1" ht="17.25" customHeight="1">
      <c r="A137" s="48">
        <v>128</v>
      </c>
      <c r="B137" s="49">
        <f t="shared" si="88"/>
        <v>45680</v>
      </c>
      <c r="C137" s="220">
        <f t="shared" si="89"/>
        <v>1049</v>
      </c>
      <c r="D137" s="220">
        <f t="shared" ref="D137" si="167">D136+26</f>
        <v>2491</v>
      </c>
      <c r="E137" s="220">
        <f t="shared" si="91"/>
        <v>3540</v>
      </c>
      <c r="F137" s="220">
        <f t="shared" si="83"/>
        <v>1041</v>
      </c>
      <c r="G137" s="220">
        <f t="shared" si="84"/>
        <v>1096</v>
      </c>
      <c r="H137" s="220">
        <f t="shared" si="85"/>
        <v>1153</v>
      </c>
      <c r="I137" s="220">
        <f t="shared" si="86"/>
        <v>1196</v>
      </c>
      <c r="J137" s="220">
        <f t="shared" si="87"/>
        <v>1014</v>
      </c>
      <c r="K137" s="220">
        <f t="shared" si="140"/>
        <v>2499</v>
      </c>
      <c r="L137" s="220">
        <f t="shared" si="140"/>
        <v>2444</v>
      </c>
      <c r="M137" s="220">
        <f t="shared" si="140"/>
        <v>2387</v>
      </c>
      <c r="N137" s="220">
        <f t="shared" si="140"/>
        <v>2344</v>
      </c>
      <c r="O137" s="220">
        <f t="shared" si="140"/>
        <v>2526</v>
      </c>
      <c r="P137" s="220">
        <f t="shared" si="152"/>
        <v>2000</v>
      </c>
      <c r="Q137" s="220">
        <f t="shared" si="152"/>
        <v>2000</v>
      </c>
      <c r="R137" s="220">
        <f t="shared" si="152"/>
        <v>2000</v>
      </c>
      <c r="S137" s="220">
        <f t="shared" si="152"/>
        <v>2000</v>
      </c>
      <c r="T137" s="220">
        <f t="shared" si="152"/>
        <v>2000</v>
      </c>
      <c r="U137" s="220">
        <f t="shared" si="153"/>
        <v>499</v>
      </c>
      <c r="V137" s="220">
        <f t="shared" si="153"/>
        <v>444</v>
      </c>
      <c r="W137" s="220">
        <f t="shared" si="153"/>
        <v>387</v>
      </c>
      <c r="X137" s="220">
        <f t="shared" si="153"/>
        <v>344</v>
      </c>
      <c r="Y137" s="220">
        <f t="shared" si="153"/>
        <v>526</v>
      </c>
      <c r="Z137" s="220">
        <v>1</v>
      </c>
      <c r="AA137" s="220">
        <v>0</v>
      </c>
      <c r="AB137" s="220">
        <v>3</v>
      </c>
      <c r="AC137" s="220">
        <v>0</v>
      </c>
      <c r="AD137" s="220">
        <v>1</v>
      </c>
      <c r="AE137" s="220">
        <f t="shared" si="154"/>
        <v>-110</v>
      </c>
      <c r="AF137" s="220">
        <f t="shared" si="154"/>
        <v>-135</v>
      </c>
      <c r="AG137" s="220">
        <f t="shared" si="154"/>
        <v>-212</v>
      </c>
      <c r="AH137" s="220">
        <f t="shared" si="154"/>
        <v>-205</v>
      </c>
      <c r="AI137" s="220">
        <f t="shared" si="154"/>
        <v>-123</v>
      </c>
      <c r="AJ137" s="50">
        <f t="shared" si="95"/>
        <v>1.587000000000008</v>
      </c>
      <c r="AK137" s="257"/>
      <c r="AL137" s="257">
        <f t="shared" si="96"/>
        <v>1.2</v>
      </c>
      <c r="AM137" s="52"/>
      <c r="AN137" s="88"/>
    </row>
    <row r="138" spans="1:40" s="29" customFormat="1" ht="17.25" customHeight="1">
      <c r="A138" s="48">
        <v>129</v>
      </c>
      <c r="B138" s="49">
        <f t="shared" si="88"/>
        <v>45681</v>
      </c>
      <c r="C138" s="220">
        <f t="shared" si="89"/>
        <v>1049</v>
      </c>
      <c r="D138" s="220">
        <f t="shared" ref="D138" si="168">D137+32</f>
        <v>2523</v>
      </c>
      <c r="E138" s="220">
        <f t="shared" si="91"/>
        <v>3572</v>
      </c>
      <c r="F138" s="220">
        <f t="shared" si="83"/>
        <v>1073</v>
      </c>
      <c r="G138" s="220">
        <f t="shared" si="84"/>
        <v>1128</v>
      </c>
      <c r="H138" s="220">
        <f t="shared" si="85"/>
        <v>1185</v>
      </c>
      <c r="I138" s="220">
        <f t="shared" si="86"/>
        <v>1228</v>
      </c>
      <c r="J138" s="220">
        <f t="shared" si="87"/>
        <v>1046</v>
      </c>
      <c r="K138" s="220">
        <f t="shared" si="140"/>
        <v>2499</v>
      </c>
      <c r="L138" s="220">
        <f t="shared" si="140"/>
        <v>2444</v>
      </c>
      <c r="M138" s="220">
        <f t="shared" si="140"/>
        <v>2387</v>
      </c>
      <c r="N138" s="220">
        <f t="shared" si="140"/>
        <v>2344</v>
      </c>
      <c r="O138" s="220">
        <f t="shared" si="140"/>
        <v>2526</v>
      </c>
      <c r="P138" s="220">
        <f t="shared" si="152"/>
        <v>2000</v>
      </c>
      <c r="Q138" s="220">
        <f t="shared" si="152"/>
        <v>2000</v>
      </c>
      <c r="R138" s="220">
        <f t="shared" si="152"/>
        <v>2000</v>
      </c>
      <c r="S138" s="220">
        <f t="shared" si="152"/>
        <v>2000</v>
      </c>
      <c r="T138" s="220">
        <f t="shared" si="152"/>
        <v>2000</v>
      </c>
      <c r="U138" s="220">
        <f t="shared" si="153"/>
        <v>499</v>
      </c>
      <c r="V138" s="220">
        <f t="shared" si="153"/>
        <v>444</v>
      </c>
      <c r="W138" s="220">
        <f t="shared" si="153"/>
        <v>387</v>
      </c>
      <c r="X138" s="220">
        <f t="shared" si="153"/>
        <v>344</v>
      </c>
      <c r="Y138" s="220">
        <f t="shared" si="153"/>
        <v>526</v>
      </c>
      <c r="Z138" s="220">
        <v>0</v>
      </c>
      <c r="AA138" s="220">
        <v>0</v>
      </c>
      <c r="AB138" s="220">
        <v>0</v>
      </c>
      <c r="AC138" s="220">
        <v>0</v>
      </c>
      <c r="AD138" s="220">
        <v>0</v>
      </c>
      <c r="AE138" s="220">
        <f t="shared" si="154"/>
        <v>-110</v>
      </c>
      <c r="AF138" s="220">
        <f t="shared" si="154"/>
        <v>-135</v>
      </c>
      <c r="AG138" s="220">
        <f t="shared" si="154"/>
        <v>-212</v>
      </c>
      <c r="AH138" s="220">
        <f t="shared" si="154"/>
        <v>-205</v>
      </c>
      <c r="AI138" s="220">
        <f t="shared" si="154"/>
        <v>-123</v>
      </c>
      <c r="AJ138" s="50">
        <f t="shared" si="95"/>
        <v>1.587000000000008</v>
      </c>
      <c r="AK138" s="257"/>
      <c r="AL138" s="257">
        <f t="shared" si="96"/>
        <v>1.2</v>
      </c>
      <c r="AM138" s="52"/>
      <c r="AN138" s="88"/>
    </row>
    <row r="139" spans="1:40" s="29" customFormat="1" ht="17.25" customHeight="1">
      <c r="A139" s="48">
        <v>130</v>
      </c>
      <c r="B139" s="49">
        <f t="shared" si="88"/>
        <v>45682</v>
      </c>
      <c r="C139" s="220">
        <f t="shared" si="89"/>
        <v>1049</v>
      </c>
      <c r="D139" s="220">
        <f t="shared" ref="D139" si="169">D138-18</f>
        <v>2505</v>
      </c>
      <c r="E139" s="220">
        <f t="shared" si="91"/>
        <v>3554</v>
      </c>
      <c r="F139" s="220">
        <f t="shared" ref="F139:F200" si="170">E139-K139</f>
        <v>1056</v>
      </c>
      <c r="G139" s="220">
        <f t="shared" ref="G139:G200" si="171">E139-L139</f>
        <v>1110</v>
      </c>
      <c r="H139" s="220">
        <f t="shared" ref="H139:H200" si="172">E139-M139</f>
        <v>1168</v>
      </c>
      <c r="I139" s="220">
        <f t="shared" ref="I139:I200" si="173">E139-N139</f>
        <v>1210</v>
      </c>
      <c r="J139" s="220">
        <f t="shared" ref="J139:J200" si="174">E139-O139</f>
        <v>1029</v>
      </c>
      <c r="K139" s="220">
        <f t="shared" si="140"/>
        <v>2498</v>
      </c>
      <c r="L139" s="220">
        <f t="shared" si="140"/>
        <v>2444</v>
      </c>
      <c r="M139" s="220">
        <f t="shared" si="140"/>
        <v>2386</v>
      </c>
      <c r="N139" s="220">
        <f t="shared" si="140"/>
        <v>2344</v>
      </c>
      <c r="O139" s="220">
        <f t="shared" si="140"/>
        <v>2525</v>
      </c>
      <c r="P139" s="220">
        <f t="shared" si="152"/>
        <v>2000</v>
      </c>
      <c r="Q139" s="220">
        <f t="shared" si="152"/>
        <v>2000</v>
      </c>
      <c r="R139" s="220">
        <f t="shared" si="152"/>
        <v>2000</v>
      </c>
      <c r="S139" s="220">
        <f t="shared" si="152"/>
        <v>2000</v>
      </c>
      <c r="T139" s="220">
        <f t="shared" si="152"/>
        <v>2000</v>
      </c>
      <c r="U139" s="220">
        <f t="shared" si="153"/>
        <v>498</v>
      </c>
      <c r="V139" s="220">
        <f t="shared" si="153"/>
        <v>444</v>
      </c>
      <c r="W139" s="220">
        <f t="shared" si="153"/>
        <v>386</v>
      </c>
      <c r="X139" s="220">
        <f t="shared" si="153"/>
        <v>344</v>
      </c>
      <c r="Y139" s="220">
        <f t="shared" si="153"/>
        <v>525</v>
      </c>
      <c r="Z139" s="220">
        <v>1</v>
      </c>
      <c r="AA139" s="220">
        <v>0</v>
      </c>
      <c r="AB139" s="220">
        <v>1</v>
      </c>
      <c r="AC139" s="220">
        <v>0</v>
      </c>
      <c r="AD139" s="220">
        <v>1</v>
      </c>
      <c r="AE139" s="220">
        <f t="shared" si="154"/>
        <v>-111</v>
      </c>
      <c r="AF139" s="220">
        <f t="shared" si="154"/>
        <v>-135</v>
      </c>
      <c r="AG139" s="220">
        <f t="shared" si="154"/>
        <v>-213</v>
      </c>
      <c r="AH139" s="220">
        <f t="shared" si="154"/>
        <v>-205</v>
      </c>
      <c r="AI139" s="220">
        <f t="shared" si="154"/>
        <v>-124</v>
      </c>
      <c r="AJ139" s="50">
        <f t="shared" si="95"/>
        <v>1.5860000000000081</v>
      </c>
      <c r="AK139" s="257"/>
      <c r="AL139" s="257">
        <f t="shared" si="96"/>
        <v>1.2</v>
      </c>
      <c r="AM139" s="52"/>
      <c r="AN139" s="88"/>
    </row>
    <row r="140" spans="1:40" s="29" customFormat="1" ht="17.25" customHeight="1">
      <c r="A140" s="48">
        <v>131</v>
      </c>
      <c r="B140" s="49">
        <f t="shared" ref="B140:B201" si="175">B139+1</f>
        <v>45683</v>
      </c>
      <c r="C140" s="220">
        <f t="shared" ref="C140:C201" si="176">+C139</f>
        <v>1049</v>
      </c>
      <c r="D140" s="220">
        <f t="shared" ref="D140" si="177">D139-26</f>
        <v>2479</v>
      </c>
      <c r="E140" s="220">
        <f t="shared" ref="E140:E200" si="178">+C140+D140</f>
        <v>3528</v>
      </c>
      <c r="F140" s="220">
        <f t="shared" si="170"/>
        <v>1030</v>
      </c>
      <c r="G140" s="220">
        <f t="shared" si="171"/>
        <v>1086</v>
      </c>
      <c r="H140" s="220">
        <f t="shared" si="172"/>
        <v>1142</v>
      </c>
      <c r="I140" s="220">
        <f t="shared" si="173"/>
        <v>1186</v>
      </c>
      <c r="J140" s="220">
        <f t="shared" si="174"/>
        <v>1004</v>
      </c>
      <c r="K140" s="220">
        <f t="shared" si="140"/>
        <v>2498</v>
      </c>
      <c r="L140" s="220">
        <f t="shared" si="140"/>
        <v>2442</v>
      </c>
      <c r="M140" s="220">
        <f t="shared" si="140"/>
        <v>2386</v>
      </c>
      <c r="N140" s="220">
        <f t="shared" si="140"/>
        <v>2342</v>
      </c>
      <c r="O140" s="220">
        <f t="shared" si="140"/>
        <v>2524</v>
      </c>
      <c r="P140" s="220">
        <f t="shared" ref="P140:T155" si="179">+P139</f>
        <v>2000</v>
      </c>
      <c r="Q140" s="220">
        <f t="shared" si="179"/>
        <v>2000</v>
      </c>
      <c r="R140" s="220">
        <f t="shared" si="179"/>
        <v>2000</v>
      </c>
      <c r="S140" s="220">
        <f t="shared" si="179"/>
        <v>2000</v>
      </c>
      <c r="T140" s="220">
        <f t="shared" si="179"/>
        <v>2000</v>
      </c>
      <c r="U140" s="220">
        <f t="shared" ref="U140:Y155" si="180">U139-Z140</f>
        <v>498</v>
      </c>
      <c r="V140" s="220">
        <f t="shared" si="180"/>
        <v>442</v>
      </c>
      <c r="W140" s="220">
        <f t="shared" si="180"/>
        <v>386</v>
      </c>
      <c r="X140" s="220">
        <f t="shared" si="180"/>
        <v>342</v>
      </c>
      <c r="Y140" s="220">
        <f t="shared" si="180"/>
        <v>524</v>
      </c>
      <c r="Z140" s="220">
        <v>0</v>
      </c>
      <c r="AA140" s="220">
        <v>2</v>
      </c>
      <c r="AB140" s="220">
        <v>0</v>
      </c>
      <c r="AC140" s="220">
        <v>2</v>
      </c>
      <c r="AD140" s="220">
        <v>1</v>
      </c>
      <c r="AE140" s="220">
        <f t="shared" ref="AE140:AI155" si="181">AE139-Z140</f>
        <v>-111</v>
      </c>
      <c r="AF140" s="220">
        <f t="shared" si="181"/>
        <v>-137</v>
      </c>
      <c r="AG140" s="220">
        <f t="shared" si="181"/>
        <v>-213</v>
      </c>
      <c r="AH140" s="220">
        <f t="shared" si="181"/>
        <v>-207</v>
      </c>
      <c r="AI140" s="220">
        <f t="shared" si="181"/>
        <v>-125</v>
      </c>
      <c r="AJ140" s="50">
        <f t="shared" ref="AJ140:AJ200" si="182">AJ139-AB140/1000+AK140</f>
        <v>1.5860000000000081</v>
      </c>
      <c r="AK140" s="257"/>
      <c r="AL140" s="257">
        <f t="shared" ref="AL140:AL200" si="183">AL139+AK140</f>
        <v>1.2</v>
      </c>
      <c r="AM140" s="52"/>
      <c r="AN140" s="88"/>
    </row>
    <row r="141" spans="1:40" s="29" customFormat="1" ht="17.25" customHeight="1">
      <c r="A141" s="48">
        <v>132</v>
      </c>
      <c r="B141" s="49">
        <f t="shared" si="175"/>
        <v>45684</v>
      </c>
      <c r="C141" s="220">
        <f t="shared" si="176"/>
        <v>1049</v>
      </c>
      <c r="D141" s="220">
        <f t="shared" ref="D141" si="184">D140+15</f>
        <v>2494</v>
      </c>
      <c r="E141" s="220">
        <f t="shared" si="178"/>
        <v>3543</v>
      </c>
      <c r="F141" s="220">
        <f t="shared" si="170"/>
        <v>1046</v>
      </c>
      <c r="G141" s="220">
        <f t="shared" si="171"/>
        <v>1101</v>
      </c>
      <c r="H141" s="220">
        <f t="shared" si="172"/>
        <v>1159</v>
      </c>
      <c r="I141" s="220">
        <f t="shared" si="173"/>
        <v>1201</v>
      </c>
      <c r="J141" s="220">
        <f t="shared" si="174"/>
        <v>1019</v>
      </c>
      <c r="K141" s="220">
        <f t="shared" si="140"/>
        <v>2497</v>
      </c>
      <c r="L141" s="220">
        <f t="shared" si="140"/>
        <v>2442</v>
      </c>
      <c r="M141" s="220">
        <f t="shared" si="140"/>
        <v>2384</v>
      </c>
      <c r="N141" s="220">
        <f t="shared" si="140"/>
        <v>2342</v>
      </c>
      <c r="O141" s="220">
        <f t="shared" si="140"/>
        <v>2524</v>
      </c>
      <c r="P141" s="220">
        <f t="shared" si="179"/>
        <v>2000</v>
      </c>
      <c r="Q141" s="220">
        <f t="shared" si="179"/>
        <v>2000</v>
      </c>
      <c r="R141" s="220">
        <f t="shared" si="179"/>
        <v>2000</v>
      </c>
      <c r="S141" s="220">
        <f t="shared" si="179"/>
        <v>2000</v>
      </c>
      <c r="T141" s="220">
        <f t="shared" si="179"/>
        <v>2000</v>
      </c>
      <c r="U141" s="220">
        <f t="shared" si="180"/>
        <v>497</v>
      </c>
      <c r="V141" s="220">
        <f t="shared" si="180"/>
        <v>442</v>
      </c>
      <c r="W141" s="220">
        <f t="shared" si="180"/>
        <v>384</v>
      </c>
      <c r="X141" s="220">
        <f t="shared" si="180"/>
        <v>342</v>
      </c>
      <c r="Y141" s="220">
        <f t="shared" si="180"/>
        <v>524</v>
      </c>
      <c r="Z141" s="220">
        <v>1</v>
      </c>
      <c r="AA141" s="220">
        <v>0</v>
      </c>
      <c r="AB141" s="220">
        <v>2</v>
      </c>
      <c r="AC141" s="220">
        <v>0</v>
      </c>
      <c r="AD141" s="220">
        <v>0</v>
      </c>
      <c r="AE141" s="220">
        <f t="shared" si="181"/>
        <v>-112</v>
      </c>
      <c r="AF141" s="220">
        <f t="shared" si="181"/>
        <v>-137</v>
      </c>
      <c r="AG141" s="220">
        <f t="shared" si="181"/>
        <v>-215</v>
      </c>
      <c r="AH141" s="220">
        <f t="shared" si="181"/>
        <v>-207</v>
      </c>
      <c r="AI141" s="220">
        <f t="shared" si="181"/>
        <v>-125</v>
      </c>
      <c r="AJ141" s="50">
        <f t="shared" si="182"/>
        <v>1.5840000000000081</v>
      </c>
      <c r="AK141" s="257"/>
      <c r="AL141" s="257">
        <f t="shared" si="183"/>
        <v>1.2</v>
      </c>
      <c r="AM141" s="52"/>
      <c r="AN141" s="88"/>
    </row>
    <row r="142" spans="1:40" s="29" customFormat="1" ht="17.25" customHeight="1">
      <c r="A142" s="48">
        <v>133</v>
      </c>
      <c r="B142" s="49">
        <f t="shared" si="175"/>
        <v>45685</v>
      </c>
      <c r="C142" s="220">
        <f t="shared" si="176"/>
        <v>1049</v>
      </c>
      <c r="D142" s="220">
        <f t="shared" ref="D142" si="185">D141+26</f>
        <v>2520</v>
      </c>
      <c r="E142" s="220">
        <f t="shared" si="178"/>
        <v>3569</v>
      </c>
      <c r="F142" s="220">
        <f t="shared" si="170"/>
        <v>1072</v>
      </c>
      <c r="G142" s="220">
        <f t="shared" si="171"/>
        <v>1127</v>
      </c>
      <c r="H142" s="220">
        <f t="shared" si="172"/>
        <v>1185</v>
      </c>
      <c r="I142" s="220">
        <f t="shared" si="173"/>
        <v>1230</v>
      </c>
      <c r="J142" s="220">
        <f t="shared" si="174"/>
        <v>1045</v>
      </c>
      <c r="K142" s="220">
        <f t="shared" si="140"/>
        <v>2497</v>
      </c>
      <c r="L142" s="220">
        <f t="shared" si="140"/>
        <v>2442</v>
      </c>
      <c r="M142" s="220">
        <f t="shared" si="140"/>
        <v>2384</v>
      </c>
      <c r="N142" s="220">
        <f t="shared" si="140"/>
        <v>2339</v>
      </c>
      <c r="O142" s="220">
        <f t="shared" si="140"/>
        <v>2524</v>
      </c>
      <c r="P142" s="220">
        <f t="shared" si="179"/>
        <v>2000</v>
      </c>
      <c r="Q142" s="220">
        <f t="shared" si="179"/>
        <v>2000</v>
      </c>
      <c r="R142" s="220">
        <f t="shared" si="179"/>
        <v>2000</v>
      </c>
      <c r="S142" s="220">
        <f t="shared" si="179"/>
        <v>2000</v>
      </c>
      <c r="T142" s="220">
        <f t="shared" si="179"/>
        <v>2000</v>
      </c>
      <c r="U142" s="220">
        <f t="shared" si="180"/>
        <v>497</v>
      </c>
      <c r="V142" s="220">
        <f t="shared" si="180"/>
        <v>442</v>
      </c>
      <c r="W142" s="220">
        <f t="shared" si="180"/>
        <v>384</v>
      </c>
      <c r="X142" s="220">
        <f t="shared" si="180"/>
        <v>339</v>
      </c>
      <c r="Y142" s="220">
        <f t="shared" si="180"/>
        <v>524</v>
      </c>
      <c r="Z142" s="220">
        <v>0</v>
      </c>
      <c r="AA142" s="220">
        <v>0</v>
      </c>
      <c r="AB142" s="220">
        <v>0</v>
      </c>
      <c r="AC142" s="220">
        <v>3</v>
      </c>
      <c r="AD142" s="220">
        <v>0</v>
      </c>
      <c r="AE142" s="220">
        <f t="shared" si="181"/>
        <v>-112</v>
      </c>
      <c r="AF142" s="220">
        <f t="shared" si="181"/>
        <v>-137</v>
      </c>
      <c r="AG142" s="220">
        <f t="shared" si="181"/>
        <v>-215</v>
      </c>
      <c r="AH142" s="220">
        <f t="shared" si="181"/>
        <v>-210</v>
      </c>
      <c r="AI142" s="220">
        <f t="shared" si="181"/>
        <v>-125</v>
      </c>
      <c r="AJ142" s="50">
        <f t="shared" si="182"/>
        <v>1.5840000000000081</v>
      </c>
      <c r="AK142" s="257"/>
      <c r="AL142" s="257">
        <f t="shared" si="183"/>
        <v>1.2</v>
      </c>
      <c r="AM142" s="52"/>
      <c r="AN142" s="88"/>
    </row>
    <row r="143" spans="1:40" s="29" customFormat="1" ht="17.25" customHeight="1">
      <c r="A143" s="48">
        <v>134</v>
      </c>
      <c r="B143" s="49">
        <f t="shared" si="175"/>
        <v>45686</v>
      </c>
      <c r="C143" s="220">
        <f t="shared" si="176"/>
        <v>1049</v>
      </c>
      <c r="D143" s="220">
        <f t="shared" ref="D143" si="186">D142+32</f>
        <v>2552</v>
      </c>
      <c r="E143" s="220">
        <f t="shared" si="178"/>
        <v>3601</v>
      </c>
      <c r="F143" s="220">
        <f t="shared" si="170"/>
        <v>1105</v>
      </c>
      <c r="G143" s="220">
        <f t="shared" si="171"/>
        <v>1159</v>
      </c>
      <c r="H143" s="220">
        <f t="shared" si="172"/>
        <v>1218</v>
      </c>
      <c r="I143" s="220">
        <f t="shared" si="173"/>
        <v>1262</v>
      </c>
      <c r="J143" s="220">
        <f t="shared" si="174"/>
        <v>1079</v>
      </c>
      <c r="K143" s="220">
        <f t="shared" si="140"/>
        <v>2496</v>
      </c>
      <c r="L143" s="220">
        <f t="shared" si="140"/>
        <v>2442</v>
      </c>
      <c r="M143" s="220">
        <f t="shared" si="140"/>
        <v>2383</v>
      </c>
      <c r="N143" s="220">
        <f t="shared" si="140"/>
        <v>2339</v>
      </c>
      <c r="O143" s="220">
        <f t="shared" si="140"/>
        <v>2522</v>
      </c>
      <c r="P143" s="220">
        <f t="shared" si="179"/>
        <v>2000</v>
      </c>
      <c r="Q143" s="220">
        <f t="shared" si="179"/>
        <v>2000</v>
      </c>
      <c r="R143" s="220">
        <f t="shared" si="179"/>
        <v>2000</v>
      </c>
      <c r="S143" s="220">
        <f t="shared" si="179"/>
        <v>2000</v>
      </c>
      <c r="T143" s="220">
        <f t="shared" si="179"/>
        <v>2000</v>
      </c>
      <c r="U143" s="220">
        <f t="shared" si="180"/>
        <v>496</v>
      </c>
      <c r="V143" s="220">
        <f t="shared" si="180"/>
        <v>442</v>
      </c>
      <c r="W143" s="220">
        <f t="shared" si="180"/>
        <v>383</v>
      </c>
      <c r="X143" s="220">
        <f t="shared" si="180"/>
        <v>339</v>
      </c>
      <c r="Y143" s="220">
        <f t="shared" si="180"/>
        <v>522</v>
      </c>
      <c r="Z143" s="220">
        <v>1</v>
      </c>
      <c r="AA143" s="220">
        <v>0</v>
      </c>
      <c r="AB143" s="220">
        <v>1</v>
      </c>
      <c r="AC143" s="220">
        <v>0</v>
      </c>
      <c r="AD143" s="220">
        <v>2</v>
      </c>
      <c r="AE143" s="220">
        <f t="shared" si="181"/>
        <v>-113</v>
      </c>
      <c r="AF143" s="220">
        <f t="shared" si="181"/>
        <v>-137</v>
      </c>
      <c r="AG143" s="220">
        <f t="shared" si="181"/>
        <v>-216</v>
      </c>
      <c r="AH143" s="220">
        <f t="shared" si="181"/>
        <v>-210</v>
      </c>
      <c r="AI143" s="220">
        <f t="shared" si="181"/>
        <v>-127</v>
      </c>
      <c r="AJ143" s="50">
        <f t="shared" si="182"/>
        <v>1.5830000000000082</v>
      </c>
      <c r="AK143" s="257"/>
      <c r="AL143" s="257">
        <f t="shared" si="183"/>
        <v>1.2</v>
      </c>
      <c r="AM143" s="52"/>
      <c r="AN143" s="88"/>
    </row>
    <row r="144" spans="1:40" s="29" customFormat="1" ht="17.25" customHeight="1">
      <c r="A144" s="48">
        <v>135</v>
      </c>
      <c r="B144" s="49">
        <f t="shared" si="175"/>
        <v>45687</v>
      </c>
      <c r="C144" s="220">
        <f t="shared" si="176"/>
        <v>1049</v>
      </c>
      <c r="D144" s="220">
        <f t="shared" ref="D144" si="187">D143-18</f>
        <v>2534</v>
      </c>
      <c r="E144" s="220">
        <f t="shared" si="178"/>
        <v>3583</v>
      </c>
      <c r="F144" s="220">
        <f t="shared" si="170"/>
        <v>1087</v>
      </c>
      <c r="G144" s="220">
        <f t="shared" si="171"/>
        <v>1143</v>
      </c>
      <c r="H144" s="220">
        <f t="shared" si="172"/>
        <v>1200</v>
      </c>
      <c r="I144" s="220">
        <f t="shared" si="173"/>
        <v>1246</v>
      </c>
      <c r="J144" s="220">
        <f t="shared" si="174"/>
        <v>1061</v>
      </c>
      <c r="K144" s="220">
        <f t="shared" si="140"/>
        <v>2496</v>
      </c>
      <c r="L144" s="220">
        <f t="shared" si="140"/>
        <v>2440</v>
      </c>
      <c r="M144" s="220">
        <f t="shared" si="140"/>
        <v>2383</v>
      </c>
      <c r="N144" s="220">
        <f t="shared" si="140"/>
        <v>2337</v>
      </c>
      <c r="O144" s="220">
        <f t="shared" si="140"/>
        <v>2522</v>
      </c>
      <c r="P144" s="220">
        <f t="shared" si="179"/>
        <v>2000</v>
      </c>
      <c r="Q144" s="220">
        <f t="shared" si="179"/>
        <v>2000</v>
      </c>
      <c r="R144" s="220">
        <f t="shared" si="179"/>
        <v>2000</v>
      </c>
      <c r="S144" s="220">
        <f t="shared" si="179"/>
        <v>2000</v>
      </c>
      <c r="T144" s="220">
        <f t="shared" si="179"/>
        <v>2000</v>
      </c>
      <c r="U144" s="220">
        <f t="shared" si="180"/>
        <v>496</v>
      </c>
      <c r="V144" s="220">
        <f t="shared" si="180"/>
        <v>440</v>
      </c>
      <c r="W144" s="220">
        <f t="shared" si="180"/>
        <v>383</v>
      </c>
      <c r="X144" s="220">
        <f t="shared" si="180"/>
        <v>337</v>
      </c>
      <c r="Y144" s="220">
        <f t="shared" si="180"/>
        <v>522</v>
      </c>
      <c r="Z144" s="220">
        <v>0</v>
      </c>
      <c r="AA144" s="220">
        <v>2</v>
      </c>
      <c r="AB144" s="220">
        <v>0</v>
      </c>
      <c r="AC144" s="220">
        <v>2</v>
      </c>
      <c r="AD144" s="220">
        <v>0</v>
      </c>
      <c r="AE144" s="220">
        <f t="shared" si="181"/>
        <v>-113</v>
      </c>
      <c r="AF144" s="220">
        <f t="shared" si="181"/>
        <v>-139</v>
      </c>
      <c r="AG144" s="220">
        <f t="shared" si="181"/>
        <v>-216</v>
      </c>
      <c r="AH144" s="220">
        <f t="shared" si="181"/>
        <v>-212</v>
      </c>
      <c r="AI144" s="220">
        <f t="shared" si="181"/>
        <v>-127</v>
      </c>
      <c r="AJ144" s="50">
        <f t="shared" si="182"/>
        <v>1.5830000000000082</v>
      </c>
      <c r="AK144" s="257"/>
      <c r="AL144" s="257">
        <f t="shared" si="183"/>
        <v>1.2</v>
      </c>
      <c r="AM144" s="52"/>
      <c r="AN144" s="88"/>
    </row>
    <row r="145" spans="1:40" s="29" customFormat="1" ht="17.25" customHeight="1">
      <c r="A145" s="48">
        <v>136</v>
      </c>
      <c r="B145" s="49">
        <f t="shared" si="175"/>
        <v>45688</v>
      </c>
      <c r="C145" s="220">
        <f t="shared" si="176"/>
        <v>1049</v>
      </c>
      <c r="D145" s="220">
        <f t="shared" ref="D145" si="188">D144-26</f>
        <v>2508</v>
      </c>
      <c r="E145" s="220">
        <f t="shared" si="178"/>
        <v>3557</v>
      </c>
      <c r="F145" s="220">
        <f t="shared" si="170"/>
        <v>1061</v>
      </c>
      <c r="G145" s="220">
        <f t="shared" si="171"/>
        <v>1117</v>
      </c>
      <c r="H145" s="220">
        <f t="shared" si="172"/>
        <v>1177</v>
      </c>
      <c r="I145" s="220">
        <f t="shared" si="173"/>
        <v>1220</v>
      </c>
      <c r="J145" s="220">
        <f t="shared" si="174"/>
        <v>1035</v>
      </c>
      <c r="K145" s="220">
        <f t="shared" si="140"/>
        <v>2496</v>
      </c>
      <c r="L145" s="220">
        <f t="shared" si="140"/>
        <v>2440</v>
      </c>
      <c r="M145" s="220">
        <f t="shared" si="140"/>
        <v>2380</v>
      </c>
      <c r="N145" s="220">
        <f t="shared" si="140"/>
        <v>2337</v>
      </c>
      <c r="O145" s="220">
        <f t="shared" si="140"/>
        <v>2522</v>
      </c>
      <c r="P145" s="220">
        <f t="shared" si="179"/>
        <v>2000</v>
      </c>
      <c r="Q145" s="220">
        <f t="shared" si="179"/>
        <v>2000</v>
      </c>
      <c r="R145" s="220">
        <f t="shared" si="179"/>
        <v>2000</v>
      </c>
      <c r="S145" s="220">
        <f t="shared" si="179"/>
        <v>2000</v>
      </c>
      <c r="T145" s="220">
        <f t="shared" si="179"/>
        <v>2000</v>
      </c>
      <c r="U145" s="220">
        <f t="shared" si="180"/>
        <v>496</v>
      </c>
      <c r="V145" s="220">
        <f t="shared" si="180"/>
        <v>440</v>
      </c>
      <c r="W145" s="220">
        <f t="shared" si="180"/>
        <v>380</v>
      </c>
      <c r="X145" s="220">
        <f t="shared" si="180"/>
        <v>337</v>
      </c>
      <c r="Y145" s="220">
        <f t="shared" si="180"/>
        <v>522</v>
      </c>
      <c r="Z145" s="220">
        <v>0</v>
      </c>
      <c r="AA145" s="220">
        <v>0</v>
      </c>
      <c r="AB145" s="220">
        <v>3</v>
      </c>
      <c r="AC145" s="220">
        <v>0</v>
      </c>
      <c r="AD145" s="220">
        <v>0</v>
      </c>
      <c r="AE145" s="220">
        <f t="shared" si="181"/>
        <v>-113</v>
      </c>
      <c r="AF145" s="220">
        <f t="shared" si="181"/>
        <v>-139</v>
      </c>
      <c r="AG145" s="220">
        <f t="shared" si="181"/>
        <v>-219</v>
      </c>
      <c r="AH145" s="220">
        <f t="shared" si="181"/>
        <v>-212</v>
      </c>
      <c r="AI145" s="220">
        <f t="shared" si="181"/>
        <v>-127</v>
      </c>
      <c r="AJ145" s="50">
        <f t="shared" si="182"/>
        <v>1.5800000000000083</v>
      </c>
      <c r="AK145" s="257"/>
      <c r="AL145" s="257">
        <f t="shared" si="183"/>
        <v>1.2</v>
      </c>
      <c r="AM145" s="52"/>
      <c r="AN145" s="88"/>
    </row>
    <row r="146" spans="1:40" s="29" customFormat="1" ht="17.25" customHeight="1">
      <c r="A146" s="48">
        <v>137</v>
      </c>
      <c r="B146" s="49">
        <f t="shared" si="175"/>
        <v>45689</v>
      </c>
      <c r="C146" s="220">
        <f t="shared" si="176"/>
        <v>1049</v>
      </c>
      <c r="D146" s="220">
        <f t="shared" ref="D146" si="189">D145+15</f>
        <v>2523</v>
      </c>
      <c r="E146" s="220">
        <f t="shared" si="178"/>
        <v>3572</v>
      </c>
      <c r="F146" s="220">
        <f t="shared" si="170"/>
        <v>1076</v>
      </c>
      <c r="G146" s="220">
        <f t="shared" si="171"/>
        <v>1132</v>
      </c>
      <c r="H146" s="220">
        <f t="shared" si="172"/>
        <v>1192</v>
      </c>
      <c r="I146" s="220">
        <f t="shared" si="173"/>
        <v>1235</v>
      </c>
      <c r="J146" s="220">
        <f t="shared" si="174"/>
        <v>1050</v>
      </c>
      <c r="K146" s="220">
        <f t="shared" si="140"/>
        <v>2496</v>
      </c>
      <c r="L146" s="220">
        <f t="shared" si="140"/>
        <v>2440</v>
      </c>
      <c r="M146" s="220">
        <f t="shared" si="140"/>
        <v>2380</v>
      </c>
      <c r="N146" s="220">
        <f t="shared" si="140"/>
        <v>2337</v>
      </c>
      <c r="O146" s="220">
        <f t="shared" si="140"/>
        <v>2522</v>
      </c>
      <c r="P146" s="220">
        <f t="shared" si="179"/>
        <v>2000</v>
      </c>
      <c r="Q146" s="220">
        <f t="shared" si="179"/>
        <v>2000</v>
      </c>
      <c r="R146" s="220">
        <f t="shared" si="179"/>
        <v>2000</v>
      </c>
      <c r="S146" s="220">
        <f t="shared" si="179"/>
        <v>2000</v>
      </c>
      <c r="T146" s="220">
        <f t="shared" si="179"/>
        <v>2000</v>
      </c>
      <c r="U146" s="220">
        <f t="shared" si="180"/>
        <v>496</v>
      </c>
      <c r="V146" s="220">
        <f t="shared" si="180"/>
        <v>440</v>
      </c>
      <c r="W146" s="220">
        <f t="shared" si="180"/>
        <v>380</v>
      </c>
      <c r="X146" s="220">
        <f t="shared" si="180"/>
        <v>337</v>
      </c>
      <c r="Y146" s="220">
        <f t="shared" si="180"/>
        <v>522</v>
      </c>
      <c r="Z146" s="220">
        <v>0</v>
      </c>
      <c r="AA146" s="220">
        <v>0</v>
      </c>
      <c r="AB146" s="220">
        <v>0</v>
      </c>
      <c r="AC146" s="220">
        <v>0</v>
      </c>
      <c r="AD146" s="220">
        <v>0</v>
      </c>
      <c r="AE146" s="220">
        <f t="shared" si="181"/>
        <v>-113</v>
      </c>
      <c r="AF146" s="220">
        <f t="shared" si="181"/>
        <v>-139</v>
      </c>
      <c r="AG146" s="220">
        <f t="shared" si="181"/>
        <v>-219</v>
      </c>
      <c r="AH146" s="220">
        <f t="shared" si="181"/>
        <v>-212</v>
      </c>
      <c r="AI146" s="220">
        <f t="shared" si="181"/>
        <v>-127</v>
      </c>
      <c r="AJ146" s="50">
        <f t="shared" si="182"/>
        <v>1.5800000000000083</v>
      </c>
      <c r="AK146" s="257"/>
      <c r="AL146" s="257">
        <f t="shared" si="183"/>
        <v>1.2</v>
      </c>
      <c r="AM146" s="52"/>
      <c r="AN146" s="88"/>
    </row>
    <row r="147" spans="1:40" s="29" customFormat="1" ht="17.25" customHeight="1">
      <c r="A147" s="48">
        <v>138</v>
      </c>
      <c r="B147" s="49">
        <f t="shared" si="175"/>
        <v>45690</v>
      </c>
      <c r="C147" s="220">
        <f t="shared" si="176"/>
        <v>1049</v>
      </c>
      <c r="D147" s="220">
        <f t="shared" ref="D147" si="190">D146+26</f>
        <v>2549</v>
      </c>
      <c r="E147" s="220">
        <f t="shared" si="178"/>
        <v>3598</v>
      </c>
      <c r="F147" s="220">
        <f t="shared" si="170"/>
        <v>1102</v>
      </c>
      <c r="G147" s="220">
        <f t="shared" si="171"/>
        <v>1158</v>
      </c>
      <c r="H147" s="220">
        <f t="shared" si="172"/>
        <v>1221</v>
      </c>
      <c r="I147" s="220">
        <f t="shared" si="173"/>
        <v>1264</v>
      </c>
      <c r="J147" s="220">
        <f t="shared" si="174"/>
        <v>1077</v>
      </c>
      <c r="K147" s="220">
        <f t="shared" si="140"/>
        <v>2496</v>
      </c>
      <c r="L147" s="220">
        <f t="shared" si="140"/>
        <v>2440</v>
      </c>
      <c r="M147" s="220">
        <f t="shared" si="140"/>
        <v>2377</v>
      </c>
      <c r="N147" s="220">
        <f t="shared" si="140"/>
        <v>2334</v>
      </c>
      <c r="O147" s="220">
        <f t="shared" si="140"/>
        <v>2521</v>
      </c>
      <c r="P147" s="220">
        <f t="shared" si="179"/>
        <v>2000</v>
      </c>
      <c r="Q147" s="220">
        <f t="shared" si="179"/>
        <v>2000</v>
      </c>
      <c r="R147" s="220">
        <f t="shared" si="179"/>
        <v>2000</v>
      </c>
      <c r="S147" s="220">
        <f t="shared" si="179"/>
        <v>2000</v>
      </c>
      <c r="T147" s="220">
        <f t="shared" si="179"/>
        <v>2000</v>
      </c>
      <c r="U147" s="220">
        <f t="shared" si="180"/>
        <v>496</v>
      </c>
      <c r="V147" s="220">
        <f t="shared" si="180"/>
        <v>440</v>
      </c>
      <c r="W147" s="220">
        <f t="shared" si="180"/>
        <v>377</v>
      </c>
      <c r="X147" s="220">
        <f t="shared" si="180"/>
        <v>334</v>
      </c>
      <c r="Y147" s="220">
        <f t="shared" si="180"/>
        <v>521</v>
      </c>
      <c r="Z147" s="220">
        <v>0</v>
      </c>
      <c r="AA147" s="220">
        <v>0</v>
      </c>
      <c r="AB147" s="220">
        <v>3</v>
      </c>
      <c r="AC147" s="220">
        <v>3</v>
      </c>
      <c r="AD147" s="220">
        <v>1</v>
      </c>
      <c r="AE147" s="220">
        <f t="shared" si="181"/>
        <v>-113</v>
      </c>
      <c r="AF147" s="220">
        <f t="shared" si="181"/>
        <v>-139</v>
      </c>
      <c r="AG147" s="220">
        <f t="shared" si="181"/>
        <v>-222</v>
      </c>
      <c r="AH147" s="220">
        <f t="shared" si="181"/>
        <v>-215</v>
      </c>
      <c r="AI147" s="220">
        <f t="shared" si="181"/>
        <v>-128</v>
      </c>
      <c r="AJ147" s="50">
        <f t="shared" si="182"/>
        <v>1.5770000000000084</v>
      </c>
      <c r="AK147" s="257"/>
      <c r="AL147" s="257">
        <f t="shared" si="183"/>
        <v>1.2</v>
      </c>
      <c r="AM147" s="52"/>
      <c r="AN147" s="88"/>
    </row>
    <row r="148" spans="1:40" s="29" customFormat="1" ht="17.25" customHeight="1">
      <c r="A148" s="48">
        <v>139</v>
      </c>
      <c r="B148" s="49">
        <f t="shared" si="175"/>
        <v>45691</v>
      </c>
      <c r="C148" s="220">
        <f t="shared" si="176"/>
        <v>1049</v>
      </c>
      <c r="D148" s="220">
        <f t="shared" ref="D148" si="191">D147+32</f>
        <v>2581</v>
      </c>
      <c r="E148" s="220">
        <f t="shared" si="178"/>
        <v>3630</v>
      </c>
      <c r="F148" s="220">
        <f t="shared" si="170"/>
        <v>1135</v>
      </c>
      <c r="G148" s="220">
        <f t="shared" si="171"/>
        <v>1190</v>
      </c>
      <c r="H148" s="220">
        <f t="shared" si="172"/>
        <v>1255</v>
      </c>
      <c r="I148" s="220">
        <f t="shared" si="173"/>
        <v>1296</v>
      </c>
      <c r="J148" s="220">
        <f t="shared" si="174"/>
        <v>1109</v>
      </c>
      <c r="K148" s="220">
        <f t="shared" si="140"/>
        <v>2495</v>
      </c>
      <c r="L148" s="220">
        <f t="shared" si="140"/>
        <v>2440</v>
      </c>
      <c r="M148" s="220">
        <f t="shared" si="140"/>
        <v>2375</v>
      </c>
      <c r="N148" s="220">
        <f t="shared" si="140"/>
        <v>2334</v>
      </c>
      <c r="O148" s="220">
        <f t="shared" si="140"/>
        <v>2521</v>
      </c>
      <c r="P148" s="220">
        <f t="shared" si="179"/>
        <v>2000</v>
      </c>
      <c r="Q148" s="220">
        <f t="shared" si="179"/>
        <v>2000</v>
      </c>
      <c r="R148" s="220">
        <f t="shared" si="179"/>
        <v>2000</v>
      </c>
      <c r="S148" s="220">
        <f t="shared" si="179"/>
        <v>2000</v>
      </c>
      <c r="T148" s="220">
        <f t="shared" si="179"/>
        <v>2000</v>
      </c>
      <c r="U148" s="220">
        <f t="shared" si="180"/>
        <v>495</v>
      </c>
      <c r="V148" s="220">
        <f t="shared" si="180"/>
        <v>440</v>
      </c>
      <c r="W148" s="220">
        <f t="shared" si="180"/>
        <v>375</v>
      </c>
      <c r="X148" s="220">
        <f t="shared" si="180"/>
        <v>334</v>
      </c>
      <c r="Y148" s="220">
        <f t="shared" si="180"/>
        <v>521</v>
      </c>
      <c r="Z148" s="220">
        <v>1</v>
      </c>
      <c r="AA148" s="220">
        <v>0</v>
      </c>
      <c r="AB148" s="220">
        <v>2</v>
      </c>
      <c r="AC148" s="220">
        <v>0</v>
      </c>
      <c r="AD148" s="220">
        <v>0</v>
      </c>
      <c r="AE148" s="220">
        <f t="shared" si="181"/>
        <v>-114</v>
      </c>
      <c r="AF148" s="220">
        <f t="shared" si="181"/>
        <v>-139</v>
      </c>
      <c r="AG148" s="220">
        <f t="shared" si="181"/>
        <v>-224</v>
      </c>
      <c r="AH148" s="220">
        <f t="shared" si="181"/>
        <v>-215</v>
      </c>
      <c r="AI148" s="220">
        <f t="shared" si="181"/>
        <v>-128</v>
      </c>
      <c r="AJ148" s="50">
        <f t="shared" si="182"/>
        <v>1.5750000000000084</v>
      </c>
      <c r="AK148" s="257"/>
      <c r="AL148" s="257">
        <f t="shared" si="183"/>
        <v>1.2</v>
      </c>
      <c r="AM148" s="52"/>
      <c r="AN148" s="88"/>
    </row>
    <row r="149" spans="1:40" s="29" customFormat="1" ht="17.25" customHeight="1">
      <c r="A149" s="48">
        <v>140</v>
      </c>
      <c r="B149" s="49">
        <f t="shared" si="175"/>
        <v>45692</v>
      </c>
      <c r="C149" s="220">
        <f t="shared" si="176"/>
        <v>1049</v>
      </c>
      <c r="D149" s="220">
        <f t="shared" ref="D149" si="192">D148-18</f>
        <v>2563</v>
      </c>
      <c r="E149" s="220">
        <f t="shared" si="178"/>
        <v>3612</v>
      </c>
      <c r="F149" s="220">
        <f t="shared" si="170"/>
        <v>1117</v>
      </c>
      <c r="G149" s="220">
        <f t="shared" si="171"/>
        <v>1174</v>
      </c>
      <c r="H149" s="220">
        <f t="shared" si="172"/>
        <v>1237</v>
      </c>
      <c r="I149" s="220">
        <f t="shared" si="173"/>
        <v>1280</v>
      </c>
      <c r="J149" s="220">
        <f t="shared" si="174"/>
        <v>1091</v>
      </c>
      <c r="K149" s="220">
        <f t="shared" si="140"/>
        <v>2495</v>
      </c>
      <c r="L149" s="220">
        <f t="shared" si="140"/>
        <v>2438</v>
      </c>
      <c r="M149" s="220">
        <f t="shared" si="140"/>
        <v>2375</v>
      </c>
      <c r="N149" s="220">
        <f t="shared" si="140"/>
        <v>2332</v>
      </c>
      <c r="O149" s="220">
        <f t="shared" si="140"/>
        <v>2521</v>
      </c>
      <c r="P149" s="220">
        <f t="shared" si="179"/>
        <v>2000</v>
      </c>
      <c r="Q149" s="220">
        <f t="shared" si="179"/>
        <v>2000</v>
      </c>
      <c r="R149" s="220">
        <f t="shared" si="179"/>
        <v>2000</v>
      </c>
      <c r="S149" s="220">
        <f t="shared" si="179"/>
        <v>2000</v>
      </c>
      <c r="T149" s="220">
        <f t="shared" si="179"/>
        <v>2000</v>
      </c>
      <c r="U149" s="220">
        <f t="shared" si="180"/>
        <v>495</v>
      </c>
      <c r="V149" s="220">
        <f t="shared" si="180"/>
        <v>438</v>
      </c>
      <c r="W149" s="220">
        <f t="shared" si="180"/>
        <v>375</v>
      </c>
      <c r="X149" s="220">
        <f t="shared" si="180"/>
        <v>332</v>
      </c>
      <c r="Y149" s="220">
        <f t="shared" si="180"/>
        <v>521</v>
      </c>
      <c r="Z149" s="220">
        <v>0</v>
      </c>
      <c r="AA149" s="220">
        <v>2</v>
      </c>
      <c r="AB149" s="220">
        <v>0</v>
      </c>
      <c r="AC149" s="220">
        <v>2</v>
      </c>
      <c r="AD149" s="220">
        <v>0</v>
      </c>
      <c r="AE149" s="220">
        <f t="shared" si="181"/>
        <v>-114</v>
      </c>
      <c r="AF149" s="220">
        <f t="shared" si="181"/>
        <v>-141</v>
      </c>
      <c r="AG149" s="220">
        <f t="shared" si="181"/>
        <v>-224</v>
      </c>
      <c r="AH149" s="220">
        <f t="shared" si="181"/>
        <v>-217</v>
      </c>
      <c r="AI149" s="220">
        <f t="shared" si="181"/>
        <v>-128</v>
      </c>
      <c r="AJ149" s="50">
        <f t="shared" si="182"/>
        <v>1.5750000000000084</v>
      </c>
      <c r="AK149" s="257"/>
      <c r="AL149" s="257">
        <f t="shared" si="183"/>
        <v>1.2</v>
      </c>
      <c r="AM149" s="52"/>
      <c r="AN149" s="88"/>
    </row>
    <row r="150" spans="1:40" s="29" customFormat="1" ht="17.25" customHeight="1">
      <c r="A150" s="48">
        <v>141</v>
      </c>
      <c r="B150" s="49">
        <f t="shared" si="175"/>
        <v>45693</v>
      </c>
      <c r="C150" s="220">
        <f t="shared" si="176"/>
        <v>1049</v>
      </c>
      <c r="D150" s="220">
        <f t="shared" ref="D150" si="193">D149-26</f>
        <v>2537</v>
      </c>
      <c r="E150" s="220">
        <f t="shared" si="178"/>
        <v>3586</v>
      </c>
      <c r="F150" s="220">
        <f t="shared" si="170"/>
        <v>1091</v>
      </c>
      <c r="G150" s="220">
        <f t="shared" si="171"/>
        <v>1148</v>
      </c>
      <c r="H150" s="220">
        <f t="shared" si="172"/>
        <v>1211</v>
      </c>
      <c r="I150" s="220">
        <f t="shared" si="173"/>
        <v>1254</v>
      </c>
      <c r="J150" s="220">
        <f t="shared" si="174"/>
        <v>1066</v>
      </c>
      <c r="K150" s="220">
        <f t="shared" si="140"/>
        <v>2495</v>
      </c>
      <c r="L150" s="220">
        <f t="shared" si="140"/>
        <v>2438</v>
      </c>
      <c r="M150" s="220">
        <f t="shared" si="140"/>
        <v>2375</v>
      </c>
      <c r="N150" s="220">
        <f t="shared" si="140"/>
        <v>2332</v>
      </c>
      <c r="O150" s="220">
        <f t="shared" si="140"/>
        <v>2520</v>
      </c>
      <c r="P150" s="220">
        <f t="shared" si="179"/>
        <v>2000</v>
      </c>
      <c r="Q150" s="220">
        <f t="shared" si="179"/>
        <v>2000</v>
      </c>
      <c r="R150" s="220">
        <f t="shared" si="179"/>
        <v>2000</v>
      </c>
      <c r="S150" s="220">
        <f t="shared" si="179"/>
        <v>2000</v>
      </c>
      <c r="T150" s="220">
        <f t="shared" si="179"/>
        <v>2000</v>
      </c>
      <c r="U150" s="220">
        <f t="shared" si="180"/>
        <v>495</v>
      </c>
      <c r="V150" s="220">
        <f t="shared" si="180"/>
        <v>438</v>
      </c>
      <c r="W150" s="220">
        <f t="shared" si="180"/>
        <v>375</v>
      </c>
      <c r="X150" s="220">
        <f t="shared" si="180"/>
        <v>332</v>
      </c>
      <c r="Y150" s="220">
        <f t="shared" si="180"/>
        <v>520</v>
      </c>
      <c r="Z150" s="220">
        <v>0</v>
      </c>
      <c r="AA150" s="220">
        <v>0</v>
      </c>
      <c r="AB150" s="220">
        <v>0</v>
      </c>
      <c r="AC150" s="220">
        <v>0</v>
      </c>
      <c r="AD150" s="220">
        <v>1</v>
      </c>
      <c r="AE150" s="220">
        <f t="shared" si="181"/>
        <v>-114</v>
      </c>
      <c r="AF150" s="220">
        <f t="shared" si="181"/>
        <v>-141</v>
      </c>
      <c r="AG150" s="220">
        <f t="shared" si="181"/>
        <v>-224</v>
      </c>
      <c r="AH150" s="220">
        <f t="shared" si="181"/>
        <v>-217</v>
      </c>
      <c r="AI150" s="220">
        <f t="shared" si="181"/>
        <v>-129</v>
      </c>
      <c r="AJ150" s="50">
        <f t="shared" si="182"/>
        <v>1.5750000000000084</v>
      </c>
      <c r="AK150" s="257"/>
      <c r="AL150" s="257">
        <f t="shared" si="183"/>
        <v>1.2</v>
      </c>
      <c r="AM150" s="52"/>
      <c r="AN150" s="88"/>
    </row>
    <row r="151" spans="1:40" s="29" customFormat="1" ht="17.25" customHeight="1">
      <c r="A151" s="48">
        <v>142</v>
      </c>
      <c r="B151" s="49">
        <f t="shared" si="175"/>
        <v>45694</v>
      </c>
      <c r="C151" s="220">
        <f t="shared" si="176"/>
        <v>1049</v>
      </c>
      <c r="D151" s="220">
        <f t="shared" ref="D151" si="194">D150+15</f>
        <v>2552</v>
      </c>
      <c r="E151" s="220">
        <f t="shared" si="178"/>
        <v>3601</v>
      </c>
      <c r="F151" s="220">
        <f t="shared" si="170"/>
        <v>1106</v>
      </c>
      <c r="G151" s="220">
        <f t="shared" si="171"/>
        <v>1163</v>
      </c>
      <c r="H151" s="220">
        <f t="shared" si="172"/>
        <v>1226</v>
      </c>
      <c r="I151" s="220">
        <f t="shared" si="173"/>
        <v>1269</v>
      </c>
      <c r="J151" s="220">
        <f t="shared" si="174"/>
        <v>1081</v>
      </c>
      <c r="K151" s="220">
        <f t="shared" si="140"/>
        <v>2495</v>
      </c>
      <c r="L151" s="220">
        <f t="shared" si="140"/>
        <v>2438</v>
      </c>
      <c r="M151" s="220">
        <f t="shared" si="140"/>
        <v>2375</v>
      </c>
      <c r="N151" s="220">
        <f t="shared" si="140"/>
        <v>2332</v>
      </c>
      <c r="O151" s="220">
        <f t="shared" si="140"/>
        <v>2520</v>
      </c>
      <c r="P151" s="220">
        <f t="shared" si="179"/>
        <v>2000</v>
      </c>
      <c r="Q151" s="220">
        <f t="shared" si="179"/>
        <v>2000</v>
      </c>
      <c r="R151" s="220">
        <f t="shared" si="179"/>
        <v>2000</v>
      </c>
      <c r="S151" s="220">
        <f t="shared" si="179"/>
        <v>2000</v>
      </c>
      <c r="T151" s="220">
        <f t="shared" si="179"/>
        <v>2000</v>
      </c>
      <c r="U151" s="220">
        <f t="shared" si="180"/>
        <v>495</v>
      </c>
      <c r="V151" s="220">
        <f t="shared" si="180"/>
        <v>438</v>
      </c>
      <c r="W151" s="220">
        <f t="shared" si="180"/>
        <v>375</v>
      </c>
      <c r="X151" s="220">
        <f t="shared" si="180"/>
        <v>332</v>
      </c>
      <c r="Y151" s="220">
        <f t="shared" si="180"/>
        <v>520</v>
      </c>
      <c r="Z151" s="220">
        <v>0</v>
      </c>
      <c r="AA151" s="220">
        <v>0</v>
      </c>
      <c r="AB151" s="220">
        <v>0</v>
      </c>
      <c r="AC151" s="220">
        <v>0</v>
      </c>
      <c r="AD151" s="220">
        <v>0</v>
      </c>
      <c r="AE151" s="220">
        <f t="shared" si="181"/>
        <v>-114</v>
      </c>
      <c r="AF151" s="220">
        <f t="shared" si="181"/>
        <v>-141</v>
      </c>
      <c r="AG151" s="220">
        <f t="shared" si="181"/>
        <v>-224</v>
      </c>
      <c r="AH151" s="220">
        <f t="shared" si="181"/>
        <v>-217</v>
      </c>
      <c r="AI151" s="220">
        <f t="shared" si="181"/>
        <v>-129</v>
      </c>
      <c r="AJ151" s="50">
        <f t="shared" si="182"/>
        <v>1.5750000000000084</v>
      </c>
      <c r="AK151" s="257"/>
      <c r="AL151" s="257">
        <f t="shared" si="183"/>
        <v>1.2</v>
      </c>
      <c r="AM151" s="52"/>
      <c r="AN151" s="88"/>
    </row>
    <row r="152" spans="1:40" s="29" customFormat="1" ht="17.25" customHeight="1">
      <c r="A152" s="48">
        <v>143</v>
      </c>
      <c r="B152" s="49">
        <f t="shared" si="175"/>
        <v>45695</v>
      </c>
      <c r="C152" s="220">
        <f t="shared" si="176"/>
        <v>1049</v>
      </c>
      <c r="D152" s="220">
        <f t="shared" ref="D152" si="195">D151+26</f>
        <v>2578</v>
      </c>
      <c r="E152" s="220">
        <f t="shared" si="178"/>
        <v>3627</v>
      </c>
      <c r="F152" s="220">
        <f t="shared" si="170"/>
        <v>1133</v>
      </c>
      <c r="G152" s="220">
        <f t="shared" si="171"/>
        <v>1189</v>
      </c>
      <c r="H152" s="220">
        <f t="shared" si="172"/>
        <v>1252</v>
      </c>
      <c r="I152" s="220">
        <f t="shared" si="173"/>
        <v>1298</v>
      </c>
      <c r="J152" s="220">
        <f t="shared" si="174"/>
        <v>1107</v>
      </c>
      <c r="K152" s="220">
        <f t="shared" si="140"/>
        <v>2494</v>
      </c>
      <c r="L152" s="220">
        <f t="shared" si="140"/>
        <v>2438</v>
      </c>
      <c r="M152" s="220">
        <f t="shared" si="140"/>
        <v>2375</v>
      </c>
      <c r="N152" s="220">
        <f t="shared" si="140"/>
        <v>2329</v>
      </c>
      <c r="O152" s="220">
        <f t="shared" si="140"/>
        <v>2520</v>
      </c>
      <c r="P152" s="220">
        <f t="shared" si="179"/>
        <v>2000</v>
      </c>
      <c r="Q152" s="220">
        <f t="shared" si="179"/>
        <v>2000</v>
      </c>
      <c r="R152" s="220">
        <f t="shared" si="179"/>
        <v>2000</v>
      </c>
      <c r="S152" s="220">
        <f t="shared" si="179"/>
        <v>2000</v>
      </c>
      <c r="T152" s="220">
        <f t="shared" si="179"/>
        <v>2000</v>
      </c>
      <c r="U152" s="220">
        <f t="shared" si="180"/>
        <v>494</v>
      </c>
      <c r="V152" s="220">
        <f t="shared" si="180"/>
        <v>438</v>
      </c>
      <c r="W152" s="220">
        <f t="shared" si="180"/>
        <v>375</v>
      </c>
      <c r="X152" s="220">
        <f t="shared" si="180"/>
        <v>329</v>
      </c>
      <c r="Y152" s="220">
        <f t="shared" si="180"/>
        <v>520</v>
      </c>
      <c r="Z152" s="220">
        <v>1</v>
      </c>
      <c r="AA152" s="220">
        <v>0</v>
      </c>
      <c r="AB152" s="220">
        <v>0</v>
      </c>
      <c r="AC152" s="220">
        <v>3</v>
      </c>
      <c r="AD152" s="220">
        <v>0</v>
      </c>
      <c r="AE152" s="220">
        <f t="shared" si="181"/>
        <v>-115</v>
      </c>
      <c r="AF152" s="220">
        <f t="shared" si="181"/>
        <v>-141</v>
      </c>
      <c r="AG152" s="220">
        <f t="shared" si="181"/>
        <v>-224</v>
      </c>
      <c r="AH152" s="220">
        <f t="shared" si="181"/>
        <v>-220</v>
      </c>
      <c r="AI152" s="220">
        <f t="shared" si="181"/>
        <v>-129</v>
      </c>
      <c r="AJ152" s="50">
        <f t="shared" si="182"/>
        <v>1.5750000000000084</v>
      </c>
      <c r="AK152" s="257"/>
      <c r="AL152" s="257">
        <f t="shared" si="183"/>
        <v>1.2</v>
      </c>
      <c r="AM152" s="52"/>
      <c r="AN152" s="88"/>
    </row>
    <row r="153" spans="1:40" s="29" customFormat="1" ht="17.25" customHeight="1">
      <c r="A153" s="48">
        <v>144</v>
      </c>
      <c r="B153" s="49">
        <f t="shared" si="175"/>
        <v>45696</v>
      </c>
      <c r="C153" s="220">
        <f t="shared" si="176"/>
        <v>1049</v>
      </c>
      <c r="D153" s="220">
        <f t="shared" ref="D153" si="196">D152+32</f>
        <v>2610</v>
      </c>
      <c r="E153" s="220">
        <f t="shared" si="178"/>
        <v>3659</v>
      </c>
      <c r="F153" s="220">
        <f t="shared" si="170"/>
        <v>1165</v>
      </c>
      <c r="G153" s="220">
        <f t="shared" si="171"/>
        <v>1221</v>
      </c>
      <c r="H153" s="220">
        <f t="shared" si="172"/>
        <v>1286</v>
      </c>
      <c r="I153" s="220">
        <f t="shared" si="173"/>
        <v>1330</v>
      </c>
      <c r="J153" s="220">
        <f t="shared" si="174"/>
        <v>1141</v>
      </c>
      <c r="K153" s="220">
        <f t="shared" si="140"/>
        <v>2494</v>
      </c>
      <c r="L153" s="220">
        <f t="shared" si="140"/>
        <v>2438</v>
      </c>
      <c r="M153" s="220">
        <f t="shared" si="140"/>
        <v>2373</v>
      </c>
      <c r="N153" s="220">
        <f t="shared" si="140"/>
        <v>2329</v>
      </c>
      <c r="O153" s="220">
        <f t="shared" si="140"/>
        <v>2518</v>
      </c>
      <c r="P153" s="220">
        <f t="shared" si="179"/>
        <v>2000</v>
      </c>
      <c r="Q153" s="220">
        <f t="shared" si="179"/>
        <v>2000</v>
      </c>
      <c r="R153" s="220">
        <f t="shared" si="179"/>
        <v>2000</v>
      </c>
      <c r="S153" s="220">
        <f t="shared" si="179"/>
        <v>2000</v>
      </c>
      <c r="T153" s="220">
        <f t="shared" si="179"/>
        <v>2000</v>
      </c>
      <c r="U153" s="220">
        <f t="shared" si="180"/>
        <v>494</v>
      </c>
      <c r="V153" s="220">
        <f t="shared" si="180"/>
        <v>438</v>
      </c>
      <c r="W153" s="220">
        <f t="shared" si="180"/>
        <v>373</v>
      </c>
      <c r="X153" s="220">
        <f t="shared" si="180"/>
        <v>329</v>
      </c>
      <c r="Y153" s="220">
        <f t="shared" si="180"/>
        <v>518</v>
      </c>
      <c r="Z153" s="220">
        <v>0</v>
      </c>
      <c r="AA153" s="220">
        <v>0</v>
      </c>
      <c r="AB153" s="220">
        <v>2</v>
      </c>
      <c r="AC153" s="220">
        <v>0</v>
      </c>
      <c r="AD153" s="220">
        <v>2</v>
      </c>
      <c r="AE153" s="220">
        <f t="shared" si="181"/>
        <v>-115</v>
      </c>
      <c r="AF153" s="220">
        <f t="shared" si="181"/>
        <v>-141</v>
      </c>
      <c r="AG153" s="220">
        <f t="shared" si="181"/>
        <v>-226</v>
      </c>
      <c r="AH153" s="220">
        <f t="shared" si="181"/>
        <v>-220</v>
      </c>
      <c r="AI153" s="220">
        <f t="shared" si="181"/>
        <v>-131</v>
      </c>
      <c r="AJ153" s="50">
        <f t="shared" si="182"/>
        <v>1.5730000000000084</v>
      </c>
      <c r="AK153" s="257"/>
      <c r="AL153" s="257">
        <f t="shared" si="183"/>
        <v>1.2</v>
      </c>
      <c r="AM153" s="52"/>
      <c r="AN153" s="88"/>
    </row>
    <row r="154" spans="1:40" s="29" customFormat="1" ht="17.25" customHeight="1">
      <c r="A154" s="48">
        <v>145</v>
      </c>
      <c r="B154" s="49">
        <f t="shared" si="175"/>
        <v>45697</v>
      </c>
      <c r="C154" s="220">
        <f t="shared" si="176"/>
        <v>1049</v>
      </c>
      <c r="D154" s="220">
        <f t="shared" ref="D154" si="197">D153-18</f>
        <v>2592</v>
      </c>
      <c r="E154" s="220">
        <f t="shared" si="178"/>
        <v>3641</v>
      </c>
      <c r="F154" s="220">
        <f t="shared" si="170"/>
        <v>1148</v>
      </c>
      <c r="G154" s="220">
        <f t="shared" si="171"/>
        <v>1205</v>
      </c>
      <c r="H154" s="220">
        <f t="shared" si="172"/>
        <v>1268</v>
      </c>
      <c r="I154" s="220">
        <f t="shared" si="173"/>
        <v>1315</v>
      </c>
      <c r="J154" s="220">
        <f t="shared" si="174"/>
        <v>1123</v>
      </c>
      <c r="K154" s="220">
        <f t="shared" si="140"/>
        <v>2493</v>
      </c>
      <c r="L154" s="220">
        <f t="shared" si="140"/>
        <v>2436</v>
      </c>
      <c r="M154" s="220">
        <f t="shared" si="140"/>
        <v>2373</v>
      </c>
      <c r="N154" s="220">
        <f t="shared" si="140"/>
        <v>2326</v>
      </c>
      <c r="O154" s="220">
        <f t="shared" si="140"/>
        <v>2518</v>
      </c>
      <c r="P154" s="220">
        <f t="shared" si="179"/>
        <v>2000</v>
      </c>
      <c r="Q154" s="220">
        <f t="shared" si="179"/>
        <v>2000</v>
      </c>
      <c r="R154" s="220">
        <f t="shared" si="179"/>
        <v>2000</v>
      </c>
      <c r="S154" s="220">
        <f t="shared" si="179"/>
        <v>2000</v>
      </c>
      <c r="T154" s="220">
        <f t="shared" si="179"/>
        <v>2000</v>
      </c>
      <c r="U154" s="220">
        <f t="shared" si="180"/>
        <v>493</v>
      </c>
      <c r="V154" s="220">
        <f t="shared" si="180"/>
        <v>436</v>
      </c>
      <c r="W154" s="220">
        <f t="shared" si="180"/>
        <v>373</v>
      </c>
      <c r="X154" s="220">
        <f t="shared" si="180"/>
        <v>326</v>
      </c>
      <c r="Y154" s="220">
        <f t="shared" si="180"/>
        <v>518</v>
      </c>
      <c r="Z154" s="220">
        <v>1</v>
      </c>
      <c r="AA154" s="220">
        <v>2</v>
      </c>
      <c r="AB154" s="220">
        <v>0</v>
      </c>
      <c r="AC154" s="220">
        <v>3</v>
      </c>
      <c r="AD154" s="220">
        <v>0</v>
      </c>
      <c r="AE154" s="220">
        <f t="shared" si="181"/>
        <v>-116</v>
      </c>
      <c r="AF154" s="220">
        <f t="shared" si="181"/>
        <v>-143</v>
      </c>
      <c r="AG154" s="220">
        <f t="shared" si="181"/>
        <v>-226</v>
      </c>
      <c r="AH154" s="220">
        <f t="shared" si="181"/>
        <v>-223</v>
      </c>
      <c r="AI154" s="220">
        <f t="shared" si="181"/>
        <v>-131</v>
      </c>
      <c r="AJ154" s="50">
        <f t="shared" si="182"/>
        <v>1.5730000000000084</v>
      </c>
      <c r="AK154" s="257"/>
      <c r="AL154" s="257">
        <f t="shared" si="183"/>
        <v>1.2</v>
      </c>
      <c r="AM154" s="52"/>
      <c r="AN154" s="88"/>
    </row>
    <row r="155" spans="1:40" s="29" customFormat="1" ht="17.25" customHeight="1">
      <c r="A155" s="48">
        <v>146</v>
      </c>
      <c r="B155" s="49">
        <f t="shared" si="175"/>
        <v>45698</v>
      </c>
      <c r="C155" s="220">
        <f t="shared" si="176"/>
        <v>1049</v>
      </c>
      <c r="D155" s="220">
        <f t="shared" ref="D155" si="198">D154-26</f>
        <v>2566</v>
      </c>
      <c r="E155" s="220">
        <f t="shared" si="178"/>
        <v>3615</v>
      </c>
      <c r="F155" s="220">
        <f t="shared" si="170"/>
        <v>1123</v>
      </c>
      <c r="G155" s="220">
        <f t="shared" si="171"/>
        <v>1179</v>
      </c>
      <c r="H155" s="220">
        <f t="shared" si="172"/>
        <v>1245</v>
      </c>
      <c r="I155" s="220">
        <f t="shared" si="173"/>
        <v>1289</v>
      </c>
      <c r="J155" s="220">
        <f t="shared" si="174"/>
        <v>1097</v>
      </c>
      <c r="K155" s="220">
        <f t="shared" si="140"/>
        <v>2492</v>
      </c>
      <c r="L155" s="220">
        <f t="shared" si="140"/>
        <v>2436</v>
      </c>
      <c r="M155" s="220">
        <f t="shared" si="140"/>
        <v>2370</v>
      </c>
      <c r="N155" s="220">
        <f t="shared" si="140"/>
        <v>2326</v>
      </c>
      <c r="O155" s="220">
        <f t="shared" si="140"/>
        <v>2518</v>
      </c>
      <c r="P155" s="220">
        <f t="shared" si="179"/>
        <v>2000</v>
      </c>
      <c r="Q155" s="220">
        <f t="shared" si="179"/>
        <v>2000</v>
      </c>
      <c r="R155" s="220">
        <f t="shared" si="179"/>
        <v>2000</v>
      </c>
      <c r="S155" s="220">
        <f t="shared" si="179"/>
        <v>2000</v>
      </c>
      <c r="T155" s="220">
        <f t="shared" si="179"/>
        <v>2000</v>
      </c>
      <c r="U155" s="220">
        <f t="shared" si="180"/>
        <v>492</v>
      </c>
      <c r="V155" s="220">
        <f t="shared" si="180"/>
        <v>436</v>
      </c>
      <c r="W155" s="220">
        <f t="shared" si="180"/>
        <v>370</v>
      </c>
      <c r="X155" s="220">
        <f t="shared" si="180"/>
        <v>326</v>
      </c>
      <c r="Y155" s="220">
        <f t="shared" si="180"/>
        <v>518</v>
      </c>
      <c r="Z155" s="220">
        <v>1</v>
      </c>
      <c r="AA155" s="220">
        <v>0</v>
      </c>
      <c r="AB155" s="220">
        <v>3</v>
      </c>
      <c r="AC155" s="220">
        <v>0</v>
      </c>
      <c r="AD155" s="220">
        <v>0</v>
      </c>
      <c r="AE155" s="220">
        <f t="shared" si="181"/>
        <v>-117</v>
      </c>
      <c r="AF155" s="220">
        <f t="shared" si="181"/>
        <v>-143</v>
      </c>
      <c r="AG155" s="220">
        <f t="shared" si="181"/>
        <v>-229</v>
      </c>
      <c r="AH155" s="220">
        <f t="shared" si="181"/>
        <v>-223</v>
      </c>
      <c r="AI155" s="220">
        <f t="shared" si="181"/>
        <v>-131</v>
      </c>
      <c r="AJ155" s="50">
        <f t="shared" si="182"/>
        <v>1.5700000000000085</v>
      </c>
      <c r="AK155" s="257"/>
      <c r="AL155" s="257">
        <f t="shared" si="183"/>
        <v>1.2</v>
      </c>
      <c r="AM155" s="52"/>
      <c r="AN155" s="88"/>
    </row>
    <row r="156" spans="1:40" s="29" customFormat="1" ht="17.25" customHeight="1">
      <c r="A156" s="48">
        <v>147</v>
      </c>
      <c r="B156" s="49">
        <f t="shared" si="175"/>
        <v>45699</v>
      </c>
      <c r="C156" s="220">
        <f t="shared" si="176"/>
        <v>1049</v>
      </c>
      <c r="D156" s="220">
        <f t="shared" ref="D156" si="199">D155+15</f>
        <v>2581</v>
      </c>
      <c r="E156" s="220">
        <f t="shared" si="178"/>
        <v>3630</v>
      </c>
      <c r="F156" s="220">
        <f t="shared" si="170"/>
        <v>1138</v>
      </c>
      <c r="G156" s="220">
        <f t="shared" si="171"/>
        <v>1195</v>
      </c>
      <c r="H156" s="220">
        <f t="shared" si="172"/>
        <v>1260</v>
      </c>
      <c r="I156" s="220">
        <f t="shared" si="173"/>
        <v>1304</v>
      </c>
      <c r="J156" s="220">
        <f t="shared" si="174"/>
        <v>1114</v>
      </c>
      <c r="K156" s="220">
        <f t="shared" si="140"/>
        <v>2492</v>
      </c>
      <c r="L156" s="220">
        <f t="shared" si="140"/>
        <v>2435</v>
      </c>
      <c r="M156" s="220">
        <f t="shared" si="140"/>
        <v>2370</v>
      </c>
      <c r="N156" s="220">
        <f t="shared" si="140"/>
        <v>2326</v>
      </c>
      <c r="O156" s="220">
        <f t="shared" si="140"/>
        <v>2516</v>
      </c>
      <c r="P156" s="220">
        <f t="shared" ref="P156:T171" si="200">+P155</f>
        <v>2000</v>
      </c>
      <c r="Q156" s="220">
        <f t="shared" si="200"/>
        <v>2000</v>
      </c>
      <c r="R156" s="220">
        <f t="shared" si="200"/>
        <v>2000</v>
      </c>
      <c r="S156" s="220">
        <f t="shared" si="200"/>
        <v>2000</v>
      </c>
      <c r="T156" s="220">
        <f t="shared" si="200"/>
        <v>2000</v>
      </c>
      <c r="U156" s="220">
        <f t="shared" ref="U156:Y171" si="201">U155-Z156</f>
        <v>492</v>
      </c>
      <c r="V156" s="220">
        <f t="shared" si="201"/>
        <v>435</v>
      </c>
      <c r="W156" s="220">
        <f t="shared" si="201"/>
        <v>370</v>
      </c>
      <c r="X156" s="220">
        <f t="shared" si="201"/>
        <v>326</v>
      </c>
      <c r="Y156" s="220">
        <f t="shared" si="201"/>
        <v>516</v>
      </c>
      <c r="Z156" s="220">
        <v>0</v>
      </c>
      <c r="AA156" s="220">
        <v>1</v>
      </c>
      <c r="AB156" s="220">
        <v>0</v>
      </c>
      <c r="AC156" s="220">
        <v>0</v>
      </c>
      <c r="AD156" s="220">
        <v>2</v>
      </c>
      <c r="AE156" s="220">
        <f t="shared" ref="AE156:AI171" si="202">AE155-Z156</f>
        <v>-117</v>
      </c>
      <c r="AF156" s="220">
        <f t="shared" si="202"/>
        <v>-144</v>
      </c>
      <c r="AG156" s="220">
        <f t="shared" si="202"/>
        <v>-229</v>
      </c>
      <c r="AH156" s="220">
        <f t="shared" si="202"/>
        <v>-223</v>
      </c>
      <c r="AI156" s="220">
        <f t="shared" si="202"/>
        <v>-133</v>
      </c>
      <c r="AJ156" s="50">
        <f t="shared" si="182"/>
        <v>1.5700000000000085</v>
      </c>
      <c r="AK156" s="257"/>
      <c r="AL156" s="257">
        <f t="shared" si="183"/>
        <v>1.2</v>
      </c>
      <c r="AM156" s="52"/>
      <c r="AN156" s="88"/>
    </row>
    <row r="157" spans="1:40" s="29" customFormat="1" ht="17.25" customHeight="1">
      <c r="A157" s="48">
        <v>148</v>
      </c>
      <c r="B157" s="49">
        <f t="shared" si="175"/>
        <v>45700</v>
      </c>
      <c r="C157" s="220">
        <f t="shared" si="176"/>
        <v>1049</v>
      </c>
      <c r="D157" s="220">
        <f t="shared" ref="D157" si="203">D156+26</f>
        <v>2607</v>
      </c>
      <c r="E157" s="220">
        <f t="shared" si="178"/>
        <v>3656</v>
      </c>
      <c r="F157" s="220">
        <f t="shared" si="170"/>
        <v>1165</v>
      </c>
      <c r="G157" s="220">
        <f t="shared" si="171"/>
        <v>1222</v>
      </c>
      <c r="H157" s="220">
        <f t="shared" si="172"/>
        <v>1287</v>
      </c>
      <c r="I157" s="220">
        <f t="shared" si="173"/>
        <v>1330</v>
      </c>
      <c r="J157" s="220">
        <f t="shared" si="174"/>
        <v>1140</v>
      </c>
      <c r="K157" s="220">
        <f t="shared" si="140"/>
        <v>2491</v>
      </c>
      <c r="L157" s="220">
        <f t="shared" si="140"/>
        <v>2434</v>
      </c>
      <c r="M157" s="220">
        <f t="shared" si="140"/>
        <v>2369</v>
      </c>
      <c r="N157" s="220">
        <f t="shared" si="140"/>
        <v>2326</v>
      </c>
      <c r="O157" s="220">
        <f t="shared" si="140"/>
        <v>2516</v>
      </c>
      <c r="P157" s="220">
        <f t="shared" si="200"/>
        <v>2000</v>
      </c>
      <c r="Q157" s="220">
        <f t="shared" si="200"/>
        <v>2000</v>
      </c>
      <c r="R157" s="220">
        <f t="shared" si="200"/>
        <v>2000</v>
      </c>
      <c r="S157" s="220">
        <f t="shared" si="200"/>
        <v>2000</v>
      </c>
      <c r="T157" s="220">
        <f t="shared" si="200"/>
        <v>2000</v>
      </c>
      <c r="U157" s="220">
        <f t="shared" si="201"/>
        <v>491</v>
      </c>
      <c r="V157" s="220">
        <f t="shared" si="201"/>
        <v>434</v>
      </c>
      <c r="W157" s="220">
        <f t="shared" si="201"/>
        <v>369</v>
      </c>
      <c r="X157" s="220">
        <f t="shared" si="201"/>
        <v>326</v>
      </c>
      <c r="Y157" s="220">
        <f t="shared" si="201"/>
        <v>516</v>
      </c>
      <c r="Z157" s="220">
        <v>1</v>
      </c>
      <c r="AA157" s="220">
        <v>1</v>
      </c>
      <c r="AB157" s="220">
        <v>1</v>
      </c>
      <c r="AC157" s="220">
        <v>0</v>
      </c>
      <c r="AD157" s="220">
        <v>0</v>
      </c>
      <c r="AE157" s="220">
        <f t="shared" si="202"/>
        <v>-118</v>
      </c>
      <c r="AF157" s="220">
        <f t="shared" si="202"/>
        <v>-145</v>
      </c>
      <c r="AG157" s="220">
        <f t="shared" si="202"/>
        <v>-230</v>
      </c>
      <c r="AH157" s="220">
        <f t="shared" si="202"/>
        <v>-223</v>
      </c>
      <c r="AI157" s="220">
        <f t="shared" si="202"/>
        <v>-133</v>
      </c>
      <c r="AJ157" s="50">
        <f t="shared" si="182"/>
        <v>1.5690000000000086</v>
      </c>
      <c r="AK157" s="257"/>
      <c r="AL157" s="257">
        <f t="shared" si="183"/>
        <v>1.2</v>
      </c>
      <c r="AM157" s="52"/>
      <c r="AN157" s="88"/>
    </row>
    <row r="158" spans="1:40" s="29" customFormat="1" ht="17.25" customHeight="1">
      <c r="A158" s="48">
        <v>149</v>
      </c>
      <c r="B158" s="49">
        <f t="shared" si="175"/>
        <v>45701</v>
      </c>
      <c r="C158" s="220">
        <f t="shared" si="176"/>
        <v>1049</v>
      </c>
      <c r="D158" s="220">
        <f t="shared" ref="D158" si="204">D157+32</f>
        <v>2639</v>
      </c>
      <c r="E158" s="220">
        <f t="shared" si="178"/>
        <v>3688</v>
      </c>
      <c r="F158" s="220">
        <f t="shared" si="170"/>
        <v>1197</v>
      </c>
      <c r="G158" s="220">
        <f t="shared" si="171"/>
        <v>1254</v>
      </c>
      <c r="H158" s="220">
        <f t="shared" si="172"/>
        <v>1322</v>
      </c>
      <c r="I158" s="220">
        <f t="shared" si="173"/>
        <v>1362</v>
      </c>
      <c r="J158" s="220">
        <f t="shared" si="174"/>
        <v>1174</v>
      </c>
      <c r="K158" s="220">
        <f t="shared" si="140"/>
        <v>2491</v>
      </c>
      <c r="L158" s="220">
        <f t="shared" si="140"/>
        <v>2434</v>
      </c>
      <c r="M158" s="220">
        <f t="shared" si="140"/>
        <v>2366</v>
      </c>
      <c r="N158" s="220">
        <f t="shared" si="140"/>
        <v>2326</v>
      </c>
      <c r="O158" s="220">
        <f t="shared" si="140"/>
        <v>2514</v>
      </c>
      <c r="P158" s="220">
        <f t="shared" si="200"/>
        <v>2000</v>
      </c>
      <c r="Q158" s="220">
        <f t="shared" si="200"/>
        <v>2000</v>
      </c>
      <c r="R158" s="220">
        <f t="shared" si="200"/>
        <v>2000</v>
      </c>
      <c r="S158" s="220">
        <f t="shared" si="200"/>
        <v>2000</v>
      </c>
      <c r="T158" s="220">
        <f t="shared" si="200"/>
        <v>2000</v>
      </c>
      <c r="U158" s="220">
        <f t="shared" si="201"/>
        <v>491</v>
      </c>
      <c r="V158" s="220">
        <f t="shared" si="201"/>
        <v>434</v>
      </c>
      <c r="W158" s="220">
        <f t="shared" si="201"/>
        <v>366</v>
      </c>
      <c r="X158" s="220">
        <f t="shared" si="201"/>
        <v>326</v>
      </c>
      <c r="Y158" s="220">
        <f t="shared" si="201"/>
        <v>514</v>
      </c>
      <c r="Z158" s="220">
        <v>0</v>
      </c>
      <c r="AA158" s="220">
        <v>0</v>
      </c>
      <c r="AB158" s="220">
        <v>3</v>
      </c>
      <c r="AC158" s="220">
        <v>0</v>
      </c>
      <c r="AD158" s="220">
        <v>2</v>
      </c>
      <c r="AE158" s="220">
        <f t="shared" si="202"/>
        <v>-118</v>
      </c>
      <c r="AF158" s="220">
        <f t="shared" si="202"/>
        <v>-145</v>
      </c>
      <c r="AG158" s="220">
        <f t="shared" si="202"/>
        <v>-233</v>
      </c>
      <c r="AH158" s="220">
        <f t="shared" si="202"/>
        <v>-223</v>
      </c>
      <c r="AI158" s="220">
        <f t="shared" si="202"/>
        <v>-135</v>
      </c>
      <c r="AJ158" s="50">
        <f t="shared" si="182"/>
        <v>1.5660000000000087</v>
      </c>
      <c r="AK158" s="257"/>
      <c r="AL158" s="257">
        <f t="shared" si="183"/>
        <v>1.2</v>
      </c>
      <c r="AM158" s="52"/>
      <c r="AN158" s="88"/>
    </row>
    <row r="159" spans="1:40" s="29" customFormat="1" ht="17.25" customHeight="1">
      <c r="A159" s="48">
        <v>150</v>
      </c>
      <c r="B159" s="49">
        <f t="shared" si="175"/>
        <v>45702</v>
      </c>
      <c r="C159" s="220">
        <f t="shared" si="176"/>
        <v>1049</v>
      </c>
      <c r="D159" s="220">
        <v>1986</v>
      </c>
      <c r="E159" s="220">
        <f t="shared" si="178"/>
        <v>3035</v>
      </c>
      <c r="F159" s="220">
        <f t="shared" si="170"/>
        <v>544</v>
      </c>
      <c r="G159" s="220">
        <f t="shared" si="171"/>
        <v>603</v>
      </c>
      <c r="H159" s="220">
        <f t="shared" si="172"/>
        <v>671</v>
      </c>
      <c r="I159" s="220">
        <f t="shared" si="173"/>
        <v>711</v>
      </c>
      <c r="J159" s="220">
        <f t="shared" si="174"/>
        <v>521</v>
      </c>
      <c r="K159" s="220">
        <f t="shared" si="140"/>
        <v>2491</v>
      </c>
      <c r="L159" s="220">
        <f t="shared" si="140"/>
        <v>2432</v>
      </c>
      <c r="M159" s="220">
        <f t="shared" si="140"/>
        <v>2364</v>
      </c>
      <c r="N159" s="220">
        <f t="shared" si="140"/>
        <v>2324</v>
      </c>
      <c r="O159" s="220">
        <f t="shared" si="140"/>
        <v>2514</v>
      </c>
      <c r="P159" s="220">
        <f t="shared" si="200"/>
        <v>2000</v>
      </c>
      <c r="Q159" s="220">
        <f t="shared" si="200"/>
        <v>2000</v>
      </c>
      <c r="R159" s="220">
        <f t="shared" si="200"/>
        <v>2000</v>
      </c>
      <c r="S159" s="220">
        <f t="shared" si="200"/>
        <v>2000</v>
      </c>
      <c r="T159" s="220">
        <f t="shared" si="200"/>
        <v>2000</v>
      </c>
      <c r="U159" s="220">
        <f t="shared" si="201"/>
        <v>491</v>
      </c>
      <c r="V159" s="220">
        <f t="shared" si="201"/>
        <v>432</v>
      </c>
      <c r="W159" s="220">
        <f t="shared" si="201"/>
        <v>364</v>
      </c>
      <c r="X159" s="220">
        <f t="shared" si="201"/>
        <v>324</v>
      </c>
      <c r="Y159" s="220">
        <f t="shared" si="201"/>
        <v>514</v>
      </c>
      <c r="Z159" s="220">
        <v>0</v>
      </c>
      <c r="AA159" s="220">
        <v>2</v>
      </c>
      <c r="AB159" s="220">
        <v>2</v>
      </c>
      <c r="AC159" s="220">
        <v>2</v>
      </c>
      <c r="AD159" s="220">
        <v>0</v>
      </c>
      <c r="AE159" s="220">
        <f t="shared" si="202"/>
        <v>-118</v>
      </c>
      <c r="AF159" s="220">
        <f t="shared" si="202"/>
        <v>-147</v>
      </c>
      <c r="AG159" s="220">
        <f t="shared" si="202"/>
        <v>-235</v>
      </c>
      <c r="AH159" s="220">
        <f t="shared" si="202"/>
        <v>-225</v>
      </c>
      <c r="AI159" s="220">
        <f t="shared" si="202"/>
        <v>-135</v>
      </c>
      <c r="AJ159" s="50">
        <f t="shared" si="182"/>
        <v>1.5640000000000087</v>
      </c>
      <c r="AK159" s="257"/>
      <c r="AL159" s="257">
        <f t="shared" si="183"/>
        <v>1.2</v>
      </c>
      <c r="AM159" s="52"/>
      <c r="AN159" s="88"/>
    </row>
    <row r="160" spans="1:40" s="29" customFormat="1" ht="17.25" customHeight="1">
      <c r="A160" s="48">
        <v>151</v>
      </c>
      <c r="B160" s="49">
        <f t="shared" si="175"/>
        <v>45703</v>
      </c>
      <c r="C160" s="220">
        <f t="shared" si="176"/>
        <v>1049</v>
      </c>
      <c r="D160" s="220">
        <f t="shared" ref="D160" si="205">D159-26</f>
        <v>1960</v>
      </c>
      <c r="E160" s="220">
        <f t="shared" si="178"/>
        <v>3009</v>
      </c>
      <c r="F160" s="220">
        <f t="shared" si="170"/>
        <v>519</v>
      </c>
      <c r="G160" s="220">
        <f t="shared" si="171"/>
        <v>577</v>
      </c>
      <c r="H160" s="220">
        <f t="shared" si="172"/>
        <v>646</v>
      </c>
      <c r="I160" s="220">
        <f t="shared" si="173"/>
        <v>685</v>
      </c>
      <c r="J160" s="220">
        <f t="shared" si="174"/>
        <v>495</v>
      </c>
      <c r="K160" s="220">
        <f t="shared" si="140"/>
        <v>2490</v>
      </c>
      <c r="L160" s="220">
        <f t="shared" si="140"/>
        <v>2432</v>
      </c>
      <c r="M160" s="220">
        <f t="shared" si="140"/>
        <v>2363</v>
      </c>
      <c r="N160" s="220">
        <f t="shared" si="140"/>
        <v>2324</v>
      </c>
      <c r="O160" s="220">
        <f t="shared" si="140"/>
        <v>2514</v>
      </c>
      <c r="P160" s="220">
        <f t="shared" si="200"/>
        <v>2000</v>
      </c>
      <c r="Q160" s="220">
        <f t="shared" si="200"/>
        <v>2000</v>
      </c>
      <c r="R160" s="220">
        <f t="shared" si="200"/>
        <v>2000</v>
      </c>
      <c r="S160" s="220">
        <f t="shared" si="200"/>
        <v>2000</v>
      </c>
      <c r="T160" s="220">
        <f t="shared" si="200"/>
        <v>2000</v>
      </c>
      <c r="U160" s="220">
        <f t="shared" si="201"/>
        <v>490</v>
      </c>
      <c r="V160" s="220">
        <f t="shared" si="201"/>
        <v>432</v>
      </c>
      <c r="W160" s="220">
        <f t="shared" si="201"/>
        <v>363</v>
      </c>
      <c r="X160" s="220">
        <f t="shared" si="201"/>
        <v>324</v>
      </c>
      <c r="Y160" s="220">
        <f t="shared" si="201"/>
        <v>514</v>
      </c>
      <c r="Z160" s="220">
        <v>1</v>
      </c>
      <c r="AA160" s="220">
        <v>0</v>
      </c>
      <c r="AB160" s="220">
        <v>1</v>
      </c>
      <c r="AC160" s="220">
        <v>0</v>
      </c>
      <c r="AD160" s="220">
        <v>0</v>
      </c>
      <c r="AE160" s="220">
        <f t="shared" si="202"/>
        <v>-119</v>
      </c>
      <c r="AF160" s="220">
        <f t="shared" si="202"/>
        <v>-147</v>
      </c>
      <c r="AG160" s="220">
        <f t="shared" si="202"/>
        <v>-236</v>
      </c>
      <c r="AH160" s="220">
        <f t="shared" si="202"/>
        <v>-225</v>
      </c>
      <c r="AI160" s="220">
        <f t="shared" si="202"/>
        <v>-135</v>
      </c>
      <c r="AJ160" s="50">
        <f t="shared" si="182"/>
        <v>1.5630000000000088</v>
      </c>
      <c r="AK160" s="257"/>
      <c r="AL160" s="257">
        <f t="shared" si="183"/>
        <v>1.2</v>
      </c>
      <c r="AM160" s="52"/>
      <c r="AN160" s="88"/>
    </row>
    <row r="161" spans="1:40" s="29" customFormat="1" ht="17.25" customHeight="1">
      <c r="A161" s="48">
        <v>152</v>
      </c>
      <c r="B161" s="49">
        <f t="shared" si="175"/>
        <v>45704</v>
      </c>
      <c r="C161" s="220">
        <f t="shared" si="176"/>
        <v>1049</v>
      </c>
      <c r="D161" s="220">
        <f t="shared" ref="D161" si="206">D160+15</f>
        <v>1975</v>
      </c>
      <c r="E161" s="220">
        <f t="shared" si="178"/>
        <v>3024</v>
      </c>
      <c r="F161" s="220">
        <f t="shared" si="170"/>
        <v>534</v>
      </c>
      <c r="G161" s="220">
        <f t="shared" si="171"/>
        <v>592</v>
      </c>
      <c r="H161" s="220">
        <f t="shared" si="172"/>
        <v>661</v>
      </c>
      <c r="I161" s="220">
        <f t="shared" si="173"/>
        <v>701</v>
      </c>
      <c r="J161" s="220">
        <f t="shared" si="174"/>
        <v>510</v>
      </c>
      <c r="K161" s="220">
        <f t="shared" si="140"/>
        <v>2490</v>
      </c>
      <c r="L161" s="220">
        <f t="shared" si="140"/>
        <v>2432</v>
      </c>
      <c r="M161" s="220">
        <f t="shared" si="140"/>
        <v>2363</v>
      </c>
      <c r="N161" s="220">
        <f t="shared" si="140"/>
        <v>2323</v>
      </c>
      <c r="O161" s="220">
        <f t="shared" si="140"/>
        <v>2514</v>
      </c>
      <c r="P161" s="220">
        <f t="shared" si="200"/>
        <v>2000</v>
      </c>
      <c r="Q161" s="220">
        <f t="shared" si="200"/>
        <v>2000</v>
      </c>
      <c r="R161" s="220">
        <f t="shared" si="200"/>
        <v>2000</v>
      </c>
      <c r="S161" s="220">
        <f t="shared" si="200"/>
        <v>2000</v>
      </c>
      <c r="T161" s="220">
        <f t="shared" si="200"/>
        <v>2000</v>
      </c>
      <c r="U161" s="220">
        <f t="shared" si="201"/>
        <v>490</v>
      </c>
      <c r="V161" s="220">
        <f t="shared" si="201"/>
        <v>432</v>
      </c>
      <c r="W161" s="220">
        <f t="shared" si="201"/>
        <v>363</v>
      </c>
      <c r="X161" s="220">
        <f t="shared" si="201"/>
        <v>323</v>
      </c>
      <c r="Y161" s="220">
        <f t="shared" si="201"/>
        <v>514</v>
      </c>
      <c r="Z161" s="220">
        <v>0</v>
      </c>
      <c r="AA161" s="220">
        <v>0</v>
      </c>
      <c r="AB161" s="220">
        <v>0</v>
      </c>
      <c r="AC161" s="220">
        <v>1</v>
      </c>
      <c r="AD161" s="220">
        <v>0</v>
      </c>
      <c r="AE161" s="220">
        <f t="shared" si="202"/>
        <v>-119</v>
      </c>
      <c r="AF161" s="220">
        <f t="shared" si="202"/>
        <v>-147</v>
      </c>
      <c r="AG161" s="220">
        <f t="shared" si="202"/>
        <v>-236</v>
      </c>
      <c r="AH161" s="220">
        <f t="shared" si="202"/>
        <v>-226</v>
      </c>
      <c r="AI161" s="220">
        <f t="shared" si="202"/>
        <v>-135</v>
      </c>
      <c r="AJ161" s="50">
        <f t="shared" si="182"/>
        <v>1.5630000000000088</v>
      </c>
      <c r="AK161" s="257"/>
      <c r="AL161" s="257">
        <f t="shared" si="183"/>
        <v>1.2</v>
      </c>
      <c r="AM161" s="52"/>
      <c r="AN161" s="88"/>
    </row>
    <row r="162" spans="1:40" s="29" customFormat="1" ht="17.25" customHeight="1">
      <c r="A162" s="48">
        <v>153</v>
      </c>
      <c r="B162" s="49">
        <f t="shared" si="175"/>
        <v>45705</v>
      </c>
      <c r="C162" s="220">
        <f t="shared" si="176"/>
        <v>1049</v>
      </c>
      <c r="D162" s="220">
        <f t="shared" ref="D162" si="207">D161+26</f>
        <v>2001</v>
      </c>
      <c r="E162" s="220">
        <f t="shared" si="178"/>
        <v>3050</v>
      </c>
      <c r="F162" s="220">
        <f t="shared" si="170"/>
        <v>560</v>
      </c>
      <c r="G162" s="220">
        <f t="shared" si="171"/>
        <v>618</v>
      </c>
      <c r="H162" s="220">
        <f t="shared" si="172"/>
        <v>688</v>
      </c>
      <c r="I162" s="220">
        <f t="shared" si="173"/>
        <v>728</v>
      </c>
      <c r="J162" s="220">
        <f t="shared" si="174"/>
        <v>536</v>
      </c>
      <c r="K162" s="220">
        <f t="shared" si="140"/>
        <v>2490</v>
      </c>
      <c r="L162" s="220">
        <f t="shared" si="140"/>
        <v>2432</v>
      </c>
      <c r="M162" s="220">
        <f t="shared" si="140"/>
        <v>2362</v>
      </c>
      <c r="N162" s="220">
        <f t="shared" si="140"/>
        <v>2322</v>
      </c>
      <c r="O162" s="220">
        <f t="shared" si="140"/>
        <v>2514</v>
      </c>
      <c r="P162" s="220">
        <f t="shared" si="200"/>
        <v>2000</v>
      </c>
      <c r="Q162" s="220">
        <f t="shared" si="200"/>
        <v>2000</v>
      </c>
      <c r="R162" s="220">
        <f t="shared" si="200"/>
        <v>2000</v>
      </c>
      <c r="S162" s="220">
        <f t="shared" si="200"/>
        <v>2000</v>
      </c>
      <c r="T162" s="220">
        <f t="shared" si="200"/>
        <v>2000</v>
      </c>
      <c r="U162" s="220">
        <f t="shared" si="201"/>
        <v>490</v>
      </c>
      <c r="V162" s="220">
        <f t="shared" si="201"/>
        <v>432</v>
      </c>
      <c r="W162" s="220">
        <f t="shared" si="201"/>
        <v>362</v>
      </c>
      <c r="X162" s="220">
        <f t="shared" si="201"/>
        <v>322</v>
      </c>
      <c r="Y162" s="220">
        <f t="shared" si="201"/>
        <v>514</v>
      </c>
      <c r="Z162" s="220">
        <v>0</v>
      </c>
      <c r="AA162" s="220">
        <v>0</v>
      </c>
      <c r="AB162" s="220">
        <v>1</v>
      </c>
      <c r="AC162" s="220">
        <v>1</v>
      </c>
      <c r="AD162" s="220">
        <v>0</v>
      </c>
      <c r="AE162" s="220">
        <f t="shared" si="202"/>
        <v>-119</v>
      </c>
      <c r="AF162" s="220">
        <f t="shared" si="202"/>
        <v>-147</v>
      </c>
      <c r="AG162" s="220">
        <f t="shared" si="202"/>
        <v>-237</v>
      </c>
      <c r="AH162" s="220">
        <f t="shared" si="202"/>
        <v>-227</v>
      </c>
      <c r="AI162" s="220">
        <f t="shared" si="202"/>
        <v>-135</v>
      </c>
      <c r="AJ162" s="50">
        <f t="shared" si="182"/>
        <v>1.5620000000000089</v>
      </c>
      <c r="AK162" s="257"/>
      <c r="AL162" s="257">
        <f t="shared" si="183"/>
        <v>1.2</v>
      </c>
      <c r="AM162" s="52"/>
      <c r="AN162" s="88"/>
    </row>
    <row r="163" spans="1:40" s="29" customFormat="1" ht="17.25" customHeight="1">
      <c r="A163" s="48">
        <v>154</v>
      </c>
      <c r="B163" s="49">
        <f t="shared" si="175"/>
        <v>45706</v>
      </c>
      <c r="C163" s="220">
        <f t="shared" si="176"/>
        <v>1049</v>
      </c>
      <c r="D163" s="220">
        <f t="shared" ref="D163" si="208">D162+32</f>
        <v>2033</v>
      </c>
      <c r="E163" s="220">
        <f t="shared" si="178"/>
        <v>3082</v>
      </c>
      <c r="F163" s="220">
        <f t="shared" si="170"/>
        <v>593</v>
      </c>
      <c r="G163" s="220">
        <f t="shared" si="171"/>
        <v>650</v>
      </c>
      <c r="H163" s="220">
        <f t="shared" si="172"/>
        <v>723</v>
      </c>
      <c r="I163" s="220">
        <f t="shared" si="173"/>
        <v>763</v>
      </c>
      <c r="J163" s="220">
        <f t="shared" si="174"/>
        <v>568</v>
      </c>
      <c r="K163" s="220">
        <f t="shared" si="140"/>
        <v>2489</v>
      </c>
      <c r="L163" s="220">
        <f t="shared" si="140"/>
        <v>2432</v>
      </c>
      <c r="M163" s="220">
        <f t="shared" si="140"/>
        <v>2359</v>
      </c>
      <c r="N163" s="220">
        <f t="shared" si="140"/>
        <v>2319</v>
      </c>
      <c r="O163" s="220">
        <f t="shared" si="140"/>
        <v>2514</v>
      </c>
      <c r="P163" s="220">
        <f t="shared" si="200"/>
        <v>2000</v>
      </c>
      <c r="Q163" s="220">
        <f t="shared" si="200"/>
        <v>2000</v>
      </c>
      <c r="R163" s="220">
        <f t="shared" si="200"/>
        <v>2000</v>
      </c>
      <c r="S163" s="220">
        <f t="shared" si="200"/>
        <v>2000</v>
      </c>
      <c r="T163" s="220">
        <f t="shared" si="200"/>
        <v>2000</v>
      </c>
      <c r="U163" s="220">
        <f t="shared" si="201"/>
        <v>489</v>
      </c>
      <c r="V163" s="220">
        <f t="shared" si="201"/>
        <v>432</v>
      </c>
      <c r="W163" s="220">
        <f t="shared" si="201"/>
        <v>359</v>
      </c>
      <c r="X163" s="220">
        <f t="shared" si="201"/>
        <v>319</v>
      </c>
      <c r="Y163" s="220">
        <f t="shared" si="201"/>
        <v>514</v>
      </c>
      <c r="Z163" s="220">
        <v>1</v>
      </c>
      <c r="AA163" s="220">
        <v>0</v>
      </c>
      <c r="AB163" s="220">
        <v>3</v>
      </c>
      <c r="AC163" s="220">
        <v>3</v>
      </c>
      <c r="AD163" s="220">
        <v>0</v>
      </c>
      <c r="AE163" s="220">
        <f t="shared" si="202"/>
        <v>-120</v>
      </c>
      <c r="AF163" s="220">
        <f t="shared" si="202"/>
        <v>-147</v>
      </c>
      <c r="AG163" s="220">
        <f t="shared" si="202"/>
        <v>-240</v>
      </c>
      <c r="AH163" s="220">
        <f t="shared" si="202"/>
        <v>-230</v>
      </c>
      <c r="AI163" s="220">
        <f t="shared" si="202"/>
        <v>-135</v>
      </c>
      <c r="AJ163" s="50">
        <f t="shared" si="182"/>
        <v>1.559000000000009</v>
      </c>
      <c r="AK163" s="257"/>
      <c r="AL163" s="257">
        <f t="shared" si="183"/>
        <v>1.2</v>
      </c>
      <c r="AM163" s="52"/>
      <c r="AN163" s="88"/>
    </row>
    <row r="164" spans="1:40" s="29" customFormat="1" ht="17.25" customHeight="1">
      <c r="A164" s="48">
        <v>155</v>
      </c>
      <c r="B164" s="49">
        <f t="shared" si="175"/>
        <v>45707</v>
      </c>
      <c r="C164" s="220">
        <f t="shared" si="176"/>
        <v>1049</v>
      </c>
      <c r="D164" s="220">
        <f t="shared" ref="D164" si="209">D163-18</f>
        <v>2015</v>
      </c>
      <c r="E164" s="220">
        <f t="shared" si="178"/>
        <v>3064</v>
      </c>
      <c r="F164" s="220">
        <f t="shared" si="170"/>
        <v>575</v>
      </c>
      <c r="G164" s="220">
        <f t="shared" si="171"/>
        <v>632</v>
      </c>
      <c r="H164" s="220">
        <f t="shared" si="172"/>
        <v>708</v>
      </c>
      <c r="I164" s="220">
        <f t="shared" si="173"/>
        <v>747</v>
      </c>
      <c r="J164" s="220">
        <f t="shared" si="174"/>
        <v>550</v>
      </c>
      <c r="K164" s="220">
        <f t="shared" ref="K164:O200" si="210">P164+U164</f>
        <v>2489</v>
      </c>
      <c r="L164" s="220">
        <f t="shared" si="210"/>
        <v>2432</v>
      </c>
      <c r="M164" s="220">
        <f t="shared" si="210"/>
        <v>2356</v>
      </c>
      <c r="N164" s="220">
        <f t="shared" si="210"/>
        <v>2317</v>
      </c>
      <c r="O164" s="220">
        <f t="shared" si="210"/>
        <v>2514</v>
      </c>
      <c r="P164" s="220">
        <f t="shared" si="200"/>
        <v>2000</v>
      </c>
      <c r="Q164" s="220">
        <f t="shared" si="200"/>
        <v>2000</v>
      </c>
      <c r="R164" s="220">
        <f t="shared" si="200"/>
        <v>2000</v>
      </c>
      <c r="S164" s="220">
        <f t="shared" si="200"/>
        <v>2000</v>
      </c>
      <c r="T164" s="220">
        <f t="shared" si="200"/>
        <v>2000</v>
      </c>
      <c r="U164" s="220">
        <f t="shared" si="201"/>
        <v>489</v>
      </c>
      <c r="V164" s="220">
        <f t="shared" si="201"/>
        <v>432</v>
      </c>
      <c r="W164" s="220">
        <f t="shared" si="201"/>
        <v>356</v>
      </c>
      <c r="X164" s="220">
        <f t="shared" si="201"/>
        <v>317</v>
      </c>
      <c r="Y164" s="220">
        <f t="shared" si="201"/>
        <v>514</v>
      </c>
      <c r="Z164" s="220">
        <v>0</v>
      </c>
      <c r="AA164" s="220">
        <v>0</v>
      </c>
      <c r="AB164" s="220">
        <v>3</v>
      </c>
      <c r="AC164" s="220">
        <v>2</v>
      </c>
      <c r="AD164" s="220">
        <v>0</v>
      </c>
      <c r="AE164" s="220">
        <f t="shared" si="202"/>
        <v>-120</v>
      </c>
      <c r="AF164" s="220">
        <f t="shared" si="202"/>
        <v>-147</v>
      </c>
      <c r="AG164" s="220">
        <f t="shared" si="202"/>
        <v>-243</v>
      </c>
      <c r="AH164" s="220">
        <f t="shared" si="202"/>
        <v>-232</v>
      </c>
      <c r="AI164" s="220">
        <f t="shared" si="202"/>
        <v>-135</v>
      </c>
      <c r="AJ164" s="50">
        <f t="shared" si="182"/>
        <v>1.5560000000000092</v>
      </c>
      <c r="AK164" s="257"/>
      <c r="AL164" s="257">
        <f t="shared" si="183"/>
        <v>1.2</v>
      </c>
      <c r="AM164" s="52"/>
      <c r="AN164" s="88"/>
    </row>
    <row r="165" spans="1:40" s="29" customFormat="1" ht="17.25" customHeight="1">
      <c r="A165" s="48">
        <v>156</v>
      </c>
      <c r="B165" s="49">
        <f t="shared" si="175"/>
        <v>45708</v>
      </c>
      <c r="C165" s="220">
        <f t="shared" si="176"/>
        <v>1049</v>
      </c>
      <c r="D165" s="220">
        <f t="shared" ref="D165" si="211">D164-26</f>
        <v>1989</v>
      </c>
      <c r="E165" s="220">
        <f t="shared" si="178"/>
        <v>3038</v>
      </c>
      <c r="F165" s="220">
        <f t="shared" si="170"/>
        <v>550</v>
      </c>
      <c r="G165" s="220">
        <f t="shared" si="171"/>
        <v>606</v>
      </c>
      <c r="H165" s="220">
        <f t="shared" si="172"/>
        <v>683</v>
      </c>
      <c r="I165" s="220">
        <f t="shared" si="173"/>
        <v>721</v>
      </c>
      <c r="J165" s="220">
        <f t="shared" si="174"/>
        <v>524</v>
      </c>
      <c r="K165" s="220">
        <f t="shared" si="210"/>
        <v>2488</v>
      </c>
      <c r="L165" s="220">
        <f t="shared" si="210"/>
        <v>2432</v>
      </c>
      <c r="M165" s="220">
        <f t="shared" si="210"/>
        <v>2355</v>
      </c>
      <c r="N165" s="220">
        <f t="shared" si="210"/>
        <v>2317</v>
      </c>
      <c r="O165" s="220">
        <f t="shared" si="210"/>
        <v>2514</v>
      </c>
      <c r="P165" s="220">
        <f t="shared" si="200"/>
        <v>2000</v>
      </c>
      <c r="Q165" s="220">
        <f t="shared" si="200"/>
        <v>2000</v>
      </c>
      <c r="R165" s="220">
        <f t="shared" si="200"/>
        <v>2000</v>
      </c>
      <c r="S165" s="220">
        <f t="shared" si="200"/>
        <v>2000</v>
      </c>
      <c r="T165" s="220">
        <f t="shared" si="200"/>
        <v>2000</v>
      </c>
      <c r="U165" s="220">
        <f t="shared" si="201"/>
        <v>488</v>
      </c>
      <c r="V165" s="220">
        <f t="shared" si="201"/>
        <v>432</v>
      </c>
      <c r="W165" s="220">
        <f t="shared" si="201"/>
        <v>355</v>
      </c>
      <c r="X165" s="220">
        <f t="shared" si="201"/>
        <v>317</v>
      </c>
      <c r="Y165" s="220">
        <f t="shared" si="201"/>
        <v>514</v>
      </c>
      <c r="Z165" s="220">
        <v>1</v>
      </c>
      <c r="AA165" s="220">
        <v>0</v>
      </c>
      <c r="AB165" s="220">
        <v>1</v>
      </c>
      <c r="AC165" s="220">
        <v>0</v>
      </c>
      <c r="AD165" s="220">
        <v>0</v>
      </c>
      <c r="AE165" s="220">
        <f t="shared" si="202"/>
        <v>-121</v>
      </c>
      <c r="AF165" s="220">
        <f t="shared" si="202"/>
        <v>-147</v>
      </c>
      <c r="AG165" s="220">
        <f t="shared" si="202"/>
        <v>-244</v>
      </c>
      <c r="AH165" s="220">
        <f t="shared" si="202"/>
        <v>-232</v>
      </c>
      <c r="AI165" s="220">
        <f t="shared" si="202"/>
        <v>-135</v>
      </c>
      <c r="AJ165" s="50">
        <f t="shared" si="182"/>
        <v>1.5550000000000093</v>
      </c>
      <c r="AK165" s="257"/>
      <c r="AL165" s="257">
        <f t="shared" si="183"/>
        <v>1.2</v>
      </c>
      <c r="AM165" s="52"/>
      <c r="AN165" s="88"/>
    </row>
    <row r="166" spans="1:40" s="29" customFormat="1" ht="17.25" customHeight="1">
      <c r="A166" s="48">
        <v>157</v>
      </c>
      <c r="B166" s="49">
        <f t="shared" si="175"/>
        <v>45709</v>
      </c>
      <c r="C166" s="220">
        <f t="shared" si="176"/>
        <v>1049</v>
      </c>
      <c r="D166" s="220">
        <f t="shared" ref="D166" si="212">D165+15</f>
        <v>2004</v>
      </c>
      <c r="E166" s="220">
        <f t="shared" si="178"/>
        <v>3053</v>
      </c>
      <c r="F166" s="220">
        <f t="shared" si="170"/>
        <v>565</v>
      </c>
      <c r="G166" s="220">
        <f t="shared" si="171"/>
        <v>623</v>
      </c>
      <c r="H166" s="220">
        <f t="shared" si="172"/>
        <v>698</v>
      </c>
      <c r="I166" s="220">
        <f t="shared" si="173"/>
        <v>736</v>
      </c>
      <c r="J166" s="220">
        <f t="shared" si="174"/>
        <v>539</v>
      </c>
      <c r="K166" s="220">
        <f t="shared" si="210"/>
        <v>2488</v>
      </c>
      <c r="L166" s="220">
        <f t="shared" si="210"/>
        <v>2430</v>
      </c>
      <c r="M166" s="220">
        <f t="shared" si="210"/>
        <v>2355</v>
      </c>
      <c r="N166" s="220">
        <f t="shared" si="210"/>
        <v>2317</v>
      </c>
      <c r="O166" s="220">
        <f t="shared" si="210"/>
        <v>2514</v>
      </c>
      <c r="P166" s="220">
        <f t="shared" si="200"/>
        <v>2000</v>
      </c>
      <c r="Q166" s="220">
        <f t="shared" si="200"/>
        <v>2000</v>
      </c>
      <c r="R166" s="220">
        <f t="shared" si="200"/>
        <v>2000</v>
      </c>
      <c r="S166" s="220">
        <f t="shared" si="200"/>
        <v>2000</v>
      </c>
      <c r="T166" s="220">
        <f t="shared" si="200"/>
        <v>2000</v>
      </c>
      <c r="U166" s="220">
        <f t="shared" si="201"/>
        <v>488</v>
      </c>
      <c r="V166" s="220">
        <f t="shared" si="201"/>
        <v>430</v>
      </c>
      <c r="W166" s="220">
        <f t="shared" si="201"/>
        <v>355</v>
      </c>
      <c r="X166" s="220">
        <f t="shared" si="201"/>
        <v>317</v>
      </c>
      <c r="Y166" s="220">
        <f t="shared" si="201"/>
        <v>514</v>
      </c>
      <c r="Z166" s="220">
        <v>0</v>
      </c>
      <c r="AA166" s="220">
        <v>2</v>
      </c>
      <c r="AB166" s="220">
        <v>0</v>
      </c>
      <c r="AC166" s="220">
        <v>0</v>
      </c>
      <c r="AD166" s="220">
        <v>0</v>
      </c>
      <c r="AE166" s="220">
        <f t="shared" si="202"/>
        <v>-121</v>
      </c>
      <c r="AF166" s="220">
        <f t="shared" si="202"/>
        <v>-149</v>
      </c>
      <c r="AG166" s="220">
        <f t="shared" si="202"/>
        <v>-244</v>
      </c>
      <c r="AH166" s="220">
        <f t="shared" si="202"/>
        <v>-232</v>
      </c>
      <c r="AI166" s="220">
        <f t="shared" si="202"/>
        <v>-135</v>
      </c>
      <c r="AJ166" s="50">
        <f t="shared" si="182"/>
        <v>1.5550000000000093</v>
      </c>
      <c r="AK166" s="257"/>
      <c r="AL166" s="257">
        <f t="shared" si="183"/>
        <v>1.2</v>
      </c>
      <c r="AM166" s="52"/>
      <c r="AN166" s="88"/>
    </row>
    <row r="167" spans="1:40" s="29" customFormat="1" ht="17.25" customHeight="1">
      <c r="A167" s="48">
        <v>158</v>
      </c>
      <c r="B167" s="49">
        <f t="shared" si="175"/>
        <v>45710</v>
      </c>
      <c r="C167" s="220">
        <f t="shared" si="176"/>
        <v>1049</v>
      </c>
      <c r="D167" s="220">
        <f t="shared" ref="D167" si="213">D166+26</f>
        <v>2030</v>
      </c>
      <c r="E167" s="220">
        <f t="shared" si="178"/>
        <v>3079</v>
      </c>
      <c r="F167" s="220">
        <f t="shared" si="170"/>
        <v>592</v>
      </c>
      <c r="G167" s="220">
        <f t="shared" si="171"/>
        <v>649</v>
      </c>
      <c r="H167" s="220">
        <f t="shared" si="172"/>
        <v>724</v>
      </c>
      <c r="I167" s="220">
        <f t="shared" si="173"/>
        <v>762</v>
      </c>
      <c r="J167" s="220">
        <f t="shared" si="174"/>
        <v>565</v>
      </c>
      <c r="K167" s="220">
        <f t="shared" si="210"/>
        <v>2487</v>
      </c>
      <c r="L167" s="220">
        <f t="shared" si="210"/>
        <v>2430</v>
      </c>
      <c r="M167" s="220">
        <f t="shared" si="210"/>
        <v>2355</v>
      </c>
      <c r="N167" s="220">
        <f t="shared" si="210"/>
        <v>2317</v>
      </c>
      <c r="O167" s="220">
        <f t="shared" si="210"/>
        <v>2514</v>
      </c>
      <c r="P167" s="220">
        <f t="shared" si="200"/>
        <v>2000</v>
      </c>
      <c r="Q167" s="220">
        <f t="shared" si="200"/>
        <v>2000</v>
      </c>
      <c r="R167" s="220">
        <f t="shared" si="200"/>
        <v>2000</v>
      </c>
      <c r="S167" s="220">
        <f t="shared" si="200"/>
        <v>2000</v>
      </c>
      <c r="T167" s="220">
        <f t="shared" si="200"/>
        <v>2000</v>
      </c>
      <c r="U167" s="220">
        <f t="shared" si="201"/>
        <v>487</v>
      </c>
      <c r="V167" s="220">
        <f t="shared" si="201"/>
        <v>430</v>
      </c>
      <c r="W167" s="220">
        <f t="shared" si="201"/>
        <v>355</v>
      </c>
      <c r="X167" s="220">
        <f t="shared" si="201"/>
        <v>317</v>
      </c>
      <c r="Y167" s="220">
        <f t="shared" si="201"/>
        <v>514</v>
      </c>
      <c r="Z167" s="220">
        <v>1</v>
      </c>
      <c r="AA167" s="220">
        <v>0</v>
      </c>
      <c r="AB167" s="220">
        <v>0</v>
      </c>
      <c r="AC167" s="220">
        <v>0</v>
      </c>
      <c r="AD167" s="220">
        <v>0</v>
      </c>
      <c r="AE167" s="220">
        <f t="shared" si="202"/>
        <v>-122</v>
      </c>
      <c r="AF167" s="220">
        <f t="shared" si="202"/>
        <v>-149</v>
      </c>
      <c r="AG167" s="220">
        <f t="shared" si="202"/>
        <v>-244</v>
      </c>
      <c r="AH167" s="220">
        <f t="shared" si="202"/>
        <v>-232</v>
      </c>
      <c r="AI167" s="220">
        <f t="shared" si="202"/>
        <v>-135</v>
      </c>
      <c r="AJ167" s="50">
        <f t="shared" si="182"/>
        <v>1.5550000000000093</v>
      </c>
      <c r="AK167" s="257"/>
      <c r="AL167" s="257">
        <f t="shared" si="183"/>
        <v>1.2</v>
      </c>
      <c r="AM167" s="52"/>
      <c r="AN167" s="88"/>
    </row>
    <row r="168" spans="1:40" s="29" customFormat="1" ht="17.25" customHeight="1">
      <c r="A168" s="48">
        <v>159</v>
      </c>
      <c r="B168" s="49">
        <f t="shared" si="175"/>
        <v>45711</v>
      </c>
      <c r="C168" s="220">
        <f t="shared" si="176"/>
        <v>1049</v>
      </c>
      <c r="D168" s="220">
        <f t="shared" ref="D168" si="214">D167+32</f>
        <v>2062</v>
      </c>
      <c r="E168" s="220">
        <f t="shared" si="178"/>
        <v>3111</v>
      </c>
      <c r="F168" s="220">
        <f t="shared" si="170"/>
        <v>624</v>
      </c>
      <c r="G168" s="220">
        <f t="shared" si="171"/>
        <v>681</v>
      </c>
      <c r="H168" s="220">
        <f t="shared" si="172"/>
        <v>757</v>
      </c>
      <c r="I168" s="220">
        <f t="shared" si="173"/>
        <v>797</v>
      </c>
      <c r="J168" s="220">
        <f t="shared" si="174"/>
        <v>599</v>
      </c>
      <c r="K168" s="220">
        <f t="shared" si="210"/>
        <v>2487</v>
      </c>
      <c r="L168" s="220">
        <f t="shared" si="210"/>
        <v>2430</v>
      </c>
      <c r="M168" s="220">
        <f t="shared" si="210"/>
        <v>2354</v>
      </c>
      <c r="N168" s="220">
        <f t="shared" si="210"/>
        <v>2314</v>
      </c>
      <c r="O168" s="220">
        <f t="shared" si="210"/>
        <v>2512</v>
      </c>
      <c r="P168" s="220">
        <f t="shared" si="200"/>
        <v>2000</v>
      </c>
      <c r="Q168" s="220">
        <f t="shared" si="200"/>
        <v>2000</v>
      </c>
      <c r="R168" s="220">
        <f t="shared" si="200"/>
        <v>2000</v>
      </c>
      <c r="S168" s="220">
        <f t="shared" si="200"/>
        <v>2000</v>
      </c>
      <c r="T168" s="220">
        <f t="shared" si="200"/>
        <v>2000</v>
      </c>
      <c r="U168" s="220">
        <f t="shared" si="201"/>
        <v>487</v>
      </c>
      <c r="V168" s="220">
        <f t="shared" si="201"/>
        <v>430</v>
      </c>
      <c r="W168" s="220">
        <f t="shared" si="201"/>
        <v>354</v>
      </c>
      <c r="X168" s="220">
        <f t="shared" si="201"/>
        <v>314</v>
      </c>
      <c r="Y168" s="220">
        <f t="shared" si="201"/>
        <v>512</v>
      </c>
      <c r="Z168" s="220">
        <v>0</v>
      </c>
      <c r="AA168" s="220">
        <v>0</v>
      </c>
      <c r="AB168" s="220">
        <v>1</v>
      </c>
      <c r="AC168" s="220">
        <v>3</v>
      </c>
      <c r="AD168" s="220">
        <v>2</v>
      </c>
      <c r="AE168" s="220">
        <f t="shared" si="202"/>
        <v>-122</v>
      </c>
      <c r="AF168" s="220">
        <f t="shared" si="202"/>
        <v>-149</v>
      </c>
      <c r="AG168" s="220">
        <f t="shared" si="202"/>
        <v>-245</v>
      </c>
      <c r="AH168" s="220">
        <f t="shared" si="202"/>
        <v>-235</v>
      </c>
      <c r="AI168" s="220">
        <f t="shared" si="202"/>
        <v>-137</v>
      </c>
      <c r="AJ168" s="50">
        <f t="shared" si="182"/>
        <v>1.5540000000000094</v>
      </c>
      <c r="AK168" s="257"/>
      <c r="AL168" s="257">
        <f t="shared" si="183"/>
        <v>1.2</v>
      </c>
      <c r="AM168" s="52"/>
      <c r="AN168" s="88"/>
    </row>
    <row r="169" spans="1:40" s="29" customFormat="1" ht="17.25" customHeight="1">
      <c r="A169" s="48">
        <v>160</v>
      </c>
      <c r="B169" s="49">
        <f t="shared" si="175"/>
        <v>45712</v>
      </c>
      <c r="C169" s="220">
        <f t="shared" si="176"/>
        <v>1049</v>
      </c>
      <c r="D169" s="220">
        <f t="shared" ref="D169" si="215">D168-18</f>
        <v>2044</v>
      </c>
      <c r="E169" s="220">
        <f t="shared" si="178"/>
        <v>3093</v>
      </c>
      <c r="F169" s="220">
        <f t="shared" si="170"/>
        <v>607</v>
      </c>
      <c r="G169" s="220">
        <f t="shared" si="171"/>
        <v>664</v>
      </c>
      <c r="H169" s="220">
        <f t="shared" si="172"/>
        <v>739</v>
      </c>
      <c r="I169" s="220">
        <f t="shared" si="173"/>
        <v>779</v>
      </c>
      <c r="J169" s="220">
        <f t="shared" si="174"/>
        <v>581</v>
      </c>
      <c r="K169" s="220">
        <f t="shared" si="210"/>
        <v>2486</v>
      </c>
      <c r="L169" s="220">
        <f t="shared" si="210"/>
        <v>2429</v>
      </c>
      <c r="M169" s="220">
        <f t="shared" si="210"/>
        <v>2354</v>
      </c>
      <c r="N169" s="220">
        <f t="shared" si="210"/>
        <v>2314</v>
      </c>
      <c r="O169" s="220">
        <f t="shared" si="210"/>
        <v>2512</v>
      </c>
      <c r="P169" s="220">
        <f t="shared" si="200"/>
        <v>2000</v>
      </c>
      <c r="Q169" s="220">
        <f t="shared" si="200"/>
        <v>2000</v>
      </c>
      <c r="R169" s="220">
        <f t="shared" si="200"/>
        <v>2000</v>
      </c>
      <c r="S169" s="220">
        <f t="shared" si="200"/>
        <v>2000</v>
      </c>
      <c r="T169" s="220">
        <f t="shared" si="200"/>
        <v>2000</v>
      </c>
      <c r="U169" s="220">
        <f t="shared" si="201"/>
        <v>486</v>
      </c>
      <c r="V169" s="220">
        <f t="shared" si="201"/>
        <v>429</v>
      </c>
      <c r="W169" s="220">
        <f t="shared" si="201"/>
        <v>354</v>
      </c>
      <c r="X169" s="220">
        <f t="shared" si="201"/>
        <v>314</v>
      </c>
      <c r="Y169" s="220">
        <f t="shared" si="201"/>
        <v>512</v>
      </c>
      <c r="Z169" s="220">
        <v>1</v>
      </c>
      <c r="AA169" s="220">
        <v>1</v>
      </c>
      <c r="AB169" s="220">
        <v>0</v>
      </c>
      <c r="AC169" s="220">
        <v>0</v>
      </c>
      <c r="AD169" s="220">
        <v>0</v>
      </c>
      <c r="AE169" s="220">
        <f t="shared" si="202"/>
        <v>-123</v>
      </c>
      <c r="AF169" s="220">
        <f t="shared" si="202"/>
        <v>-150</v>
      </c>
      <c r="AG169" s="220">
        <f t="shared" si="202"/>
        <v>-245</v>
      </c>
      <c r="AH169" s="220">
        <f t="shared" si="202"/>
        <v>-235</v>
      </c>
      <c r="AI169" s="220">
        <f t="shared" si="202"/>
        <v>-137</v>
      </c>
      <c r="AJ169" s="50">
        <f t="shared" si="182"/>
        <v>1.5540000000000094</v>
      </c>
      <c r="AK169" s="257"/>
      <c r="AL169" s="257">
        <f t="shared" si="183"/>
        <v>1.2</v>
      </c>
      <c r="AM169" s="52"/>
      <c r="AN169" s="88"/>
    </row>
    <row r="170" spans="1:40" s="29" customFormat="1" ht="17.25" customHeight="1">
      <c r="A170" s="48">
        <v>161</v>
      </c>
      <c r="B170" s="49">
        <f t="shared" si="175"/>
        <v>45713</v>
      </c>
      <c r="C170" s="220">
        <f t="shared" si="176"/>
        <v>1049</v>
      </c>
      <c r="D170" s="220">
        <f t="shared" ref="D170" si="216">D169-26</f>
        <v>2018</v>
      </c>
      <c r="E170" s="220">
        <f t="shared" si="178"/>
        <v>3067</v>
      </c>
      <c r="F170" s="220">
        <f t="shared" si="170"/>
        <v>581</v>
      </c>
      <c r="G170" s="220">
        <f t="shared" si="171"/>
        <v>639</v>
      </c>
      <c r="H170" s="220">
        <f t="shared" si="172"/>
        <v>715</v>
      </c>
      <c r="I170" s="220">
        <f t="shared" si="173"/>
        <v>753</v>
      </c>
      <c r="J170" s="220">
        <f t="shared" si="174"/>
        <v>557</v>
      </c>
      <c r="K170" s="220">
        <f t="shared" si="210"/>
        <v>2486</v>
      </c>
      <c r="L170" s="220">
        <f t="shared" si="210"/>
        <v>2428</v>
      </c>
      <c r="M170" s="220">
        <f t="shared" si="210"/>
        <v>2352</v>
      </c>
      <c r="N170" s="220">
        <f t="shared" si="210"/>
        <v>2314</v>
      </c>
      <c r="O170" s="220">
        <f t="shared" si="210"/>
        <v>2510</v>
      </c>
      <c r="P170" s="220">
        <f t="shared" si="200"/>
        <v>2000</v>
      </c>
      <c r="Q170" s="220">
        <f t="shared" si="200"/>
        <v>2000</v>
      </c>
      <c r="R170" s="220">
        <f t="shared" si="200"/>
        <v>2000</v>
      </c>
      <c r="S170" s="220">
        <f t="shared" si="200"/>
        <v>2000</v>
      </c>
      <c r="T170" s="220">
        <f t="shared" si="200"/>
        <v>2000</v>
      </c>
      <c r="U170" s="220">
        <f t="shared" si="201"/>
        <v>486</v>
      </c>
      <c r="V170" s="220">
        <f t="shared" si="201"/>
        <v>428</v>
      </c>
      <c r="W170" s="220">
        <f t="shared" si="201"/>
        <v>352</v>
      </c>
      <c r="X170" s="220">
        <f t="shared" si="201"/>
        <v>314</v>
      </c>
      <c r="Y170" s="220">
        <f t="shared" si="201"/>
        <v>510</v>
      </c>
      <c r="Z170" s="220">
        <v>0</v>
      </c>
      <c r="AA170" s="220">
        <v>1</v>
      </c>
      <c r="AB170" s="220">
        <v>2</v>
      </c>
      <c r="AC170" s="220">
        <v>0</v>
      </c>
      <c r="AD170" s="220">
        <v>2</v>
      </c>
      <c r="AE170" s="220">
        <f t="shared" si="202"/>
        <v>-123</v>
      </c>
      <c r="AF170" s="220">
        <f t="shared" si="202"/>
        <v>-151</v>
      </c>
      <c r="AG170" s="220">
        <f t="shared" si="202"/>
        <v>-247</v>
      </c>
      <c r="AH170" s="220">
        <f t="shared" si="202"/>
        <v>-235</v>
      </c>
      <c r="AI170" s="220">
        <f t="shared" si="202"/>
        <v>-139</v>
      </c>
      <c r="AJ170" s="50">
        <f t="shared" si="182"/>
        <v>1.5520000000000094</v>
      </c>
      <c r="AK170" s="257"/>
      <c r="AL170" s="257">
        <f t="shared" si="183"/>
        <v>1.2</v>
      </c>
      <c r="AM170" s="52"/>
      <c r="AN170" s="88"/>
    </row>
    <row r="171" spans="1:40" s="29" customFormat="1" ht="17.25" customHeight="1">
      <c r="A171" s="48">
        <v>162</v>
      </c>
      <c r="B171" s="49">
        <f t="shared" si="175"/>
        <v>45714</v>
      </c>
      <c r="C171" s="220">
        <f t="shared" si="176"/>
        <v>1049</v>
      </c>
      <c r="D171" s="220">
        <f t="shared" ref="D171" si="217">D170+15</f>
        <v>2033</v>
      </c>
      <c r="E171" s="220">
        <f t="shared" si="178"/>
        <v>3082</v>
      </c>
      <c r="F171" s="220">
        <f t="shared" si="170"/>
        <v>597</v>
      </c>
      <c r="G171" s="220">
        <f t="shared" si="171"/>
        <v>654</v>
      </c>
      <c r="H171" s="220">
        <f t="shared" si="172"/>
        <v>734</v>
      </c>
      <c r="I171" s="220">
        <f t="shared" si="173"/>
        <v>770</v>
      </c>
      <c r="J171" s="220">
        <f t="shared" si="174"/>
        <v>572</v>
      </c>
      <c r="K171" s="220">
        <f t="shared" si="210"/>
        <v>2485</v>
      </c>
      <c r="L171" s="220">
        <f t="shared" si="210"/>
        <v>2428</v>
      </c>
      <c r="M171" s="220">
        <f t="shared" si="210"/>
        <v>2348</v>
      </c>
      <c r="N171" s="220">
        <f t="shared" si="210"/>
        <v>2312</v>
      </c>
      <c r="O171" s="220">
        <f t="shared" si="210"/>
        <v>2510</v>
      </c>
      <c r="P171" s="220">
        <f t="shared" si="200"/>
        <v>2000</v>
      </c>
      <c r="Q171" s="220">
        <f t="shared" si="200"/>
        <v>2000</v>
      </c>
      <c r="R171" s="220">
        <f t="shared" si="200"/>
        <v>2000</v>
      </c>
      <c r="S171" s="220">
        <f t="shared" si="200"/>
        <v>2000</v>
      </c>
      <c r="T171" s="220">
        <f t="shared" si="200"/>
        <v>2000</v>
      </c>
      <c r="U171" s="220">
        <f t="shared" si="201"/>
        <v>485</v>
      </c>
      <c r="V171" s="220">
        <f t="shared" si="201"/>
        <v>428</v>
      </c>
      <c r="W171" s="220">
        <f t="shared" si="201"/>
        <v>348</v>
      </c>
      <c r="X171" s="220">
        <f t="shared" si="201"/>
        <v>312</v>
      </c>
      <c r="Y171" s="220">
        <f t="shared" si="201"/>
        <v>510</v>
      </c>
      <c r="Z171" s="220">
        <v>1</v>
      </c>
      <c r="AA171" s="220">
        <v>0</v>
      </c>
      <c r="AB171" s="220">
        <v>4</v>
      </c>
      <c r="AC171" s="220">
        <v>2</v>
      </c>
      <c r="AD171" s="220">
        <v>0</v>
      </c>
      <c r="AE171" s="220">
        <f t="shared" si="202"/>
        <v>-124</v>
      </c>
      <c r="AF171" s="220">
        <f t="shared" si="202"/>
        <v>-151</v>
      </c>
      <c r="AG171" s="220">
        <f t="shared" si="202"/>
        <v>-251</v>
      </c>
      <c r="AH171" s="220">
        <f t="shared" si="202"/>
        <v>-237</v>
      </c>
      <c r="AI171" s="220">
        <f t="shared" si="202"/>
        <v>-139</v>
      </c>
      <c r="AJ171" s="50">
        <f t="shared" si="182"/>
        <v>1.5480000000000094</v>
      </c>
      <c r="AK171" s="257"/>
      <c r="AL171" s="257">
        <f t="shared" si="183"/>
        <v>1.2</v>
      </c>
      <c r="AM171" s="52"/>
      <c r="AN171" s="88"/>
    </row>
    <row r="172" spans="1:40" s="29" customFormat="1" ht="17.25" customHeight="1">
      <c r="A172" s="48">
        <v>163</v>
      </c>
      <c r="B172" s="49">
        <f t="shared" si="175"/>
        <v>45715</v>
      </c>
      <c r="C172" s="220">
        <f t="shared" si="176"/>
        <v>1049</v>
      </c>
      <c r="D172" s="220">
        <f t="shared" ref="D172" si="218">D171+26</f>
        <v>2059</v>
      </c>
      <c r="E172" s="220">
        <f t="shared" si="178"/>
        <v>3108</v>
      </c>
      <c r="F172" s="220">
        <f t="shared" si="170"/>
        <v>623</v>
      </c>
      <c r="G172" s="220">
        <f t="shared" si="171"/>
        <v>681</v>
      </c>
      <c r="H172" s="220">
        <f t="shared" si="172"/>
        <v>761</v>
      </c>
      <c r="I172" s="220">
        <f t="shared" si="173"/>
        <v>796</v>
      </c>
      <c r="J172" s="220">
        <f t="shared" si="174"/>
        <v>598</v>
      </c>
      <c r="K172" s="220">
        <f t="shared" si="210"/>
        <v>2485</v>
      </c>
      <c r="L172" s="220">
        <f t="shared" si="210"/>
        <v>2427</v>
      </c>
      <c r="M172" s="220">
        <f t="shared" si="210"/>
        <v>2347</v>
      </c>
      <c r="N172" s="220">
        <f t="shared" si="210"/>
        <v>2312</v>
      </c>
      <c r="O172" s="220">
        <f t="shared" si="210"/>
        <v>2510</v>
      </c>
      <c r="P172" s="220">
        <f t="shared" ref="P172:T187" si="219">+P171</f>
        <v>2000</v>
      </c>
      <c r="Q172" s="220">
        <f t="shared" si="219"/>
        <v>2000</v>
      </c>
      <c r="R172" s="220">
        <f t="shared" si="219"/>
        <v>2000</v>
      </c>
      <c r="S172" s="220">
        <f t="shared" si="219"/>
        <v>2000</v>
      </c>
      <c r="T172" s="220">
        <f t="shared" si="219"/>
        <v>2000</v>
      </c>
      <c r="U172" s="220">
        <f t="shared" ref="U172:Y187" si="220">U171-Z172</f>
        <v>485</v>
      </c>
      <c r="V172" s="220">
        <f t="shared" si="220"/>
        <v>427</v>
      </c>
      <c r="W172" s="220">
        <f t="shared" si="220"/>
        <v>347</v>
      </c>
      <c r="X172" s="220">
        <f t="shared" si="220"/>
        <v>312</v>
      </c>
      <c r="Y172" s="220">
        <f t="shared" si="220"/>
        <v>510</v>
      </c>
      <c r="Z172" s="220">
        <v>0</v>
      </c>
      <c r="AA172" s="220">
        <v>1</v>
      </c>
      <c r="AB172" s="220">
        <v>1</v>
      </c>
      <c r="AC172" s="220">
        <v>0</v>
      </c>
      <c r="AD172" s="220">
        <v>0</v>
      </c>
      <c r="AE172" s="220">
        <f t="shared" ref="AE172:AI187" si="221">AE171-Z172</f>
        <v>-124</v>
      </c>
      <c r="AF172" s="220">
        <f t="shared" si="221"/>
        <v>-152</v>
      </c>
      <c r="AG172" s="220">
        <f t="shared" si="221"/>
        <v>-252</v>
      </c>
      <c r="AH172" s="220">
        <f t="shared" si="221"/>
        <v>-237</v>
      </c>
      <c r="AI172" s="220">
        <f t="shared" si="221"/>
        <v>-139</v>
      </c>
      <c r="AJ172" s="50">
        <f t="shared" si="182"/>
        <v>1.5470000000000095</v>
      </c>
      <c r="AK172" s="257"/>
      <c r="AL172" s="257">
        <f t="shared" si="183"/>
        <v>1.2</v>
      </c>
      <c r="AM172" s="52"/>
      <c r="AN172" s="88"/>
    </row>
    <row r="173" spans="1:40" s="29" customFormat="1" ht="17.25" customHeight="1">
      <c r="A173" s="48">
        <v>164</v>
      </c>
      <c r="B173" s="49">
        <f t="shared" si="175"/>
        <v>45716</v>
      </c>
      <c r="C173" s="220">
        <f t="shared" si="176"/>
        <v>1049</v>
      </c>
      <c r="D173" s="220">
        <f t="shared" ref="D173" si="222">D172+32</f>
        <v>2091</v>
      </c>
      <c r="E173" s="220">
        <f t="shared" si="178"/>
        <v>3140</v>
      </c>
      <c r="F173" s="220">
        <f t="shared" si="170"/>
        <v>655</v>
      </c>
      <c r="G173" s="220">
        <f t="shared" si="171"/>
        <v>713</v>
      </c>
      <c r="H173" s="220">
        <f t="shared" si="172"/>
        <v>793</v>
      </c>
      <c r="I173" s="220">
        <f t="shared" si="173"/>
        <v>828</v>
      </c>
      <c r="J173" s="220">
        <f t="shared" si="174"/>
        <v>630</v>
      </c>
      <c r="K173" s="220">
        <f t="shared" si="210"/>
        <v>2485</v>
      </c>
      <c r="L173" s="220">
        <f t="shared" si="210"/>
        <v>2427</v>
      </c>
      <c r="M173" s="220">
        <f t="shared" si="210"/>
        <v>2347</v>
      </c>
      <c r="N173" s="220">
        <f t="shared" si="210"/>
        <v>2312</v>
      </c>
      <c r="O173" s="220">
        <f t="shared" si="210"/>
        <v>2510</v>
      </c>
      <c r="P173" s="220">
        <f t="shared" si="219"/>
        <v>2000</v>
      </c>
      <c r="Q173" s="220">
        <f t="shared" si="219"/>
        <v>2000</v>
      </c>
      <c r="R173" s="220">
        <f t="shared" si="219"/>
        <v>2000</v>
      </c>
      <c r="S173" s="220">
        <f t="shared" si="219"/>
        <v>2000</v>
      </c>
      <c r="T173" s="220">
        <f t="shared" si="219"/>
        <v>2000</v>
      </c>
      <c r="U173" s="220">
        <f t="shared" si="220"/>
        <v>485</v>
      </c>
      <c r="V173" s="220">
        <f t="shared" si="220"/>
        <v>427</v>
      </c>
      <c r="W173" s="220">
        <f t="shared" si="220"/>
        <v>347</v>
      </c>
      <c r="X173" s="220">
        <f t="shared" si="220"/>
        <v>312</v>
      </c>
      <c r="Y173" s="220">
        <f t="shared" si="220"/>
        <v>510</v>
      </c>
      <c r="Z173" s="220">
        <v>0</v>
      </c>
      <c r="AA173" s="220">
        <v>0</v>
      </c>
      <c r="AB173" s="220">
        <v>0</v>
      </c>
      <c r="AC173" s="220">
        <v>0</v>
      </c>
      <c r="AD173" s="220">
        <v>0</v>
      </c>
      <c r="AE173" s="220">
        <f t="shared" si="221"/>
        <v>-124</v>
      </c>
      <c r="AF173" s="220">
        <f t="shared" si="221"/>
        <v>-152</v>
      </c>
      <c r="AG173" s="220">
        <f t="shared" si="221"/>
        <v>-252</v>
      </c>
      <c r="AH173" s="220">
        <f t="shared" si="221"/>
        <v>-237</v>
      </c>
      <c r="AI173" s="220">
        <f t="shared" si="221"/>
        <v>-139</v>
      </c>
      <c r="AJ173" s="50">
        <f t="shared" si="182"/>
        <v>1.5470000000000095</v>
      </c>
      <c r="AK173" s="257"/>
      <c r="AL173" s="257">
        <f t="shared" si="183"/>
        <v>1.2</v>
      </c>
      <c r="AM173" s="52"/>
      <c r="AN173" s="88"/>
    </row>
    <row r="174" spans="1:40" s="29" customFormat="1" ht="17.25" customHeight="1">
      <c r="A174" s="48">
        <v>165</v>
      </c>
      <c r="B174" s="49">
        <f t="shared" si="175"/>
        <v>45717</v>
      </c>
      <c r="C174" s="220">
        <f t="shared" si="176"/>
        <v>1049</v>
      </c>
      <c r="D174" s="220">
        <f t="shared" ref="D174" si="223">D173-18</f>
        <v>2073</v>
      </c>
      <c r="E174" s="220">
        <f t="shared" si="178"/>
        <v>3122</v>
      </c>
      <c r="F174" s="220">
        <f t="shared" si="170"/>
        <v>637</v>
      </c>
      <c r="G174" s="220">
        <f t="shared" si="171"/>
        <v>696</v>
      </c>
      <c r="H174" s="220">
        <f t="shared" si="172"/>
        <v>776</v>
      </c>
      <c r="I174" s="220">
        <f t="shared" si="173"/>
        <v>811</v>
      </c>
      <c r="J174" s="220">
        <f t="shared" si="174"/>
        <v>612</v>
      </c>
      <c r="K174" s="220">
        <f t="shared" si="210"/>
        <v>2485</v>
      </c>
      <c r="L174" s="220">
        <f t="shared" si="210"/>
        <v>2426</v>
      </c>
      <c r="M174" s="220">
        <f t="shared" si="210"/>
        <v>2346</v>
      </c>
      <c r="N174" s="220">
        <f t="shared" si="210"/>
        <v>2311</v>
      </c>
      <c r="O174" s="220">
        <f t="shared" si="210"/>
        <v>2510</v>
      </c>
      <c r="P174" s="220">
        <f t="shared" si="219"/>
        <v>2000</v>
      </c>
      <c r="Q174" s="220">
        <f t="shared" si="219"/>
        <v>2000</v>
      </c>
      <c r="R174" s="220">
        <f t="shared" si="219"/>
        <v>2000</v>
      </c>
      <c r="S174" s="220">
        <f t="shared" si="219"/>
        <v>2000</v>
      </c>
      <c r="T174" s="220">
        <f t="shared" si="219"/>
        <v>2000</v>
      </c>
      <c r="U174" s="220">
        <f t="shared" si="220"/>
        <v>485</v>
      </c>
      <c r="V174" s="220">
        <f t="shared" si="220"/>
        <v>426</v>
      </c>
      <c r="W174" s="220">
        <f t="shared" si="220"/>
        <v>346</v>
      </c>
      <c r="X174" s="220">
        <f t="shared" si="220"/>
        <v>311</v>
      </c>
      <c r="Y174" s="220">
        <f t="shared" si="220"/>
        <v>510</v>
      </c>
      <c r="Z174" s="220">
        <v>0</v>
      </c>
      <c r="AA174" s="220">
        <v>1</v>
      </c>
      <c r="AB174" s="220">
        <v>1</v>
      </c>
      <c r="AC174" s="220">
        <v>1</v>
      </c>
      <c r="AD174" s="220">
        <v>0</v>
      </c>
      <c r="AE174" s="220">
        <f t="shared" si="221"/>
        <v>-124</v>
      </c>
      <c r="AF174" s="220">
        <f t="shared" si="221"/>
        <v>-153</v>
      </c>
      <c r="AG174" s="220">
        <f t="shared" si="221"/>
        <v>-253</v>
      </c>
      <c r="AH174" s="220">
        <f t="shared" si="221"/>
        <v>-238</v>
      </c>
      <c r="AI174" s="220">
        <f t="shared" si="221"/>
        <v>-139</v>
      </c>
      <c r="AJ174" s="50">
        <f t="shared" si="182"/>
        <v>1.5460000000000096</v>
      </c>
      <c r="AK174" s="257"/>
      <c r="AL174" s="257">
        <f t="shared" si="183"/>
        <v>1.2</v>
      </c>
      <c r="AM174" s="52"/>
      <c r="AN174" s="88"/>
    </row>
    <row r="175" spans="1:40" s="29" customFormat="1" ht="17.25" customHeight="1">
      <c r="A175" s="48">
        <v>166</v>
      </c>
      <c r="B175" s="49">
        <f t="shared" si="175"/>
        <v>45718</v>
      </c>
      <c r="C175" s="220">
        <f t="shared" si="176"/>
        <v>1049</v>
      </c>
      <c r="D175" s="220">
        <f t="shared" ref="D175:D199" si="224">D174-26</f>
        <v>2047</v>
      </c>
      <c r="E175" s="220">
        <f t="shared" si="178"/>
        <v>3096</v>
      </c>
      <c r="F175" s="220">
        <f t="shared" si="170"/>
        <v>611</v>
      </c>
      <c r="G175" s="220">
        <f t="shared" si="171"/>
        <v>672</v>
      </c>
      <c r="H175" s="220">
        <f t="shared" si="172"/>
        <v>750</v>
      </c>
      <c r="I175" s="220">
        <f t="shared" si="173"/>
        <v>786</v>
      </c>
      <c r="J175" s="220">
        <f t="shared" si="174"/>
        <v>586</v>
      </c>
      <c r="K175" s="220">
        <f t="shared" si="210"/>
        <v>2485</v>
      </c>
      <c r="L175" s="220">
        <f t="shared" si="210"/>
        <v>2424</v>
      </c>
      <c r="M175" s="220">
        <f t="shared" si="210"/>
        <v>2346</v>
      </c>
      <c r="N175" s="220">
        <f t="shared" si="210"/>
        <v>2310</v>
      </c>
      <c r="O175" s="220">
        <f t="shared" si="210"/>
        <v>2510</v>
      </c>
      <c r="P175" s="220">
        <f t="shared" si="219"/>
        <v>2000</v>
      </c>
      <c r="Q175" s="220">
        <f t="shared" si="219"/>
        <v>2000</v>
      </c>
      <c r="R175" s="220">
        <f t="shared" si="219"/>
        <v>2000</v>
      </c>
      <c r="S175" s="220">
        <f t="shared" si="219"/>
        <v>2000</v>
      </c>
      <c r="T175" s="220">
        <f t="shared" si="219"/>
        <v>2000</v>
      </c>
      <c r="U175" s="220">
        <f t="shared" si="220"/>
        <v>485</v>
      </c>
      <c r="V175" s="220">
        <f t="shared" si="220"/>
        <v>424</v>
      </c>
      <c r="W175" s="220">
        <f t="shared" si="220"/>
        <v>346</v>
      </c>
      <c r="X175" s="220">
        <f t="shared" si="220"/>
        <v>310</v>
      </c>
      <c r="Y175" s="220">
        <f t="shared" si="220"/>
        <v>510</v>
      </c>
      <c r="Z175" s="220">
        <v>0</v>
      </c>
      <c r="AA175" s="220">
        <v>2</v>
      </c>
      <c r="AB175" s="220">
        <v>0</v>
      </c>
      <c r="AC175" s="220">
        <v>1</v>
      </c>
      <c r="AD175" s="220">
        <v>0</v>
      </c>
      <c r="AE175" s="220">
        <f t="shared" si="221"/>
        <v>-124</v>
      </c>
      <c r="AF175" s="220">
        <f t="shared" si="221"/>
        <v>-155</v>
      </c>
      <c r="AG175" s="220">
        <f t="shared" si="221"/>
        <v>-253</v>
      </c>
      <c r="AH175" s="220">
        <f t="shared" si="221"/>
        <v>-239</v>
      </c>
      <c r="AI175" s="220">
        <f t="shared" si="221"/>
        <v>-139</v>
      </c>
      <c r="AJ175" s="50">
        <f t="shared" si="182"/>
        <v>1.5460000000000096</v>
      </c>
      <c r="AK175" s="257"/>
      <c r="AL175" s="257">
        <f t="shared" si="183"/>
        <v>1.2</v>
      </c>
      <c r="AM175" s="52"/>
      <c r="AN175" s="88"/>
    </row>
    <row r="176" spans="1:40" s="29" customFormat="1" ht="17.25" customHeight="1">
      <c r="A176" s="48">
        <v>167</v>
      </c>
      <c r="B176" s="49">
        <f t="shared" si="175"/>
        <v>45719</v>
      </c>
      <c r="C176" s="220">
        <f t="shared" si="176"/>
        <v>1049</v>
      </c>
      <c r="D176" s="220">
        <f t="shared" ref="D176:D201" si="225">D175+15</f>
        <v>2062</v>
      </c>
      <c r="E176" s="220">
        <f t="shared" si="178"/>
        <v>3111</v>
      </c>
      <c r="F176" s="220">
        <f t="shared" si="170"/>
        <v>626</v>
      </c>
      <c r="G176" s="220">
        <f t="shared" si="171"/>
        <v>689</v>
      </c>
      <c r="H176" s="220">
        <f t="shared" si="172"/>
        <v>766</v>
      </c>
      <c r="I176" s="220">
        <f t="shared" si="173"/>
        <v>801</v>
      </c>
      <c r="J176" s="220">
        <f t="shared" si="174"/>
        <v>601</v>
      </c>
      <c r="K176" s="220">
        <f t="shared" si="210"/>
        <v>2485</v>
      </c>
      <c r="L176" s="220">
        <f t="shared" si="210"/>
        <v>2422</v>
      </c>
      <c r="M176" s="220">
        <f t="shared" si="210"/>
        <v>2345</v>
      </c>
      <c r="N176" s="220">
        <f t="shared" si="210"/>
        <v>2310</v>
      </c>
      <c r="O176" s="220">
        <f t="shared" si="210"/>
        <v>2510</v>
      </c>
      <c r="P176" s="220">
        <f t="shared" si="219"/>
        <v>2000</v>
      </c>
      <c r="Q176" s="220">
        <f t="shared" si="219"/>
        <v>2000</v>
      </c>
      <c r="R176" s="220">
        <f t="shared" si="219"/>
        <v>2000</v>
      </c>
      <c r="S176" s="220">
        <f t="shared" si="219"/>
        <v>2000</v>
      </c>
      <c r="T176" s="220">
        <f t="shared" si="219"/>
        <v>2000</v>
      </c>
      <c r="U176" s="220">
        <f t="shared" si="220"/>
        <v>485</v>
      </c>
      <c r="V176" s="220">
        <f t="shared" si="220"/>
        <v>422</v>
      </c>
      <c r="W176" s="220">
        <f t="shared" si="220"/>
        <v>345</v>
      </c>
      <c r="X176" s="220">
        <f t="shared" si="220"/>
        <v>310</v>
      </c>
      <c r="Y176" s="220">
        <f t="shared" si="220"/>
        <v>510</v>
      </c>
      <c r="Z176" s="220">
        <v>0</v>
      </c>
      <c r="AA176" s="220">
        <v>2</v>
      </c>
      <c r="AB176" s="220">
        <v>1</v>
      </c>
      <c r="AC176" s="220">
        <v>0</v>
      </c>
      <c r="AD176" s="220">
        <v>0</v>
      </c>
      <c r="AE176" s="220">
        <f t="shared" si="221"/>
        <v>-124</v>
      </c>
      <c r="AF176" s="220">
        <f t="shared" si="221"/>
        <v>-157</v>
      </c>
      <c r="AG176" s="220">
        <f t="shared" si="221"/>
        <v>-254</v>
      </c>
      <c r="AH176" s="220">
        <f t="shared" si="221"/>
        <v>-239</v>
      </c>
      <c r="AI176" s="220">
        <f t="shared" si="221"/>
        <v>-139</v>
      </c>
      <c r="AJ176" s="50">
        <f t="shared" si="182"/>
        <v>1.5450000000000097</v>
      </c>
      <c r="AK176" s="257"/>
      <c r="AL176" s="257">
        <f t="shared" si="183"/>
        <v>1.2</v>
      </c>
      <c r="AM176" s="52"/>
      <c r="AN176" s="88"/>
    </row>
    <row r="177" spans="1:40" s="29" customFormat="1" ht="17.25" customHeight="1">
      <c r="A177" s="48">
        <v>168</v>
      </c>
      <c r="B177" s="49">
        <f t="shared" si="175"/>
        <v>45720</v>
      </c>
      <c r="C177" s="220">
        <f t="shared" si="176"/>
        <v>1049</v>
      </c>
      <c r="D177" s="220">
        <f t="shared" ref="D177" si="226">D176+26</f>
        <v>2088</v>
      </c>
      <c r="E177" s="220">
        <f t="shared" si="178"/>
        <v>3137</v>
      </c>
      <c r="F177" s="220">
        <f t="shared" si="170"/>
        <v>654</v>
      </c>
      <c r="G177" s="220">
        <f t="shared" si="171"/>
        <v>716</v>
      </c>
      <c r="H177" s="220">
        <f t="shared" si="172"/>
        <v>793</v>
      </c>
      <c r="I177" s="220">
        <f t="shared" si="173"/>
        <v>828</v>
      </c>
      <c r="J177" s="220">
        <f t="shared" si="174"/>
        <v>627</v>
      </c>
      <c r="K177" s="220">
        <f t="shared" si="210"/>
        <v>2483</v>
      </c>
      <c r="L177" s="220">
        <f t="shared" si="210"/>
        <v>2421</v>
      </c>
      <c r="M177" s="220">
        <f t="shared" si="210"/>
        <v>2344</v>
      </c>
      <c r="N177" s="220">
        <f t="shared" si="210"/>
        <v>2309</v>
      </c>
      <c r="O177" s="220">
        <f t="shared" si="210"/>
        <v>2510</v>
      </c>
      <c r="P177" s="220">
        <f t="shared" si="219"/>
        <v>2000</v>
      </c>
      <c r="Q177" s="220">
        <f t="shared" si="219"/>
        <v>2000</v>
      </c>
      <c r="R177" s="220">
        <f t="shared" si="219"/>
        <v>2000</v>
      </c>
      <c r="S177" s="220">
        <f t="shared" si="219"/>
        <v>2000</v>
      </c>
      <c r="T177" s="220">
        <f t="shared" si="219"/>
        <v>2000</v>
      </c>
      <c r="U177" s="220">
        <f t="shared" si="220"/>
        <v>483</v>
      </c>
      <c r="V177" s="220">
        <f t="shared" si="220"/>
        <v>421</v>
      </c>
      <c r="W177" s="220">
        <f t="shared" si="220"/>
        <v>344</v>
      </c>
      <c r="X177" s="220">
        <f t="shared" si="220"/>
        <v>309</v>
      </c>
      <c r="Y177" s="220">
        <f t="shared" si="220"/>
        <v>510</v>
      </c>
      <c r="Z177" s="220">
        <v>2</v>
      </c>
      <c r="AA177" s="220">
        <v>1</v>
      </c>
      <c r="AB177" s="220">
        <v>1</v>
      </c>
      <c r="AC177" s="220">
        <v>1</v>
      </c>
      <c r="AD177" s="220">
        <v>0</v>
      </c>
      <c r="AE177" s="220">
        <f t="shared" si="221"/>
        <v>-126</v>
      </c>
      <c r="AF177" s="220">
        <f t="shared" si="221"/>
        <v>-158</v>
      </c>
      <c r="AG177" s="220">
        <f t="shared" si="221"/>
        <v>-255</v>
      </c>
      <c r="AH177" s="220">
        <f t="shared" si="221"/>
        <v>-240</v>
      </c>
      <c r="AI177" s="220">
        <f t="shared" si="221"/>
        <v>-139</v>
      </c>
      <c r="AJ177" s="50">
        <f t="shared" si="182"/>
        <v>1.5440000000000098</v>
      </c>
      <c r="AK177" s="257"/>
      <c r="AL177" s="257">
        <f t="shared" si="183"/>
        <v>1.2</v>
      </c>
      <c r="AM177" s="52"/>
      <c r="AN177" s="88"/>
    </row>
    <row r="178" spans="1:40" s="29" customFormat="1" ht="17.25" customHeight="1">
      <c r="A178" s="48">
        <v>169</v>
      </c>
      <c r="B178" s="49">
        <f t="shared" si="175"/>
        <v>45721</v>
      </c>
      <c r="C178" s="220">
        <f t="shared" si="176"/>
        <v>1049</v>
      </c>
      <c r="D178" s="220">
        <f t="shared" ref="D178" si="227">D177+32</f>
        <v>2120</v>
      </c>
      <c r="E178" s="220">
        <f t="shared" si="178"/>
        <v>3169</v>
      </c>
      <c r="F178" s="220">
        <f t="shared" si="170"/>
        <v>686</v>
      </c>
      <c r="G178" s="220">
        <f t="shared" si="171"/>
        <v>748</v>
      </c>
      <c r="H178" s="220">
        <f t="shared" si="172"/>
        <v>825</v>
      </c>
      <c r="I178" s="220">
        <f t="shared" si="173"/>
        <v>860</v>
      </c>
      <c r="J178" s="220">
        <f t="shared" si="174"/>
        <v>660</v>
      </c>
      <c r="K178" s="220">
        <f t="shared" si="210"/>
        <v>2483</v>
      </c>
      <c r="L178" s="220">
        <f t="shared" si="210"/>
        <v>2421</v>
      </c>
      <c r="M178" s="220">
        <f t="shared" si="210"/>
        <v>2344</v>
      </c>
      <c r="N178" s="220">
        <f t="shared" si="210"/>
        <v>2309</v>
      </c>
      <c r="O178" s="220">
        <f t="shared" si="210"/>
        <v>2509</v>
      </c>
      <c r="P178" s="220">
        <f t="shared" si="219"/>
        <v>2000</v>
      </c>
      <c r="Q178" s="220">
        <f t="shared" si="219"/>
        <v>2000</v>
      </c>
      <c r="R178" s="220">
        <f t="shared" si="219"/>
        <v>2000</v>
      </c>
      <c r="S178" s="220">
        <f t="shared" si="219"/>
        <v>2000</v>
      </c>
      <c r="T178" s="220">
        <f t="shared" si="219"/>
        <v>2000</v>
      </c>
      <c r="U178" s="220">
        <f t="shared" si="220"/>
        <v>483</v>
      </c>
      <c r="V178" s="220">
        <f t="shared" si="220"/>
        <v>421</v>
      </c>
      <c r="W178" s="220">
        <f t="shared" si="220"/>
        <v>344</v>
      </c>
      <c r="X178" s="220">
        <f t="shared" si="220"/>
        <v>309</v>
      </c>
      <c r="Y178" s="220">
        <f t="shared" si="220"/>
        <v>509</v>
      </c>
      <c r="Z178" s="220">
        <v>0</v>
      </c>
      <c r="AA178" s="220">
        <v>0</v>
      </c>
      <c r="AB178" s="220">
        <v>0</v>
      </c>
      <c r="AC178" s="220">
        <v>0</v>
      </c>
      <c r="AD178" s="220">
        <v>1</v>
      </c>
      <c r="AE178" s="220">
        <f t="shared" si="221"/>
        <v>-126</v>
      </c>
      <c r="AF178" s="220">
        <f t="shared" si="221"/>
        <v>-158</v>
      </c>
      <c r="AG178" s="220">
        <f t="shared" si="221"/>
        <v>-255</v>
      </c>
      <c r="AH178" s="220">
        <f t="shared" si="221"/>
        <v>-240</v>
      </c>
      <c r="AI178" s="220">
        <f t="shared" si="221"/>
        <v>-140</v>
      </c>
      <c r="AJ178" s="50">
        <f t="shared" si="182"/>
        <v>1.5440000000000098</v>
      </c>
      <c r="AK178" s="257"/>
      <c r="AL178" s="257">
        <f t="shared" si="183"/>
        <v>1.2</v>
      </c>
      <c r="AM178" s="52"/>
      <c r="AN178" s="88"/>
    </row>
    <row r="179" spans="1:40" s="29" customFormat="1" ht="17.25" customHeight="1">
      <c r="A179" s="48">
        <v>170</v>
      </c>
      <c r="B179" s="49">
        <f t="shared" si="175"/>
        <v>45722</v>
      </c>
      <c r="C179" s="220">
        <f t="shared" si="176"/>
        <v>1049</v>
      </c>
      <c r="D179" s="220">
        <f t="shared" ref="D179" si="228">D178-18</f>
        <v>2102</v>
      </c>
      <c r="E179" s="220">
        <f t="shared" si="178"/>
        <v>3151</v>
      </c>
      <c r="F179" s="220">
        <f t="shared" si="170"/>
        <v>668</v>
      </c>
      <c r="G179" s="220">
        <f t="shared" si="171"/>
        <v>730</v>
      </c>
      <c r="H179" s="220">
        <f t="shared" si="172"/>
        <v>807</v>
      </c>
      <c r="I179" s="220">
        <f t="shared" si="173"/>
        <v>843</v>
      </c>
      <c r="J179" s="220">
        <f t="shared" si="174"/>
        <v>642</v>
      </c>
      <c r="K179" s="220">
        <f t="shared" si="210"/>
        <v>2483</v>
      </c>
      <c r="L179" s="220">
        <f t="shared" si="210"/>
        <v>2421</v>
      </c>
      <c r="M179" s="220">
        <f t="shared" si="210"/>
        <v>2344</v>
      </c>
      <c r="N179" s="220">
        <f t="shared" si="210"/>
        <v>2308</v>
      </c>
      <c r="O179" s="220">
        <f t="shared" si="210"/>
        <v>2509</v>
      </c>
      <c r="P179" s="220">
        <f t="shared" si="219"/>
        <v>2000</v>
      </c>
      <c r="Q179" s="220">
        <f t="shared" si="219"/>
        <v>2000</v>
      </c>
      <c r="R179" s="220">
        <f t="shared" si="219"/>
        <v>2000</v>
      </c>
      <c r="S179" s="220">
        <f t="shared" si="219"/>
        <v>2000</v>
      </c>
      <c r="T179" s="220">
        <f t="shared" si="219"/>
        <v>2000</v>
      </c>
      <c r="U179" s="220">
        <f t="shared" si="220"/>
        <v>483</v>
      </c>
      <c r="V179" s="220">
        <f t="shared" si="220"/>
        <v>421</v>
      </c>
      <c r="W179" s="220">
        <f t="shared" si="220"/>
        <v>344</v>
      </c>
      <c r="X179" s="220">
        <f t="shared" si="220"/>
        <v>308</v>
      </c>
      <c r="Y179" s="220">
        <f t="shared" si="220"/>
        <v>509</v>
      </c>
      <c r="Z179" s="220">
        <v>0</v>
      </c>
      <c r="AA179" s="220">
        <v>0</v>
      </c>
      <c r="AB179" s="220">
        <v>0</v>
      </c>
      <c r="AC179" s="220">
        <v>1</v>
      </c>
      <c r="AD179" s="220">
        <v>0</v>
      </c>
      <c r="AE179" s="220">
        <f t="shared" si="221"/>
        <v>-126</v>
      </c>
      <c r="AF179" s="220">
        <f t="shared" si="221"/>
        <v>-158</v>
      </c>
      <c r="AG179" s="220">
        <f t="shared" si="221"/>
        <v>-255</v>
      </c>
      <c r="AH179" s="220">
        <f t="shared" si="221"/>
        <v>-241</v>
      </c>
      <c r="AI179" s="220">
        <f t="shared" si="221"/>
        <v>-140</v>
      </c>
      <c r="AJ179" s="50">
        <f t="shared" si="182"/>
        <v>1.5440000000000098</v>
      </c>
      <c r="AK179" s="257"/>
      <c r="AL179" s="257">
        <f t="shared" si="183"/>
        <v>1.2</v>
      </c>
      <c r="AM179" s="52"/>
      <c r="AN179" s="88"/>
    </row>
    <row r="180" spans="1:40" s="29" customFormat="1" ht="17.25" customHeight="1">
      <c r="A180" s="48">
        <v>171</v>
      </c>
      <c r="B180" s="49">
        <f t="shared" si="175"/>
        <v>45723</v>
      </c>
      <c r="C180" s="220">
        <f t="shared" si="176"/>
        <v>1049</v>
      </c>
      <c r="D180" s="220">
        <f t="shared" ref="D180" si="229">D179-26</f>
        <v>2076</v>
      </c>
      <c r="E180" s="220">
        <f t="shared" si="178"/>
        <v>3125</v>
      </c>
      <c r="F180" s="220">
        <f t="shared" si="170"/>
        <v>645</v>
      </c>
      <c r="G180" s="220">
        <f t="shared" si="171"/>
        <v>707</v>
      </c>
      <c r="H180" s="220">
        <f t="shared" si="172"/>
        <v>782</v>
      </c>
      <c r="I180" s="220">
        <f t="shared" si="173"/>
        <v>819</v>
      </c>
      <c r="J180" s="220">
        <f t="shared" si="174"/>
        <v>616</v>
      </c>
      <c r="K180" s="220">
        <f t="shared" si="210"/>
        <v>2480</v>
      </c>
      <c r="L180" s="220">
        <f t="shared" si="210"/>
        <v>2418</v>
      </c>
      <c r="M180" s="220">
        <f t="shared" si="210"/>
        <v>2343</v>
      </c>
      <c r="N180" s="220">
        <f t="shared" si="210"/>
        <v>2306</v>
      </c>
      <c r="O180" s="220">
        <f t="shared" si="210"/>
        <v>2509</v>
      </c>
      <c r="P180" s="220">
        <f t="shared" si="219"/>
        <v>2000</v>
      </c>
      <c r="Q180" s="220">
        <f t="shared" si="219"/>
        <v>2000</v>
      </c>
      <c r="R180" s="220">
        <f t="shared" si="219"/>
        <v>2000</v>
      </c>
      <c r="S180" s="220">
        <f t="shared" si="219"/>
        <v>2000</v>
      </c>
      <c r="T180" s="220">
        <f t="shared" si="219"/>
        <v>2000</v>
      </c>
      <c r="U180" s="220">
        <f t="shared" si="220"/>
        <v>480</v>
      </c>
      <c r="V180" s="220">
        <f t="shared" si="220"/>
        <v>418</v>
      </c>
      <c r="W180" s="220">
        <f t="shared" si="220"/>
        <v>343</v>
      </c>
      <c r="X180" s="220">
        <f t="shared" si="220"/>
        <v>306</v>
      </c>
      <c r="Y180" s="220">
        <f t="shared" si="220"/>
        <v>509</v>
      </c>
      <c r="Z180" s="220">
        <v>3</v>
      </c>
      <c r="AA180" s="220">
        <v>3</v>
      </c>
      <c r="AB180" s="220">
        <v>1</v>
      </c>
      <c r="AC180" s="220">
        <v>2</v>
      </c>
      <c r="AD180" s="220">
        <v>0</v>
      </c>
      <c r="AE180" s="220">
        <f t="shared" si="221"/>
        <v>-129</v>
      </c>
      <c r="AF180" s="220">
        <f t="shared" si="221"/>
        <v>-161</v>
      </c>
      <c r="AG180" s="220">
        <f t="shared" si="221"/>
        <v>-256</v>
      </c>
      <c r="AH180" s="220">
        <f t="shared" si="221"/>
        <v>-243</v>
      </c>
      <c r="AI180" s="220">
        <f t="shared" si="221"/>
        <v>-140</v>
      </c>
      <c r="AJ180" s="50">
        <f t="shared" si="182"/>
        <v>1.5430000000000099</v>
      </c>
      <c r="AK180" s="257"/>
      <c r="AL180" s="257">
        <f t="shared" si="183"/>
        <v>1.2</v>
      </c>
      <c r="AM180" s="52"/>
      <c r="AN180" s="88"/>
    </row>
    <row r="181" spans="1:40" s="29" customFormat="1" ht="17.25" customHeight="1">
      <c r="A181" s="48">
        <v>172</v>
      </c>
      <c r="B181" s="49">
        <f t="shared" si="175"/>
        <v>45724</v>
      </c>
      <c r="C181" s="220">
        <f t="shared" si="176"/>
        <v>1049</v>
      </c>
      <c r="D181" s="220">
        <f t="shared" ref="D181" si="230">D180+15</f>
        <v>2091</v>
      </c>
      <c r="E181" s="220">
        <f t="shared" si="178"/>
        <v>3140</v>
      </c>
      <c r="F181" s="220">
        <f t="shared" si="170"/>
        <v>660</v>
      </c>
      <c r="G181" s="220">
        <f t="shared" si="171"/>
        <v>722</v>
      </c>
      <c r="H181" s="220">
        <f t="shared" si="172"/>
        <v>798</v>
      </c>
      <c r="I181" s="220">
        <f t="shared" si="173"/>
        <v>836</v>
      </c>
      <c r="J181" s="220">
        <f t="shared" si="174"/>
        <v>632</v>
      </c>
      <c r="K181" s="220">
        <f t="shared" si="210"/>
        <v>2480</v>
      </c>
      <c r="L181" s="220">
        <f t="shared" si="210"/>
        <v>2418</v>
      </c>
      <c r="M181" s="220">
        <f t="shared" si="210"/>
        <v>2342</v>
      </c>
      <c r="N181" s="220">
        <f t="shared" si="210"/>
        <v>2304</v>
      </c>
      <c r="O181" s="220">
        <f t="shared" si="210"/>
        <v>2508</v>
      </c>
      <c r="P181" s="220">
        <f t="shared" si="219"/>
        <v>2000</v>
      </c>
      <c r="Q181" s="220">
        <f t="shared" si="219"/>
        <v>2000</v>
      </c>
      <c r="R181" s="220">
        <f t="shared" si="219"/>
        <v>2000</v>
      </c>
      <c r="S181" s="220">
        <f t="shared" si="219"/>
        <v>2000</v>
      </c>
      <c r="T181" s="220">
        <f t="shared" si="219"/>
        <v>2000</v>
      </c>
      <c r="U181" s="220">
        <f t="shared" si="220"/>
        <v>480</v>
      </c>
      <c r="V181" s="220">
        <f t="shared" si="220"/>
        <v>418</v>
      </c>
      <c r="W181" s="220">
        <f t="shared" si="220"/>
        <v>342</v>
      </c>
      <c r="X181" s="220">
        <f t="shared" si="220"/>
        <v>304</v>
      </c>
      <c r="Y181" s="220">
        <f t="shared" si="220"/>
        <v>508</v>
      </c>
      <c r="Z181" s="220">
        <v>0</v>
      </c>
      <c r="AA181" s="220">
        <v>0</v>
      </c>
      <c r="AB181" s="220">
        <v>1</v>
      </c>
      <c r="AC181" s="220">
        <v>2</v>
      </c>
      <c r="AD181" s="220">
        <v>1</v>
      </c>
      <c r="AE181" s="220">
        <f t="shared" si="221"/>
        <v>-129</v>
      </c>
      <c r="AF181" s="220">
        <f t="shared" si="221"/>
        <v>-161</v>
      </c>
      <c r="AG181" s="220">
        <f t="shared" si="221"/>
        <v>-257</v>
      </c>
      <c r="AH181" s="220">
        <f t="shared" si="221"/>
        <v>-245</v>
      </c>
      <c r="AI181" s="220">
        <f t="shared" si="221"/>
        <v>-141</v>
      </c>
      <c r="AJ181" s="50">
        <f t="shared" si="182"/>
        <v>1.54200000000001</v>
      </c>
      <c r="AK181" s="257"/>
      <c r="AL181" s="257">
        <f t="shared" si="183"/>
        <v>1.2</v>
      </c>
      <c r="AM181" s="52"/>
      <c r="AN181" s="88"/>
    </row>
    <row r="182" spans="1:40" s="29" customFormat="1" ht="17.25" customHeight="1">
      <c r="A182" s="48">
        <v>173</v>
      </c>
      <c r="B182" s="49">
        <f t="shared" si="175"/>
        <v>45725</v>
      </c>
      <c r="C182" s="220">
        <f t="shared" si="176"/>
        <v>1049</v>
      </c>
      <c r="D182" s="220">
        <f t="shared" ref="D182" si="231">D181+26</f>
        <v>2117</v>
      </c>
      <c r="E182" s="220">
        <f t="shared" si="178"/>
        <v>3166</v>
      </c>
      <c r="F182" s="220">
        <f t="shared" si="170"/>
        <v>686</v>
      </c>
      <c r="G182" s="220">
        <f t="shared" si="171"/>
        <v>748</v>
      </c>
      <c r="H182" s="220">
        <f t="shared" si="172"/>
        <v>824</v>
      </c>
      <c r="I182" s="220">
        <f t="shared" si="173"/>
        <v>863</v>
      </c>
      <c r="J182" s="220">
        <f t="shared" si="174"/>
        <v>658</v>
      </c>
      <c r="K182" s="220">
        <f t="shared" si="210"/>
        <v>2480</v>
      </c>
      <c r="L182" s="220">
        <f t="shared" si="210"/>
        <v>2418</v>
      </c>
      <c r="M182" s="220">
        <f t="shared" si="210"/>
        <v>2342</v>
      </c>
      <c r="N182" s="220">
        <f t="shared" si="210"/>
        <v>2303</v>
      </c>
      <c r="O182" s="220">
        <f t="shared" si="210"/>
        <v>2508</v>
      </c>
      <c r="P182" s="220">
        <f t="shared" si="219"/>
        <v>2000</v>
      </c>
      <c r="Q182" s="220">
        <f t="shared" si="219"/>
        <v>2000</v>
      </c>
      <c r="R182" s="220">
        <f t="shared" si="219"/>
        <v>2000</v>
      </c>
      <c r="S182" s="220">
        <f t="shared" si="219"/>
        <v>2000</v>
      </c>
      <c r="T182" s="220">
        <f t="shared" si="219"/>
        <v>2000</v>
      </c>
      <c r="U182" s="220">
        <f t="shared" si="220"/>
        <v>480</v>
      </c>
      <c r="V182" s="220">
        <f t="shared" si="220"/>
        <v>418</v>
      </c>
      <c r="W182" s="220">
        <f t="shared" si="220"/>
        <v>342</v>
      </c>
      <c r="X182" s="220">
        <f t="shared" si="220"/>
        <v>303</v>
      </c>
      <c r="Y182" s="220">
        <f t="shared" si="220"/>
        <v>508</v>
      </c>
      <c r="Z182" s="220">
        <v>0</v>
      </c>
      <c r="AA182" s="220">
        <v>0</v>
      </c>
      <c r="AB182" s="220">
        <v>0</v>
      </c>
      <c r="AC182" s="220">
        <v>1</v>
      </c>
      <c r="AD182" s="220">
        <v>0</v>
      </c>
      <c r="AE182" s="220">
        <f t="shared" si="221"/>
        <v>-129</v>
      </c>
      <c r="AF182" s="220">
        <f t="shared" si="221"/>
        <v>-161</v>
      </c>
      <c r="AG182" s="220">
        <f t="shared" si="221"/>
        <v>-257</v>
      </c>
      <c r="AH182" s="220">
        <f t="shared" si="221"/>
        <v>-246</v>
      </c>
      <c r="AI182" s="220">
        <f t="shared" si="221"/>
        <v>-141</v>
      </c>
      <c r="AJ182" s="50">
        <f t="shared" si="182"/>
        <v>1.54200000000001</v>
      </c>
      <c r="AK182" s="257"/>
      <c r="AL182" s="257">
        <f t="shared" si="183"/>
        <v>1.2</v>
      </c>
      <c r="AM182" s="52"/>
      <c r="AN182" s="88"/>
    </row>
    <row r="183" spans="1:40" s="29" customFormat="1" ht="17.25" customHeight="1">
      <c r="A183" s="48">
        <v>174</v>
      </c>
      <c r="B183" s="49">
        <f t="shared" si="175"/>
        <v>45726</v>
      </c>
      <c r="C183" s="220">
        <f t="shared" si="176"/>
        <v>1049</v>
      </c>
      <c r="D183" s="220">
        <f t="shared" si="224"/>
        <v>2091</v>
      </c>
      <c r="E183" s="220">
        <f t="shared" si="178"/>
        <v>3140</v>
      </c>
      <c r="F183" s="220">
        <f t="shared" si="170"/>
        <v>661</v>
      </c>
      <c r="G183" s="220">
        <f t="shared" si="171"/>
        <v>723</v>
      </c>
      <c r="H183" s="220">
        <f t="shared" si="172"/>
        <v>800</v>
      </c>
      <c r="I183" s="220">
        <f t="shared" si="173"/>
        <v>837</v>
      </c>
      <c r="J183" s="220">
        <f t="shared" si="174"/>
        <v>634</v>
      </c>
      <c r="K183" s="220">
        <f t="shared" si="210"/>
        <v>2479</v>
      </c>
      <c r="L183" s="220">
        <f t="shared" si="210"/>
        <v>2417</v>
      </c>
      <c r="M183" s="220">
        <f t="shared" si="210"/>
        <v>2340</v>
      </c>
      <c r="N183" s="220">
        <f t="shared" si="210"/>
        <v>2303</v>
      </c>
      <c r="O183" s="220">
        <f t="shared" si="210"/>
        <v>2506</v>
      </c>
      <c r="P183" s="220">
        <f t="shared" si="219"/>
        <v>2000</v>
      </c>
      <c r="Q183" s="220">
        <f t="shared" si="219"/>
        <v>2000</v>
      </c>
      <c r="R183" s="220">
        <f t="shared" si="219"/>
        <v>2000</v>
      </c>
      <c r="S183" s="220">
        <f t="shared" si="219"/>
        <v>2000</v>
      </c>
      <c r="T183" s="220">
        <f t="shared" si="219"/>
        <v>2000</v>
      </c>
      <c r="U183" s="220">
        <f t="shared" si="220"/>
        <v>479</v>
      </c>
      <c r="V183" s="220">
        <f t="shared" si="220"/>
        <v>417</v>
      </c>
      <c r="W183" s="220">
        <f t="shared" si="220"/>
        <v>340</v>
      </c>
      <c r="X183" s="220">
        <f t="shared" si="220"/>
        <v>303</v>
      </c>
      <c r="Y183" s="220">
        <f t="shared" si="220"/>
        <v>506</v>
      </c>
      <c r="Z183" s="220">
        <v>1</v>
      </c>
      <c r="AA183" s="220">
        <v>1</v>
      </c>
      <c r="AB183" s="220">
        <v>2</v>
      </c>
      <c r="AC183" s="220">
        <v>0</v>
      </c>
      <c r="AD183" s="220">
        <v>2</v>
      </c>
      <c r="AE183" s="220">
        <f t="shared" si="221"/>
        <v>-130</v>
      </c>
      <c r="AF183" s="220">
        <f t="shared" si="221"/>
        <v>-162</v>
      </c>
      <c r="AG183" s="220">
        <f t="shared" si="221"/>
        <v>-259</v>
      </c>
      <c r="AH183" s="220">
        <f t="shared" si="221"/>
        <v>-246</v>
      </c>
      <c r="AI183" s="220">
        <f t="shared" si="221"/>
        <v>-143</v>
      </c>
      <c r="AJ183" s="50">
        <f t="shared" si="182"/>
        <v>1.54000000000001</v>
      </c>
      <c r="AK183" s="257"/>
      <c r="AL183" s="257">
        <f t="shared" si="183"/>
        <v>1.2</v>
      </c>
      <c r="AM183" s="52"/>
      <c r="AN183" s="88"/>
    </row>
    <row r="184" spans="1:40" s="29" customFormat="1" ht="17.25" customHeight="1">
      <c r="A184" s="48">
        <v>175</v>
      </c>
      <c r="B184" s="49">
        <f t="shared" si="175"/>
        <v>45727</v>
      </c>
      <c r="C184" s="220">
        <f t="shared" si="176"/>
        <v>1049</v>
      </c>
      <c r="D184" s="220">
        <f t="shared" si="225"/>
        <v>2106</v>
      </c>
      <c r="E184" s="220">
        <f t="shared" si="178"/>
        <v>3155</v>
      </c>
      <c r="F184" s="220">
        <f t="shared" si="170"/>
        <v>677</v>
      </c>
      <c r="G184" s="220">
        <f t="shared" si="171"/>
        <v>738</v>
      </c>
      <c r="H184" s="220">
        <f t="shared" si="172"/>
        <v>815</v>
      </c>
      <c r="I184" s="220">
        <f t="shared" si="173"/>
        <v>852</v>
      </c>
      <c r="J184" s="220">
        <f t="shared" si="174"/>
        <v>649</v>
      </c>
      <c r="K184" s="220">
        <f t="shared" si="210"/>
        <v>2478</v>
      </c>
      <c r="L184" s="220">
        <f t="shared" si="210"/>
        <v>2417</v>
      </c>
      <c r="M184" s="220">
        <f t="shared" si="210"/>
        <v>2340</v>
      </c>
      <c r="N184" s="220">
        <f t="shared" si="210"/>
        <v>2303</v>
      </c>
      <c r="O184" s="220">
        <f t="shared" si="210"/>
        <v>2506</v>
      </c>
      <c r="P184" s="220">
        <f t="shared" si="219"/>
        <v>2000</v>
      </c>
      <c r="Q184" s="220">
        <f t="shared" si="219"/>
        <v>2000</v>
      </c>
      <c r="R184" s="220">
        <f t="shared" si="219"/>
        <v>2000</v>
      </c>
      <c r="S184" s="220">
        <f t="shared" si="219"/>
        <v>2000</v>
      </c>
      <c r="T184" s="220">
        <f t="shared" si="219"/>
        <v>2000</v>
      </c>
      <c r="U184" s="220">
        <f t="shared" si="220"/>
        <v>478</v>
      </c>
      <c r="V184" s="220">
        <f t="shared" si="220"/>
        <v>417</v>
      </c>
      <c r="W184" s="220">
        <f t="shared" si="220"/>
        <v>340</v>
      </c>
      <c r="X184" s="220">
        <f t="shared" si="220"/>
        <v>303</v>
      </c>
      <c r="Y184" s="220">
        <f t="shared" si="220"/>
        <v>506</v>
      </c>
      <c r="Z184" s="220">
        <v>1</v>
      </c>
      <c r="AA184" s="220">
        <v>0</v>
      </c>
      <c r="AB184" s="220">
        <v>0</v>
      </c>
      <c r="AC184" s="220">
        <v>0</v>
      </c>
      <c r="AD184" s="220">
        <v>0</v>
      </c>
      <c r="AE184" s="220">
        <f t="shared" si="221"/>
        <v>-131</v>
      </c>
      <c r="AF184" s="220">
        <f t="shared" si="221"/>
        <v>-162</v>
      </c>
      <c r="AG184" s="220">
        <f t="shared" si="221"/>
        <v>-259</v>
      </c>
      <c r="AH184" s="220">
        <f t="shared" si="221"/>
        <v>-246</v>
      </c>
      <c r="AI184" s="220">
        <f t="shared" si="221"/>
        <v>-143</v>
      </c>
      <c r="AJ184" s="50">
        <f t="shared" si="182"/>
        <v>1.54000000000001</v>
      </c>
      <c r="AK184" s="257"/>
      <c r="AL184" s="257">
        <f t="shared" si="183"/>
        <v>1.2</v>
      </c>
      <c r="AM184" s="52"/>
      <c r="AN184" s="88"/>
    </row>
    <row r="185" spans="1:40" s="29" customFormat="1" ht="17.25" customHeight="1">
      <c r="A185" s="48">
        <v>176</v>
      </c>
      <c r="B185" s="49">
        <f t="shared" si="175"/>
        <v>45728</v>
      </c>
      <c r="C185" s="220">
        <f t="shared" si="176"/>
        <v>1049</v>
      </c>
      <c r="D185" s="220">
        <f t="shared" ref="D185:D193" si="232">D184+26</f>
        <v>2132</v>
      </c>
      <c r="E185" s="220">
        <f t="shared" si="178"/>
        <v>3181</v>
      </c>
      <c r="F185" s="220">
        <f t="shared" si="170"/>
        <v>703</v>
      </c>
      <c r="G185" s="220">
        <f t="shared" si="171"/>
        <v>764</v>
      </c>
      <c r="H185" s="220">
        <f t="shared" si="172"/>
        <v>842</v>
      </c>
      <c r="I185" s="220">
        <f t="shared" si="173"/>
        <v>878</v>
      </c>
      <c r="J185" s="220">
        <f t="shared" si="174"/>
        <v>675</v>
      </c>
      <c r="K185" s="220">
        <f t="shared" si="210"/>
        <v>2478</v>
      </c>
      <c r="L185" s="220">
        <f t="shared" si="210"/>
        <v>2417</v>
      </c>
      <c r="M185" s="220">
        <f t="shared" si="210"/>
        <v>2339</v>
      </c>
      <c r="N185" s="220">
        <f t="shared" si="210"/>
        <v>2303</v>
      </c>
      <c r="O185" s="220">
        <f t="shared" si="210"/>
        <v>2506</v>
      </c>
      <c r="P185" s="220">
        <f t="shared" si="219"/>
        <v>2000</v>
      </c>
      <c r="Q185" s="220">
        <f t="shared" si="219"/>
        <v>2000</v>
      </c>
      <c r="R185" s="220">
        <f t="shared" si="219"/>
        <v>2000</v>
      </c>
      <c r="S185" s="220">
        <f t="shared" si="219"/>
        <v>2000</v>
      </c>
      <c r="T185" s="220">
        <f t="shared" si="219"/>
        <v>2000</v>
      </c>
      <c r="U185" s="220">
        <f t="shared" si="220"/>
        <v>478</v>
      </c>
      <c r="V185" s="220">
        <f t="shared" si="220"/>
        <v>417</v>
      </c>
      <c r="W185" s="220">
        <f t="shared" si="220"/>
        <v>339</v>
      </c>
      <c r="X185" s="220">
        <f t="shared" si="220"/>
        <v>303</v>
      </c>
      <c r="Y185" s="220">
        <f t="shared" si="220"/>
        <v>506</v>
      </c>
      <c r="Z185" s="220">
        <v>0</v>
      </c>
      <c r="AA185" s="220">
        <v>0</v>
      </c>
      <c r="AB185" s="220">
        <v>1</v>
      </c>
      <c r="AC185" s="220">
        <v>0</v>
      </c>
      <c r="AD185" s="220">
        <v>0</v>
      </c>
      <c r="AE185" s="220">
        <f t="shared" si="221"/>
        <v>-131</v>
      </c>
      <c r="AF185" s="220">
        <f t="shared" si="221"/>
        <v>-162</v>
      </c>
      <c r="AG185" s="220">
        <f t="shared" si="221"/>
        <v>-260</v>
      </c>
      <c r="AH185" s="220">
        <f t="shared" si="221"/>
        <v>-246</v>
      </c>
      <c r="AI185" s="220">
        <f t="shared" si="221"/>
        <v>-143</v>
      </c>
      <c r="AJ185" s="50">
        <f t="shared" si="182"/>
        <v>1.5390000000000101</v>
      </c>
      <c r="AK185" s="257"/>
      <c r="AL185" s="257">
        <f t="shared" si="183"/>
        <v>1.2</v>
      </c>
      <c r="AM185" s="52"/>
      <c r="AN185" s="88"/>
    </row>
    <row r="186" spans="1:40" s="29" customFormat="1" ht="17.25" customHeight="1">
      <c r="A186" s="48">
        <v>177</v>
      </c>
      <c r="B186" s="49">
        <f t="shared" si="175"/>
        <v>45729</v>
      </c>
      <c r="C186" s="220">
        <f t="shared" si="176"/>
        <v>1049</v>
      </c>
      <c r="D186" s="220">
        <f t="shared" ref="D186:D194" si="233">D185+32</f>
        <v>2164</v>
      </c>
      <c r="E186" s="220">
        <f t="shared" si="178"/>
        <v>3213</v>
      </c>
      <c r="F186" s="220">
        <f t="shared" si="170"/>
        <v>736</v>
      </c>
      <c r="G186" s="220">
        <f t="shared" si="171"/>
        <v>799</v>
      </c>
      <c r="H186" s="220">
        <f t="shared" si="172"/>
        <v>875</v>
      </c>
      <c r="I186" s="220">
        <f t="shared" si="173"/>
        <v>910</v>
      </c>
      <c r="J186" s="220">
        <f t="shared" si="174"/>
        <v>707</v>
      </c>
      <c r="K186" s="220">
        <f t="shared" si="210"/>
        <v>2477</v>
      </c>
      <c r="L186" s="220">
        <f t="shared" si="210"/>
        <v>2414</v>
      </c>
      <c r="M186" s="220">
        <f t="shared" si="210"/>
        <v>2338</v>
      </c>
      <c r="N186" s="220">
        <f t="shared" si="210"/>
        <v>2303</v>
      </c>
      <c r="O186" s="220">
        <f t="shared" si="210"/>
        <v>2506</v>
      </c>
      <c r="P186" s="220">
        <f t="shared" si="219"/>
        <v>2000</v>
      </c>
      <c r="Q186" s="220">
        <f t="shared" si="219"/>
        <v>2000</v>
      </c>
      <c r="R186" s="220">
        <f t="shared" si="219"/>
        <v>2000</v>
      </c>
      <c r="S186" s="220">
        <f t="shared" si="219"/>
        <v>2000</v>
      </c>
      <c r="T186" s="220">
        <f t="shared" si="219"/>
        <v>2000</v>
      </c>
      <c r="U186" s="220">
        <f t="shared" si="220"/>
        <v>477</v>
      </c>
      <c r="V186" s="220">
        <f t="shared" si="220"/>
        <v>414</v>
      </c>
      <c r="W186" s="220">
        <f t="shared" si="220"/>
        <v>338</v>
      </c>
      <c r="X186" s="220">
        <f t="shared" si="220"/>
        <v>303</v>
      </c>
      <c r="Y186" s="220">
        <f t="shared" si="220"/>
        <v>506</v>
      </c>
      <c r="Z186" s="220">
        <v>1</v>
      </c>
      <c r="AA186" s="220">
        <v>3</v>
      </c>
      <c r="AB186" s="220">
        <v>1</v>
      </c>
      <c r="AC186" s="220">
        <v>0</v>
      </c>
      <c r="AD186" s="220">
        <v>0</v>
      </c>
      <c r="AE186" s="220">
        <f t="shared" si="221"/>
        <v>-132</v>
      </c>
      <c r="AF186" s="220">
        <f t="shared" si="221"/>
        <v>-165</v>
      </c>
      <c r="AG186" s="220">
        <f t="shared" si="221"/>
        <v>-261</v>
      </c>
      <c r="AH186" s="220">
        <f t="shared" si="221"/>
        <v>-246</v>
      </c>
      <c r="AI186" s="220">
        <f t="shared" si="221"/>
        <v>-143</v>
      </c>
      <c r="AJ186" s="50">
        <f t="shared" si="182"/>
        <v>1.5380000000000102</v>
      </c>
      <c r="AK186" s="257"/>
      <c r="AL186" s="257">
        <f t="shared" si="183"/>
        <v>1.2</v>
      </c>
      <c r="AM186" s="52"/>
      <c r="AN186" s="88"/>
    </row>
    <row r="187" spans="1:40" s="29" customFormat="1" ht="17.25" customHeight="1">
      <c r="A187" s="48">
        <v>178</v>
      </c>
      <c r="B187" s="49">
        <f t="shared" si="175"/>
        <v>45730</v>
      </c>
      <c r="C187" s="220">
        <f t="shared" si="176"/>
        <v>1049</v>
      </c>
      <c r="D187" s="220">
        <f t="shared" ref="D187:D195" si="234">D186-18</f>
        <v>2146</v>
      </c>
      <c r="E187" s="220">
        <f t="shared" si="178"/>
        <v>3195</v>
      </c>
      <c r="F187" s="220">
        <f t="shared" si="170"/>
        <v>718</v>
      </c>
      <c r="G187" s="220">
        <f t="shared" si="171"/>
        <v>783</v>
      </c>
      <c r="H187" s="220">
        <f t="shared" si="172"/>
        <v>857</v>
      </c>
      <c r="I187" s="220">
        <f t="shared" si="173"/>
        <v>892</v>
      </c>
      <c r="J187" s="220">
        <f t="shared" si="174"/>
        <v>690</v>
      </c>
      <c r="K187" s="220">
        <f t="shared" si="210"/>
        <v>2477</v>
      </c>
      <c r="L187" s="220">
        <f t="shared" si="210"/>
        <v>2412</v>
      </c>
      <c r="M187" s="220">
        <f t="shared" si="210"/>
        <v>2338</v>
      </c>
      <c r="N187" s="220">
        <f t="shared" si="210"/>
        <v>2303</v>
      </c>
      <c r="O187" s="220">
        <f t="shared" si="210"/>
        <v>2505</v>
      </c>
      <c r="P187" s="220">
        <f t="shared" si="219"/>
        <v>2000</v>
      </c>
      <c r="Q187" s="220">
        <f t="shared" si="219"/>
        <v>2000</v>
      </c>
      <c r="R187" s="220">
        <f t="shared" si="219"/>
        <v>2000</v>
      </c>
      <c r="S187" s="220">
        <f t="shared" si="219"/>
        <v>2000</v>
      </c>
      <c r="T187" s="220">
        <f t="shared" si="219"/>
        <v>2000</v>
      </c>
      <c r="U187" s="220">
        <f t="shared" si="220"/>
        <v>477</v>
      </c>
      <c r="V187" s="220">
        <f t="shared" si="220"/>
        <v>412</v>
      </c>
      <c r="W187" s="220">
        <f t="shared" si="220"/>
        <v>338</v>
      </c>
      <c r="X187" s="220">
        <f t="shared" si="220"/>
        <v>303</v>
      </c>
      <c r="Y187" s="220">
        <f t="shared" si="220"/>
        <v>505</v>
      </c>
      <c r="Z187" s="220">
        <v>0</v>
      </c>
      <c r="AA187" s="220">
        <v>2</v>
      </c>
      <c r="AB187" s="220">
        <v>0</v>
      </c>
      <c r="AC187" s="220">
        <v>0</v>
      </c>
      <c r="AD187" s="220">
        <v>1</v>
      </c>
      <c r="AE187" s="220">
        <f t="shared" si="221"/>
        <v>-132</v>
      </c>
      <c r="AF187" s="220">
        <f t="shared" si="221"/>
        <v>-167</v>
      </c>
      <c r="AG187" s="220">
        <f t="shared" si="221"/>
        <v>-261</v>
      </c>
      <c r="AH187" s="220">
        <f t="shared" si="221"/>
        <v>-246</v>
      </c>
      <c r="AI187" s="220">
        <f t="shared" si="221"/>
        <v>-144</v>
      </c>
      <c r="AJ187" s="50">
        <f t="shared" si="182"/>
        <v>1.5380000000000102</v>
      </c>
      <c r="AK187" s="257"/>
      <c r="AL187" s="257">
        <f t="shared" si="183"/>
        <v>1.2</v>
      </c>
      <c r="AM187" s="52"/>
      <c r="AN187" s="88"/>
    </row>
    <row r="188" spans="1:40" s="29" customFormat="1" ht="17.25" customHeight="1">
      <c r="A188" s="48">
        <v>179</v>
      </c>
      <c r="B188" s="49">
        <f t="shared" si="175"/>
        <v>45731</v>
      </c>
      <c r="C188" s="220">
        <f t="shared" si="176"/>
        <v>1049</v>
      </c>
      <c r="D188" s="220">
        <f t="shared" ref="D188:D196" si="235">D187-26</f>
        <v>2120</v>
      </c>
      <c r="E188" s="220">
        <f t="shared" si="178"/>
        <v>3169</v>
      </c>
      <c r="F188" s="220">
        <f t="shared" si="170"/>
        <v>692</v>
      </c>
      <c r="G188" s="220">
        <f t="shared" si="171"/>
        <v>757</v>
      </c>
      <c r="H188" s="220">
        <f t="shared" si="172"/>
        <v>832</v>
      </c>
      <c r="I188" s="220">
        <f t="shared" si="173"/>
        <v>867</v>
      </c>
      <c r="J188" s="220">
        <f t="shared" si="174"/>
        <v>664</v>
      </c>
      <c r="K188" s="220">
        <f t="shared" si="210"/>
        <v>2477</v>
      </c>
      <c r="L188" s="220">
        <f t="shared" si="210"/>
        <v>2412</v>
      </c>
      <c r="M188" s="220">
        <f t="shared" si="210"/>
        <v>2337</v>
      </c>
      <c r="N188" s="220">
        <f t="shared" si="210"/>
        <v>2302</v>
      </c>
      <c r="O188" s="220">
        <f t="shared" si="210"/>
        <v>2505</v>
      </c>
      <c r="P188" s="220">
        <f t="shared" ref="P188:T201" si="236">+P187</f>
        <v>2000</v>
      </c>
      <c r="Q188" s="220">
        <f t="shared" si="236"/>
        <v>2000</v>
      </c>
      <c r="R188" s="220">
        <f t="shared" si="236"/>
        <v>2000</v>
      </c>
      <c r="S188" s="220">
        <f t="shared" si="236"/>
        <v>2000</v>
      </c>
      <c r="T188" s="220">
        <f t="shared" si="236"/>
        <v>2000</v>
      </c>
      <c r="U188" s="220">
        <f t="shared" ref="U188:Y200" si="237">U187-Z188</f>
        <v>477</v>
      </c>
      <c r="V188" s="220">
        <f t="shared" si="237"/>
        <v>412</v>
      </c>
      <c r="W188" s="220">
        <f t="shared" si="237"/>
        <v>337</v>
      </c>
      <c r="X188" s="220">
        <f t="shared" si="237"/>
        <v>302</v>
      </c>
      <c r="Y188" s="220">
        <f t="shared" si="237"/>
        <v>505</v>
      </c>
      <c r="Z188" s="220">
        <v>0</v>
      </c>
      <c r="AA188" s="220">
        <v>0</v>
      </c>
      <c r="AB188" s="220">
        <v>1</v>
      </c>
      <c r="AC188" s="220">
        <v>1</v>
      </c>
      <c r="AD188" s="220">
        <v>0</v>
      </c>
      <c r="AE188" s="220">
        <f t="shared" ref="AE188:AI200" si="238">AE187-Z188</f>
        <v>-132</v>
      </c>
      <c r="AF188" s="220">
        <f t="shared" si="238"/>
        <v>-167</v>
      </c>
      <c r="AG188" s="220">
        <f t="shared" si="238"/>
        <v>-262</v>
      </c>
      <c r="AH188" s="220">
        <f t="shared" si="238"/>
        <v>-247</v>
      </c>
      <c r="AI188" s="220">
        <f t="shared" si="238"/>
        <v>-144</v>
      </c>
      <c r="AJ188" s="50">
        <f t="shared" si="182"/>
        <v>1.5370000000000104</v>
      </c>
      <c r="AK188" s="257"/>
      <c r="AL188" s="257">
        <f t="shared" si="183"/>
        <v>1.2</v>
      </c>
      <c r="AM188" s="52"/>
      <c r="AN188" s="88"/>
    </row>
    <row r="189" spans="1:40" s="29" customFormat="1" ht="17.25" customHeight="1">
      <c r="A189" s="48">
        <v>180</v>
      </c>
      <c r="B189" s="49">
        <f t="shared" si="175"/>
        <v>45732</v>
      </c>
      <c r="C189" s="220">
        <f t="shared" si="176"/>
        <v>1049</v>
      </c>
      <c r="D189" s="220">
        <f t="shared" ref="D189:D197" si="239">D188+15</f>
        <v>2135</v>
      </c>
      <c r="E189" s="220">
        <f t="shared" si="178"/>
        <v>3184</v>
      </c>
      <c r="F189" s="220">
        <f t="shared" si="170"/>
        <v>708</v>
      </c>
      <c r="G189" s="220">
        <f t="shared" si="171"/>
        <v>772</v>
      </c>
      <c r="H189" s="220">
        <f t="shared" si="172"/>
        <v>848</v>
      </c>
      <c r="I189" s="220">
        <f t="shared" si="173"/>
        <v>882</v>
      </c>
      <c r="J189" s="220">
        <f t="shared" si="174"/>
        <v>681</v>
      </c>
      <c r="K189" s="220">
        <f t="shared" si="210"/>
        <v>2476</v>
      </c>
      <c r="L189" s="220">
        <f t="shared" si="210"/>
        <v>2412</v>
      </c>
      <c r="M189" s="220">
        <f t="shared" si="210"/>
        <v>2336</v>
      </c>
      <c r="N189" s="220">
        <f t="shared" si="210"/>
        <v>2302</v>
      </c>
      <c r="O189" s="220">
        <f t="shared" si="210"/>
        <v>2503</v>
      </c>
      <c r="P189" s="220">
        <f t="shared" si="236"/>
        <v>2000</v>
      </c>
      <c r="Q189" s="220">
        <f t="shared" si="236"/>
        <v>2000</v>
      </c>
      <c r="R189" s="220">
        <f t="shared" si="236"/>
        <v>2000</v>
      </c>
      <c r="S189" s="220">
        <f t="shared" si="236"/>
        <v>2000</v>
      </c>
      <c r="T189" s="220">
        <f t="shared" si="236"/>
        <v>2000</v>
      </c>
      <c r="U189" s="220">
        <f t="shared" si="237"/>
        <v>476</v>
      </c>
      <c r="V189" s="220">
        <f t="shared" si="237"/>
        <v>412</v>
      </c>
      <c r="W189" s="220">
        <f t="shared" si="237"/>
        <v>336</v>
      </c>
      <c r="X189" s="220">
        <f t="shared" si="237"/>
        <v>302</v>
      </c>
      <c r="Y189" s="220">
        <f t="shared" si="237"/>
        <v>503</v>
      </c>
      <c r="Z189" s="220">
        <v>1</v>
      </c>
      <c r="AA189" s="220">
        <v>0</v>
      </c>
      <c r="AB189" s="220">
        <v>1</v>
      </c>
      <c r="AC189" s="220">
        <v>0</v>
      </c>
      <c r="AD189" s="220">
        <v>2</v>
      </c>
      <c r="AE189" s="220">
        <f t="shared" si="238"/>
        <v>-133</v>
      </c>
      <c r="AF189" s="220">
        <f t="shared" si="238"/>
        <v>-167</v>
      </c>
      <c r="AG189" s="220">
        <f t="shared" si="238"/>
        <v>-263</v>
      </c>
      <c r="AH189" s="220">
        <f t="shared" si="238"/>
        <v>-247</v>
      </c>
      <c r="AI189" s="220">
        <f t="shared" si="238"/>
        <v>-146</v>
      </c>
      <c r="AJ189" s="50">
        <f t="shared" si="182"/>
        <v>1.5360000000000105</v>
      </c>
      <c r="AK189" s="257"/>
      <c r="AL189" s="257">
        <f t="shared" si="183"/>
        <v>1.2</v>
      </c>
      <c r="AM189" s="52"/>
      <c r="AN189" s="88"/>
    </row>
    <row r="190" spans="1:40" s="29" customFormat="1" ht="17.25" customHeight="1">
      <c r="A190" s="48">
        <v>181</v>
      </c>
      <c r="B190" s="49">
        <f t="shared" si="175"/>
        <v>45733</v>
      </c>
      <c r="C190" s="220">
        <f t="shared" si="176"/>
        <v>1049</v>
      </c>
      <c r="D190" s="220">
        <f t="shared" ref="D190:D198" si="240">D189+26</f>
        <v>2161</v>
      </c>
      <c r="E190" s="220">
        <f t="shared" si="178"/>
        <v>3210</v>
      </c>
      <c r="F190" s="220">
        <f t="shared" si="170"/>
        <v>734</v>
      </c>
      <c r="G190" s="220">
        <f t="shared" si="171"/>
        <v>798</v>
      </c>
      <c r="H190" s="220">
        <f t="shared" si="172"/>
        <v>874</v>
      </c>
      <c r="I190" s="220">
        <f t="shared" si="173"/>
        <v>908</v>
      </c>
      <c r="J190" s="220">
        <f t="shared" si="174"/>
        <v>707</v>
      </c>
      <c r="K190" s="220">
        <f t="shared" si="210"/>
        <v>2476</v>
      </c>
      <c r="L190" s="220">
        <f t="shared" si="210"/>
        <v>2412</v>
      </c>
      <c r="M190" s="220">
        <f t="shared" si="210"/>
        <v>2336</v>
      </c>
      <c r="N190" s="220">
        <f t="shared" si="210"/>
        <v>2302</v>
      </c>
      <c r="O190" s="220">
        <f t="shared" si="210"/>
        <v>2503</v>
      </c>
      <c r="P190" s="220">
        <f t="shared" si="236"/>
        <v>2000</v>
      </c>
      <c r="Q190" s="220">
        <f t="shared" si="236"/>
        <v>2000</v>
      </c>
      <c r="R190" s="220">
        <f t="shared" si="236"/>
        <v>2000</v>
      </c>
      <c r="S190" s="220">
        <f t="shared" si="236"/>
        <v>2000</v>
      </c>
      <c r="T190" s="220">
        <f t="shared" si="236"/>
        <v>2000</v>
      </c>
      <c r="U190" s="220">
        <f t="shared" si="237"/>
        <v>476</v>
      </c>
      <c r="V190" s="220">
        <f t="shared" si="237"/>
        <v>412</v>
      </c>
      <c r="W190" s="220">
        <f t="shared" si="237"/>
        <v>336</v>
      </c>
      <c r="X190" s="220">
        <f t="shared" si="237"/>
        <v>302</v>
      </c>
      <c r="Y190" s="220">
        <f t="shared" si="237"/>
        <v>503</v>
      </c>
      <c r="Z190" s="220">
        <v>0</v>
      </c>
      <c r="AA190" s="220">
        <v>0</v>
      </c>
      <c r="AB190" s="220">
        <v>0</v>
      </c>
      <c r="AC190" s="220">
        <v>0</v>
      </c>
      <c r="AD190" s="220">
        <v>0</v>
      </c>
      <c r="AE190" s="220">
        <f t="shared" si="238"/>
        <v>-133</v>
      </c>
      <c r="AF190" s="220">
        <f t="shared" si="238"/>
        <v>-167</v>
      </c>
      <c r="AG190" s="220">
        <f t="shared" si="238"/>
        <v>-263</v>
      </c>
      <c r="AH190" s="220">
        <f t="shared" si="238"/>
        <v>-247</v>
      </c>
      <c r="AI190" s="220">
        <f t="shared" si="238"/>
        <v>-146</v>
      </c>
      <c r="AJ190" s="50">
        <f t="shared" si="182"/>
        <v>1.5360000000000105</v>
      </c>
      <c r="AK190" s="257"/>
      <c r="AL190" s="257">
        <f t="shared" si="183"/>
        <v>1.2</v>
      </c>
      <c r="AM190" s="52"/>
      <c r="AN190" s="88"/>
    </row>
    <row r="191" spans="1:40" s="29" customFormat="1" ht="17.25" customHeight="1">
      <c r="A191" s="48">
        <v>182</v>
      </c>
      <c r="B191" s="49">
        <f t="shared" si="175"/>
        <v>45734</v>
      </c>
      <c r="C191" s="220">
        <f t="shared" si="176"/>
        <v>1049</v>
      </c>
      <c r="D191" s="220">
        <f t="shared" si="224"/>
        <v>2135</v>
      </c>
      <c r="E191" s="220">
        <f t="shared" si="178"/>
        <v>3184</v>
      </c>
      <c r="F191" s="220">
        <f t="shared" si="170"/>
        <v>708</v>
      </c>
      <c r="G191" s="220">
        <f t="shared" si="171"/>
        <v>772</v>
      </c>
      <c r="H191" s="220">
        <f t="shared" si="172"/>
        <v>850</v>
      </c>
      <c r="I191" s="220">
        <f t="shared" si="173"/>
        <v>882</v>
      </c>
      <c r="J191" s="220">
        <f t="shared" si="174"/>
        <v>681</v>
      </c>
      <c r="K191" s="220">
        <f t="shared" si="210"/>
        <v>2476</v>
      </c>
      <c r="L191" s="220">
        <f t="shared" si="210"/>
        <v>2412</v>
      </c>
      <c r="M191" s="220">
        <f t="shared" si="210"/>
        <v>2334</v>
      </c>
      <c r="N191" s="220">
        <f t="shared" si="210"/>
        <v>2302</v>
      </c>
      <c r="O191" s="220">
        <f t="shared" si="210"/>
        <v>2503</v>
      </c>
      <c r="P191" s="220">
        <f t="shared" si="236"/>
        <v>2000</v>
      </c>
      <c r="Q191" s="220">
        <f t="shared" si="236"/>
        <v>2000</v>
      </c>
      <c r="R191" s="220">
        <f t="shared" si="236"/>
        <v>2000</v>
      </c>
      <c r="S191" s="220">
        <f t="shared" si="236"/>
        <v>2000</v>
      </c>
      <c r="T191" s="220">
        <f t="shared" si="236"/>
        <v>2000</v>
      </c>
      <c r="U191" s="220">
        <f t="shared" si="237"/>
        <v>476</v>
      </c>
      <c r="V191" s="220">
        <f t="shared" si="237"/>
        <v>412</v>
      </c>
      <c r="W191" s="220">
        <f t="shared" si="237"/>
        <v>334</v>
      </c>
      <c r="X191" s="220">
        <f t="shared" si="237"/>
        <v>302</v>
      </c>
      <c r="Y191" s="220">
        <f t="shared" si="237"/>
        <v>503</v>
      </c>
      <c r="Z191" s="220">
        <v>0</v>
      </c>
      <c r="AA191" s="220">
        <v>0</v>
      </c>
      <c r="AB191" s="220">
        <v>2</v>
      </c>
      <c r="AC191" s="220">
        <v>0</v>
      </c>
      <c r="AD191" s="220">
        <v>0</v>
      </c>
      <c r="AE191" s="220">
        <f t="shared" si="238"/>
        <v>-133</v>
      </c>
      <c r="AF191" s="220">
        <f t="shared" si="238"/>
        <v>-167</v>
      </c>
      <c r="AG191" s="220">
        <f t="shared" si="238"/>
        <v>-265</v>
      </c>
      <c r="AH191" s="220">
        <f t="shared" si="238"/>
        <v>-247</v>
      </c>
      <c r="AI191" s="220">
        <f t="shared" si="238"/>
        <v>-146</v>
      </c>
      <c r="AJ191" s="50">
        <f t="shared" si="182"/>
        <v>1.5340000000000105</v>
      </c>
      <c r="AK191" s="257"/>
      <c r="AL191" s="257">
        <f t="shared" si="183"/>
        <v>1.2</v>
      </c>
      <c r="AM191" s="52"/>
      <c r="AN191" s="88"/>
    </row>
    <row r="192" spans="1:40" s="29" customFormat="1" ht="17.25" customHeight="1">
      <c r="A192" s="48">
        <v>183</v>
      </c>
      <c r="B192" s="49">
        <f t="shared" si="175"/>
        <v>45735</v>
      </c>
      <c r="C192" s="220">
        <f t="shared" si="176"/>
        <v>1049</v>
      </c>
      <c r="D192" s="220">
        <f t="shared" si="225"/>
        <v>2150</v>
      </c>
      <c r="E192" s="220">
        <f t="shared" si="178"/>
        <v>3199</v>
      </c>
      <c r="F192" s="220">
        <f t="shared" si="170"/>
        <v>724</v>
      </c>
      <c r="G192" s="220">
        <f t="shared" si="171"/>
        <v>790</v>
      </c>
      <c r="H192" s="220">
        <f t="shared" si="172"/>
        <v>869</v>
      </c>
      <c r="I192" s="220">
        <f t="shared" si="173"/>
        <v>899</v>
      </c>
      <c r="J192" s="220">
        <f t="shared" si="174"/>
        <v>696</v>
      </c>
      <c r="K192" s="220">
        <f t="shared" si="210"/>
        <v>2475</v>
      </c>
      <c r="L192" s="220">
        <f t="shared" si="210"/>
        <v>2409</v>
      </c>
      <c r="M192" s="220">
        <f t="shared" si="210"/>
        <v>2330</v>
      </c>
      <c r="N192" s="220">
        <f t="shared" si="210"/>
        <v>2300</v>
      </c>
      <c r="O192" s="220">
        <f t="shared" si="210"/>
        <v>2503</v>
      </c>
      <c r="P192" s="220">
        <f t="shared" si="236"/>
        <v>2000</v>
      </c>
      <c r="Q192" s="220">
        <f t="shared" si="236"/>
        <v>2000</v>
      </c>
      <c r="R192" s="220">
        <f t="shared" si="236"/>
        <v>2000</v>
      </c>
      <c r="S192" s="220">
        <f t="shared" si="236"/>
        <v>2000</v>
      </c>
      <c r="T192" s="220">
        <f t="shared" si="236"/>
        <v>2000</v>
      </c>
      <c r="U192" s="220">
        <f t="shared" si="237"/>
        <v>475</v>
      </c>
      <c r="V192" s="220">
        <f t="shared" si="237"/>
        <v>409</v>
      </c>
      <c r="W192" s="220">
        <f t="shared" si="237"/>
        <v>330</v>
      </c>
      <c r="X192" s="220">
        <f t="shared" si="237"/>
        <v>300</v>
      </c>
      <c r="Y192" s="220">
        <f t="shared" si="237"/>
        <v>503</v>
      </c>
      <c r="Z192" s="220">
        <v>1</v>
      </c>
      <c r="AA192" s="220">
        <v>3</v>
      </c>
      <c r="AB192" s="220">
        <v>4</v>
      </c>
      <c r="AC192" s="220">
        <v>2</v>
      </c>
      <c r="AD192" s="220">
        <v>0</v>
      </c>
      <c r="AE192" s="220">
        <f t="shared" si="238"/>
        <v>-134</v>
      </c>
      <c r="AF192" s="220">
        <f t="shared" si="238"/>
        <v>-170</v>
      </c>
      <c r="AG192" s="220">
        <f t="shared" si="238"/>
        <v>-269</v>
      </c>
      <c r="AH192" s="220">
        <f t="shared" si="238"/>
        <v>-249</v>
      </c>
      <c r="AI192" s="220">
        <f t="shared" si="238"/>
        <v>-146</v>
      </c>
      <c r="AJ192" s="50">
        <f t="shared" si="182"/>
        <v>1.5300000000000105</v>
      </c>
      <c r="AK192" s="257"/>
      <c r="AL192" s="257">
        <f t="shared" si="183"/>
        <v>1.2</v>
      </c>
      <c r="AM192" s="52"/>
      <c r="AN192" s="88"/>
    </row>
    <row r="193" spans="1:41" s="29" customFormat="1" ht="17.25" customHeight="1">
      <c r="A193" s="48">
        <v>184</v>
      </c>
      <c r="B193" s="49">
        <f t="shared" si="175"/>
        <v>45736</v>
      </c>
      <c r="C193" s="220">
        <f t="shared" si="176"/>
        <v>1049</v>
      </c>
      <c r="D193" s="220">
        <f t="shared" si="232"/>
        <v>2176</v>
      </c>
      <c r="E193" s="220">
        <f t="shared" si="178"/>
        <v>3225</v>
      </c>
      <c r="F193" s="220">
        <f t="shared" si="170"/>
        <v>750</v>
      </c>
      <c r="G193" s="220">
        <f t="shared" si="171"/>
        <v>816</v>
      </c>
      <c r="H193" s="220">
        <f t="shared" si="172"/>
        <v>898</v>
      </c>
      <c r="I193" s="220">
        <f t="shared" si="173"/>
        <v>925</v>
      </c>
      <c r="J193" s="220">
        <f t="shared" si="174"/>
        <v>722</v>
      </c>
      <c r="K193" s="220">
        <f t="shared" si="210"/>
        <v>2475</v>
      </c>
      <c r="L193" s="220">
        <f t="shared" si="210"/>
        <v>2409</v>
      </c>
      <c r="M193" s="220">
        <f t="shared" si="210"/>
        <v>2327</v>
      </c>
      <c r="N193" s="220">
        <f t="shared" si="210"/>
        <v>2300</v>
      </c>
      <c r="O193" s="220">
        <f t="shared" si="210"/>
        <v>2503</v>
      </c>
      <c r="P193" s="220">
        <f t="shared" si="236"/>
        <v>2000</v>
      </c>
      <c r="Q193" s="220">
        <f t="shared" si="236"/>
        <v>2000</v>
      </c>
      <c r="R193" s="220">
        <f t="shared" si="236"/>
        <v>2000</v>
      </c>
      <c r="S193" s="220">
        <f t="shared" si="236"/>
        <v>2000</v>
      </c>
      <c r="T193" s="220">
        <f t="shared" si="236"/>
        <v>2000</v>
      </c>
      <c r="U193" s="220">
        <f t="shared" si="237"/>
        <v>475</v>
      </c>
      <c r="V193" s="220">
        <f t="shared" si="237"/>
        <v>409</v>
      </c>
      <c r="W193" s="220">
        <f t="shared" si="237"/>
        <v>327</v>
      </c>
      <c r="X193" s="220">
        <f t="shared" si="237"/>
        <v>300</v>
      </c>
      <c r="Y193" s="220">
        <f t="shared" si="237"/>
        <v>503</v>
      </c>
      <c r="Z193" s="220">
        <v>0</v>
      </c>
      <c r="AA193" s="220">
        <v>0</v>
      </c>
      <c r="AB193" s="220">
        <v>3</v>
      </c>
      <c r="AC193" s="220">
        <v>0</v>
      </c>
      <c r="AD193" s="220">
        <v>0</v>
      </c>
      <c r="AE193" s="220">
        <f t="shared" si="238"/>
        <v>-134</v>
      </c>
      <c r="AF193" s="220">
        <f t="shared" si="238"/>
        <v>-170</v>
      </c>
      <c r="AG193" s="220">
        <f t="shared" si="238"/>
        <v>-272</v>
      </c>
      <c r="AH193" s="220">
        <f t="shared" si="238"/>
        <v>-249</v>
      </c>
      <c r="AI193" s="220">
        <f t="shared" si="238"/>
        <v>-146</v>
      </c>
      <c r="AJ193" s="50">
        <f t="shared" si="182"/>
        <v>1.5270000000000106</v>
      </c>
      <c r="AK193" s="257"/>
      <c r="AL193" s="257">
        <f t="shared" si="183"/>
        <v>1.2</v>
      </c>
      <c r="AM193" s="52"/>
      <c r="AN193" s="88"/>
    </row>
    <row r="194" spans="1:41" s="29" customFormat="1" ht="17.25" customHeight="1">
      <c r="A194" s="48">
        <v>185</v>
      </c>
      <c r="B194" s="49">
        <f t="shared" si="175"/>
        <v>45737</v>
      </c>
      <c r="C194" s="220">
        <f t="shared" si="176"/>
        <v>1049</v>
      </c>
      <c r="D194" s="220">
        <f t="shared" si="233"/>
        <v>2208</v>
      </c>
      <c r="E194" s="220">
        <f t="shared" si="178"/>
        <v>3257</v>
      </c>
      <c r="F194" s="220">
        <f t="shared" si="170"/>
        <v>782</v>
      </c>
      <c r="G194" s="220">
        <f t="shared" si="171"/>
        <v>848</v>
      </c>
      <c r="H194" s="220">
        <f t="shared" si="172"/>
        <v>931</v>
      </c>
      <c r="I194" s="220">
        <f t="shared" si="173"/>
        <v>957</v>
      </c>
      <c r="J194" s="220">
        <f t="shared" si="174"/>
        <v>756</v>
      </c>
      <c r="K194" s="220">
        <f t="shared" si="210"/>
        <v>2475</v>
      </c>
      <c r="L194" s="220">
        <f t="shared" si="210"/>
        <v>2409</v>
      </c>
      <c r="M194" s="220">
        <f t="shared" si="210"/>
        <v>2326</v>
      </c>
      <c r="N194" s="220">
        <f t="shared" si="210"/>
        <v>2300</v>
      </c>
      <c r="O194" s="220">
        <f t="shared" si="210"/>
        <v>2501</v>
      </c>
      <c r="P194" s="220">
        <f t="shared" si="236"/>
        <v>2000</v>
      </c>
      <c r="Q194" s="220">
        <f t="shared" si="236"/>
        <v>2000</v>
      </c>
      <c r="R194" s="220">
        <f t="shared" si="236"/>
        <v>2000</v>
      </c>
      <c r="S194" s="220">
        <f t="shared" si="236"/>
        <v>2000</v>
      </c>
      <c r="T194" s="220">
        <f t="shared" si="236"/>
        <v>2000</v>
      </c>
      <c r="U194" s="220">
        <f t="shared" si="237"/>
        <v>475</v>
      </c>
      <c r="V194" s="220">
        <f t="shared" si="237"/>
        <v>409</v>
      </c>
      <c r="W194" s="220">
        <f t="shared" si="237"/>
        <v>326</v>
      </c>
      <c r="X194" s="220">
        <f t="shared" si="237"/>
        <v>300</v>
      </c>
      <c r="Y194" s="220">
        <f t="shared" si="237"/>
        <v>501</v>
      </c>
      <c r="Z194" s="220">
        <v>0</v>
      </c>
      <c r="AA194" s="220">
        <v>0</v>
      </c>
      <c r="AB194" s="220">
        <v>1</v>
      </c>
      <c r="AC194" s="220">
        <v>0</v>
      </c>
      <c r="AD194" s="220">
        <v>2</v>
      </c>
      <c r="AE194" s="220">
        <f t="shared" si="238"/>
        <v>-134</v>
      </c>
      <c r="AF194" s="220">
        <f t="shared" si="238"/>
        <v>-170</v>
      </c>
      <c r="AG194" s="220">
        <f t="shared" si="238"/>
        <v>-273</v>
      </c>
      <c r="AH194" s="220">
        <f t="shared" si="238"/>
        <v>-249</v>
      </c>
      <c r="AI194" s="220">
        <f t="shared" si="238"/>
        <v>-148</v>
      </c>
      <c r="AJ194" s="50">
        <f t="shared" si="182"/>
        <v>1.5260000000000107</v>
      </c>
      <c r="AK194" s="257"/>
      <c r="AL194" s="257">
        <f t="shared" si="183"/>
        <v>1.2</v>
      </c>
      <c r="AM194" s="52"/>
      <c r="AN194" s="88"/>
    </row>
    <row r="195" spans="1:41" s="29" customFormat="1" ht="17.25" customHeight="1">
      <c r="A195" s="48">
        <v>186</v>
      </c>
      <c r="B195" s="49">
        <f t="shared" si="175"/>
        <v>45738</v>
      </c>
      <c r="C195" s="220">
        <f t="shared" si="176"/>
        <v>1049</v>
      </c>
      <c r="D195" s="220">
        <f t="shared" si="234"/>
        <v>2190</v>
      </c>
      <c r="E195" s="220">
        <f t="shared" si="178"/>
        <v>3239</v>
      </c>
      <c r="F195" s="220">
        <f t="shared" si="170"/>
        <v>764</v>
      </c>
      <c r="G195" s="220">
        <f t="shared" si="171"/>
        <v>831</v>
      </c>
      <c r="H195" s="220">
        <f t="shared" si="172"/>
        <v>913</v>
      </c>
      <c r="I195" s="220">
        <f t="shared" si="173"/>
        <v>942</v>
      </c>
      <c r="J195" s="220">
        <f t="shared" si="174"/>
        <v>738</v>
      </c>
      <c r="K195" s="220">
        <f t="shared" si="210"/>
        <v>2475</v>
      </c>
      <c r="L195" s="220">
        <f t="shared" si="210"/>
        <v>2408</v>
      </c>
      <c r="M195" s="220">
        <f t="shared" si="210"/>
        <v>2326</v>
      </c>
      <c r="N195" s="220">
        <f t="shared" si="210"/>
        <v>2297</v>
      </c>
      <c r="O195" s="220">
        <f t="shared" si="210"/>
        <v>2501</v>
      </c>
      <c r="P195" s="220">
        <f t="shared" si="236"/>
        <v>2000</v>
      </c>
      <c r="Q195" s="220">
        <f t="shared" si="236"/>
        <v>2000</v>
      </c>
      <c r="R195" s="220">
        <f t="shared" si="236"/>
        <v>2000</v>
      </c>
      <c r="S195" s="220">
        <f t="shared" si="236"/>
        <v>2000</v>
      </c>
      <c r="T195" s="220">
        <f t="shared" si="236"/>
        <v>2000</v>
      </c>
      <c r="U195" s="220">
        <f t="shared" si="237"/>
        <v>475</v>
      </c>
      <c r="V195" s="220">
        <f t="shared" si="237"/>
        <v>408</v>
      </c>
      <c r="W195" s="220">
        <f t="shared" si="237"/>
        <v>326</v>
      </c>
      <c r="X195" s="220">
        <f t="shared" si="237"/>
        <v>297</v>
      </c>
      <c r="Y195" s="220">
        <f t="shared" si="237"/>
        <v>501</v>
      </c>
      <c r="Z195" s="220">
        <v>0</v>
      </c>
      <c r="AA195" s="220">
        <v>1</v>
      </c>
      <c r="AB195" s="220">
        <v>0</v>
      </c>
      <c r="AC195" s="220">
        <v>3</v>
      </c>
      <c r="AD195" s="220">
        <v>0</v>
      </c>
      <c r="AE195" s="220">
        <f t="shared" si="238"/>
        <v>-134</v>
      </c>
      <c r="AF195" s="220">
        <f t="shared" si="238"/>
        <v>-171</v>
      </c>
      <c r="AG195" s="220">
        <f t="shared" si="238"/>
        <v>-273</v>
      </c>
      <c r="AH195" s="220">
        <f t="shared" si="238"/>
        <v>-252</v>
      </c>
      <c r="AI195" s="220">
        <f t="shared" si="238"/>
        <v>-148</v>
      </c>
      <c r="AJ195" s="50">
        <f t="shared" si="182"/>
        <v>1.5260000000000107</v>
      </c>
      <c r="AK195" s="257"/>
      <c r="AL195" s="257">
        <f t="shared" si="183"/>
        <v>1.2</v>
      </c>
      <c r="AM195" s="52"/>
      <c r="AN195" s="88"/>
    </row>
    <row r="196" spans="1:41" s="29" customFormat="1" ht="17.25" customHeight="1">
      <c r="A196" s="48">
        <v>187</v>
      </c>
      <c r="B196" s="49">
        <f t="shared" si="175"/>
        <v>45739</v>
      </c>
      <c r="C196" s="220">
        <f t="shared" si="176"/>
        <v>1049</v>
      </c>
      <c r="D196" s="220">
        <f t="shared" si="235"/>
        <v>2164</v>
      </c>
      <c r="E196" s="220">
        <f t="shared" si="178"/>
        <v>3213</v>
      </c>
      <c r="F196" s="220">
        <f t="shared" si="170"/>
        <v>739</v>
      </c>
      <c r="G196" s="220">
        <f t="shared" si="171"/>
        <v>807</v>
      </c>
      <c r="H196" s="220">
        <f t="shared" si="172"/>
        <v>890</v>
      </c>
      <c r="I196" s="220">
        <f t="shared" si="173"/>
        <v>916</v>
      </c>
      <c r="J196" s="220">
        <f t="shared" si="174"/>
        <v>712</v>
      </c>
      <c r="K196" s="220">
        <f t="shared" si="210"/>
        <v>2474</v>
      </c>
      <c r="L196" s="220">
        <f t="shared" si="210"/>
        <v>2406</v>
      </c>
      <c r="M196" s="220">
        <f t="shared" si="210"/>
        <v>2323</v>
      </c>
      <c r="N196" s="220">
        <f t="shared" si="210"/>
        <v>2297</v>
      </c>
      <c r="O196" s="220">
        <f t="shared" si="210"/>
        <v>2501</v>
      </c>
      <c r="P196" s="220">
        <f t="shared" si="236"/>
        <v>2000</v>
      </c>
      <c r="Q196" s="220">
        <f t="shared" si="236"/>
        <v>2000</v>
      </c>
      <c r="R196" s="220">
        <f t="shared" si="236"/>
        <v>2000</v>
      </c>
      <c r="S196" s="220">
        <f t="shared" si="236"/>
        <v>2000</v>
      </c>
      <c r="T196" s="220">
        <f t="shared" si="236"/>
        <v>2000</v>
      </c>
      <c r="U196" s="220">
        <f t="shared" si="237"/>
        <v>474</v>
      </c>
      <c r="V196" s="220">
        <f t="shared" si="237"/>
        <v>406</v>
      </c>
      <c r="W196" s="220">
        <f t="shared" si="237"/>
        <v>323</v>
      </c>
      <c r="X196" s="220">
        <f t="shared" si="237"/>
        <v>297</v>
      </c>
      <c r="Y196" s="220">
        <f t="shared" si="237"/>
        <v>501</v>
      </c>
      <c r="Z196" s="220">
        <v>1</v>
      </c>
      <c r="AA196" s="220">
        <v>2</v>
      </c>
      <c r="AB196" s="220">
        <v>3</v>
      </c>
      <c r="AC196" s="220">
        <v>0</v>
      </c>
      <c r="AD196" s="220">
        <v>0</v>
      </c>
      <c r="AE196" s="220">
        <f t="shared" si="238"/>
        <v>-135</v>
      </c>
      <c r="AF196" s="220">
        <f t="shared" si="238"/>
        <v>-173</v>
      </c>
      <c r="AG196" s="220">
        <f t="shared" si="238"/>
        <v>-276</v>
      </c>
      <c r="AH196" s="220">
        <f t="shared" si="238"/>
        <v>-252</v>
      </c>
      <c r="AI196" s="220">
        <f t="shared" si="238"/>
        <v>-148</v>
      </c>
      <c r="AJ196" s="50">
        <f t="shared" si="182"/>
        <v>1.5230000000000108</v>
      </c>
      <c r="AK196" s="257"/>
      <c r="AL196" s="257">
        <f t="shared" si="183"/>
        <v>1.2</v>
      </c>
      <c r="AM196" s="52"/>
      <c r="AN196" s="88"/>
    </row>
    <row r="197" spans="1:41" s="29" customFormat="1" ht="17.25" customHeight="1">
      <c r="A197" s="48">
        <v>188</v>
      </c>
      <c r="B197" s="49">
        <f t="shared" si="175"/>
        <v>45740</v>
      </c>
      <c r="C197" s="220">
        <f t="shared" si="176"/>
        <v>1049</v>
      </c>
      <c r="D197" s="220">
        <f t="shared" si="239"/>
        <v>2179</v>
      </c>
      <c r="E197" s="220">
        <f t="shared" si="178"/>
        <v>3228</v>
      </c>
      <c r="F197" s="220">
        <f t="shared" si="170"/>
        <v>754</v>
      </c>
      <c r="G197" s="220">
        <f t="shared" si="171"/>
        <v>822</v>
      </c>
      <c r="H197" s="220">
        <f t="shared" si="172"/>
        <v>907</v>
      </c>
      <c r="I197" s="220">
        <f t="shared" si="173"/>
        <v>931</v>
      </c>
      <c r="J197" s="220">
        <f t="shared" si="174"/>
        <v>728</v>
      </c>
      <c r="K197" s="220">
        <f t="shared" si="210"/>
        <v>2474</v>
      </c>
      <c r="L197" s="220">
        <f t="shared" si="210"/>
        <v>2406</v>
      </c>
      <c r="M197" s="220">
        <f t="shared" si="210"/>
        <v>2321</v>
      </c>
      <c r="N197" s="220">
        <f t="shared" si="210"/>
        <v>2297</v>
      </c>
      <c r="O197" s="220">
        <f t="shared" si="210"/>
        <v>2500</v>
      </c>
      <c r="P197" s="220">
        <f t="shared" si="236"/>
        <v>2000</v>
      </c>
      <c r="Q197" s="220">
        <f t="shared" si="236"/>
        <v>2000</v>
      </c>
      <c r="R197" s="220">
        <f t="shared" si="236"/>
        <v>2000</v>
      </c>
      <c r="S197" s="220">
        <f t="shared" si="236"/>
        <v>2000</v>
      </c>
      <c r="T197" s="220">
        <f t="shared" si="236"/>
        <v>2000</v>
      </c>
      <c r="U197" s="220">
        <f t="shared" si="237"/>
        <v>474</v>
      </c>
      <c r="V197" s="220">
        <f t="shared" si="237"/>
        <v>406</v>
      </c>
      <c r="W197" s="220">
        <f t="shared" si="237"/>
        <v>321</v>
      </c>
      <c r="X197" s="220">
        <f t="shared" si="237"/>
        <v>297</v>
      </c>
      <c r="Y197" s="220">
        <f t="shared" si="237"/>
        <v>500</v>
      </c>
      <c r="Z197" s="220">
        <v>0</v>
      </c>
      <c r="AA197" s="220">
        <v>0</v>
      </c>
      <c r="AB197" s="220">
        <v>2</v>
      </c>
      <c r="AC197" s="220">
        <v>0</v>
      </c>
      <c r="AD197" s="220">
        <v>1</v>
      </c>
      <c r="AE197" s="220">
        <f t="shared" si="238"/>
        <v>-135</v>
      </c>
      <c r="AF197" s="220">
        <f t="shared" si="238"/>
        <v>-173</v>
      </c>
      <c r="AG197" s="220">
        <f t="shared" si="238"/>
        <v>-278</v>
      </c>
      <c r="AH197" s="220">
        <f t="shared" si="238"/>
        <v>-252</v>
      </c>
      <c r="AI197" s="220">
        <f t="shared" si="238"/>
        <v>-149</v>
      </c>
      <c r="AJ197" s="50">
        <f t="shared" si="182"/>
        <v>1.5210000000000108</v>
      </c>
      <c r="AK197" s="257"/>
      <c r="AL197" s="257">
        <f t="shared" si="183"/>
        <v>1.2</v>
      </c>
      <c r="AM197" s="52"/>
      <c r="AN197" s="88"/>
    </row>
    <row r="198" spans="1:41" s="29" customFormat="1" ht="17.25" customHeight="1">
      <c r="A198" s="48">
        <v>189</v>
      </c>
      <c r="B198" s="49">
        <f t="shared" si="175"/>
        <v>45741</v>
      </c>
      <c r="C198" s="220">
        <f t="shared" si="176"/>
        <v>1049</v>
      </c>
      <c r="D198" s="220">
        <f t="shared" si="240"/>
        <v>2205</v>
      </c>
      <c r="E198" s="220">
        <f t="shared" si="178"/>
        <v>3254</v>
      </c>
      <c r="F198" s="220">
        <f t="shared" si="170"/>
        <v>781</v>
      </c>
      <c r="G198" s="220">
        <f t="shared" si="171"/>
        <v>849</v>
      </c>
      <c r="H198" s="220">
        <f t="shared" si="172"/>
        <v>937</v>
      </c>
      <c r="I198" s="220">
        <f t="shared" si="173"/>
        <v>957</v>
      </c>
      <c r="J198" s="220">
        <f t="shared" si="174"/>
        <v>756</v>
      </c>
      <c r="K198" s="220">
        <f t="shared" si="210"/>
        <v>2473</v>
      </c>
      <c r="L198" s="220">
        <f t="shared" si="210"/>
        <v>2405</v>
      </c>
      <c r="M198" s="220">
        <f t="shared" si="210"/>
        <v>2317</v>
      </c>
      <c r="N198" s="220">
        <f t="shared" si="210"/>
        <v>2297</v>
      </c>
      <c r="O198" s="220">
        <f t="shared" si="210"/>
        <v>2498</v>
      </c>
      <c r="P198" s="220">
        <f t="shared" si="236"/>
        <v>2000</v>
      </c>
      <c r="Q198" s="220">
        <f t="shared" si="236"/>
        <v>2000</v>
      </c>
      <c r="R198" s="220">
        <f t="shared" si="236"/>
        <v>2000</v>
      </c>
      <c r="S198" s="220">
        <f t="shared" si="236"/>
        <v>2000</v>
      </c>
      <c r="T198" s="220">
        <f t="shared" si="236"/>
        <v>2000</v>
      </c>
      <c r="U198" s="220">
        <f t="shared" si="237"/>
        <v>473</v>
      </c>
      <c r="V198" s="220">
        <f t="shared" si="237"/>
        <v>405</v>
      </c>
      <c r="W198" s="220">
        <f t="shared" si="237"/>
        <v>317</v>
      </c>
      <c r="X198" s="220">
        <f t="shared" si="237"/>
        <v>297</v>
      </c>
      <c r="Y198" s="220">
        <f t="shared" si="237"/>
        <v>498</v>
      </c>
      <c r="Z198" s="220">
        <v>1</v>
      </c>
      <c r="AA198" s="220">
        <v>1</v>
      </c>
      <c r="AB198" s="220">
        <v>4</v>
      </c>
      <c r="AC198" s="220">
        <v>0</v>
      </c>
      <c r="AD198" s="220">
        <v>2</v>
      </c>
      <c r="AE198" s="220">
        <f t="shared" si="238"/>
        <v>-136</v>
      </c>
      <c r="AF198" s="220">
        <f t="shared" si="238"/>
        <v>-174</v>
      </c>
      <c r="AG198" s="220">
        <f t="shared" si="238"/>
        <v>-282</v>
      </c>
      <c r="AH198" s="220">
        <f t="shared" si="238"/>
        <v>-252</v>
      </c>
      <c r="AI198" s="220">
        <f t="shared" si="238"/>
        <v>-151</v>
      </c>
      <c r="AJ198" s="50">
        <f t="shared" si="182"/>
        <v>1.5170000000000108</v>
      </c>
      <c r="AK198" s="257"/>
      <c r="AL198" s="257">
        <f t="shared" si="183"/>
        <v>1.2</v>
      </c>
      <c r="AM198" s="52"/>
      <c r="AN198" s="88"/>
    </row>
    <row r="199" spans="1:41" s="29" customFormat="1" ht="17.25" customHeight="1">
      <c r="A199" s="48">
        <v>190</v>
      </c>
      <c r="B199" s="49">
        <f t="shared" si="175"/>
        <v>45742</v>
      </c>
      <c r="C199" s="220">
        <f t="shared" si="176"/>
        <v>1049</v>
      </c>
      <c r="D199" s="220">
        <f t="shared" si="224"/>
        <v>2179</v>
      </c>
      <c r="E199" s="220">
        <f t="shared" si="178"/>
        <v>3228</v>
      </c>
      <c r="F199" s="220">
        <f t="shared" si="170"/>
        <v>755</v>
      </c>
      <c r="G199" s="220">
        <f t="shared" si="171"/>
        <v>823</v>
      </c>
      <c r="H199" s="220">
        <f t="shared" si="172"/>
        <v>912</v>
      </c>
      <c r="I199" s="220">
        <f t="shared" si="173"/>
        <v>931</v>
      </c>
      <c r="J199" s="220">
        <f t="shared" si="174"/>
        <v>730</v>
      </c>
      <c r="K199" s="220">
        <f t="shared" si="210"/>
        <v>2473</v>
      </c>
      <c r="L199" s="220">
        <f t="shared" si="210"/>
        <v>2405</v>
      </c>
      <c r="M199" s="220">
        <f t="shared" si="210"/>
        <v>2316</v>
      </c>
      <c r="N199" s="220">
        <f t="shared" si="210"/>
        <v>2297</v>
      </c>
      <c r="O199" s="220">
        <f t="shared" si="210"/>
        <v>2498</v>
      </c>
      <c r="P199" s="220">
        <f t="shared" si="236"/>
        <v>2000</v>
      </c>
      <c r="Q199" s="220">
        <f t="shared" si="236"/>
        <v>2000</v>
      </c>
      <c r="R199" s="220">
        <f t="shared" si="236"/>
        <v>2000</v>
      </c>
      <c r="S199" s="220">
        <f t="shared" si="236"/>
        <v>2000</v>
      </c>
      <c r="T199" s="220">
        <f t="shared" si="236"/>
        <v>2000</v>
      </c>
      <c r="U199" s="220">
        <f t="shared" si="237"/>
        <v>473</v>
      </c>
      <c r="V199" s="220">
        <f t="shared" si="237"/>
        <v>405</v>
      </c>
      <c r="W199" s="220">
        <f t="shared" si="237"/>
        <v>316</v>
      </c>
      <c r="X199" s="220">
        <f t="shared" si="237"/>
        <v>297</v>
      </c>
      <c r="Y199" s="220">
        <f t="shared" si="237"/>
        <v>498</v>
      </c>
      <c r="Z199" s="220">
        <v>0</v>
      </c>
      <c r="AA199" s="220">
        <v>0</v>
      </c>
      <c r="AB199" s="220">
        <v>1</v>
      </c>
      <c r="AC199" s="220">
        <v>0</v>
      </c>
      <c r="AD199" s="220">
        <v>0</v>
      </c>
      <c r="AE199" s="220">
        <f t="shared" si="238"/>
        <v>-136</v>
      </c>
      <c r="AF199" s="220">
        <f t="shared" si="238"/>
        <v>-174</v>
      </c>
      <c r="AG199" s="220">
        <f t="shared" si="238"/>
        <v>-283</v>
      </c>
      <c r="AH199" s="220">
        <f t="shared" si="238"/>
        <v>-252</v>
      </c>
      <c r="AI199" s="220">
        <f t="shared" si="238"/>
        <v>-151</v>
      </c>
      <c r="AJ199" s="50">
        <f t="shared" si="182"/>
        <v>1.5160000000000109</v>
      </c>
      <c r="AK199" s="257"/>
      <c r="AL199" s="257">
        <f t="shared" si="183"/>
        <v>1.2</v>
      </c>
      <c r="AM199" s="52"/>
      <c r="AN199" s="88"/>
    </row>
    <row r="200" spans="1:41" s="29" customFormat="1" ht="17.25" customHeight="1">
      <c r="A200" s="48">
        <v>191</v>
      </c>
      <c r="B200" s="49">
        <f t="shared" si="175"/>
        <v>45743</v>
      </c>
      <c r="C200" s="220">
        <f t="shared" si="176"/>
        <v>1049</v>
      </c>
      <c r="D200" s="220">
        <f t="shared" si="225"/>
        <v>2194</v>
      </c>
      <c r="E200" s="220">
        <f t="shared" si="178"/>
        <v>3243</v>
      </c>
      <c r="F200" s="220">
        <f t="shared" si="170"/>
        <v>770</v>
      </c>
      <c r="G200" s="220">
        <f t="shared" si="171"/>
        <v>839</v>
      </c>
      <c r="H200" s="220">
        <f t="shared" si="172"/>
        <v>927</v>
      </c>
      <c r="I200" s="220">
        <f t="shared" si="173"/>
        <v>947</v>
      </c>
      <c r="J200" s="220">
        <f t="shared" si="174"/>
        <v>745</v>
      </c>
      <c r="K200" s="220">
        <f t="shared" si="210"/>
        <v>2473</v>
      </c>
      <c r="L200" s="220">
        <f t="shared" si="210"/>
        <v>2404</v>
      </c>
      <c r="M200" s="220">
        <f t="shared" si="210"/>
        <v>2316</v>
      </c>
      <c r="N200" s="220">
        <f t="shared" si="210"/>
        <v>2296</v>
      </c>
      <c r="O200" s="220">
        <f t="shared" si="210"/>
        <v>2498</v>
      </c>
      <c r="P200" s="220">
        <f t="shared" si="236"/>
        <v>2000</v>
      </c>
      <c r="Q200" s="220">
        <f t="shared" si="236"/>
        <v>2000</v>
      </c>
      <c r="R200" s="220">
        <f t="shared" si="236"/>
        <v>2000</v>
      </c>
      <c r="S200" s="220">
        <f t="shared" si="236"/>
        <v>2000</v>
      </c>
      <c r="T200" s="220">
        <f t="shared" si="236"/>
        <v>2000</v>
      </c>
      <c r="U200" s="220">
        <f t="shared" si="237"/>
        <v>473</v>
      </c>
      <c r="V200" s="220">
        <f t="shared" si="237"/>
        <v>404</v>
      </c>
      <c r="W200" s="220">
        <f t="shared" si="237"/>
        <v>316</v>
      </c>
      <c r="X200" s="220">
        <f t="shared" si="237"/>
        <v>296</v>
      </c>
      <c r="Y200" s="220">
        <f t="shared" si="237"/>
        <v>498</v>
      </c>
      <c r="Z200" s="220">
        <v>0</v>
      </c>
      <c r="AA200" s="220">
        <v>1</v>
      </c>
      <c r="AB200" s="220">
        <v>0</v>
      </c>
      <c r="AC200" s="220">
        <v>1</v>
      </c>
      <c r="AD200" s="220">
        <v>0</v>
      </c>
      <c r="AE200" s="220">
        <f t="shared" si="238"/>
        <v>-136</v>
      </c>
      <c r="AF200" s="220">
        <f t="shared" si="238"/>
        <v>-175</v>
      </c>
      <c r="AG200" s="220">
        <f t="shared" si="238"/>
        <v>-283</v>
      </c>
      <c r="AH200" s="220">
        <f t="shared" si="238"/>
        <v>-253</v>
      </c>
      <c r="AI200" s="220">
        <f t="shared" si="238"/>
        <v>-151</v>
      </c>
      <c r="AJ200" s="50">
        <f t="shared" si="182"/>
        <v>1.5160000000000109</v>
      </c>
      <c r="AK200" s="257"/>
      <c r="AL200" s="257">
        <f t="shared" si="183"/>
        <v>1.2</v>
      </c>
      <c r="AM200" s="52"/>
      <c r="AN200" s="88"/>
    </row>
    <row r="201" spans="1:41" s="68" customFormat="1" ht="17.25" customHeight="1">
      <c r="A201" s="105">
        <v>192</v>
      </c>
      <c r="B201" s="104">
        <f t="shared" si="175"/>
        <v>45744</v>
      </c>
      <c r="C201" s="192">
        <f t="shared" si="176"/>
        <v>1049</v>
      </c>
      <c r="D201" s="192">
        <f t="shared" si="225"/>
        <v>2209</v>
      </c>
      <c r="E201" s="192">
        <f t="shared" ref="E201" si="241">+C201+D201</f>
        <v>3258</v>
      </c>
      <c r="F201" s="192">
        <f t="shared" ref="F201" si="242">E201-K201</f>
        <v>785</v>
      </c>
      <c r="G201" s="192">
        <f t="shared" ref="G201" si="243">E201-L201</f>
        <v>855</v>
      </c>
      <c r="H201" s="192">
        <f t="shared" ref="H201" si="244">E201-M201</f>
        <v>942</v>
      </c>
      <c r="I201" s="192">
        <f t="shared" ref="I201" si="245">E201-N201</f>
        <v>963</v>
      </c>
      <c r="J201" s="192">
        <f t="shared" ref="J201" si="246">E201-O201</f>
        <v>760</v>
      </c>
      <c r="K201" s="192">
        <f t="shared" ref="K201" si="247">P201+U201</f>
        <v>2473</v>
      </c>
      <c r="L201" s="192">
        <f t="shared" ref="L201" si="248">Q201+V201</f>
        <v>2403</v>
      </c>
      <c r="M201" s="192">
        <f t="shared" ref="M201" si="249">R201+W201</f>
        <v>2316</v>
      </c>
      <c r="N201" s="192">
        <f t="shared" ref="N201" si="250">S201+X201</f>
        <v>2295</v>
      </c>
      <c r="O201" s="192">
        <f t="shared" ref="O201" si="251">T201+Y201</f>
        <v>2498</v>
      </c>
      <c r="P201" s="192">
        <f t="shared" si="236"/>
        <v>2000</v>
      </c>
      <c r="Q201" s="192">
        <f t="shared" si="236"/>
        <v>2000</v>
      </c>
      <c r="R201" s="192">
        <f t="shared" si="236"/>
        <v>2000</v>
      </c>
      <c r="S201" s="192">
        <f t="shared" si="236"/>
        <v>2000</v>
      </c>
      <c r="T201" s="192">
        <f t="shared" si="236"/>
        <v>2000</v>
      </c>
      <c r="U201" s="192">
        <f t="shared" ref="U201" si="252">U200-Z201</f>
        <v>473</v>
      </c>
      <c r="V201" s="192">
        <f t="shared" ref="V201" si="253">V200-AA201</f>
        <v>403</v>
      </c>
      <c r="W201" s="192">
        <f t="shared" ref="W201" si="254">W200-AB201</f>
        <v>316</v>
      </c>
      <c r="X201" s="192">
        <f t="shared" ref="X201" si="255">X200-AC201</f>
        <v>295</v>
      </c>
      <c r="Y201" s="192">
        <f t="shared" ref="Y201" si="256">Y200-AD201</f>
        <v>498</v>
      </c>
      <c r="Z201" s="192">
        <v>0</v>
      </c>
      <c r="AA201" s="192">
        <v>1</v>
      </c>
      <c r="AB201" s="192">
        <v>0</v>
      </c>
      <c r="AC201" s="192">
        <v>1</v>
      </c>
      <c r="AD201" s="192">
        <v>0</v>
      </c>
      <c r="AE201" s="192">
        <f t="shared" ref="AE201" si="257">AE200-Z201</f>
        <v>-136</v>
      </c>
      <c r="AF201" s="192">
        <f t="shared" ref="AF201" si="258">AF200-AA201</f>
        <v>-176</v>
      </c>
      <c r="AG201" s="192">
        <f t="shared" ref="AG201" si="259">AG200-AB201</f>
        <v>-283</v>
      </c>
      <c r="AH201" s="192">
        <f t="shared" ref="AH201" si="260">AH200-AC201</f>
        <v>-254</v>
      </c>
      <c r="AI201" s="192">
        <f t="shared" ref="AI201" si="261">AI200-AD201</f>
        <v>-151</v>
      </c>
      <c r="AJ201" s="107">
        <f t="shared" ref="AJ201" si="262">AJ200-AB201/1000+AK201</f>
        <v>1.5160000000000109</v>
      </c>
      <c r="AK201" s="203"/>
      <c r="AL201" s="203">
        <f t="shared" ref="AL201" si="263">AL200+AK201</f>
        <v>1.2</v>
      </c>
    </row>
    <row r="202" spans="1:41" s="68" customFormat="1" ht="17.25" customHeight="1">
      <c r="A202" s="105">
        <v>202</v>
      </c>
      <c r="B202" s="104">
        <f>B200+1</f>
        <v>45744</v>
      </c>
      <c r="C202" s="192">
        <f>+C200</f>
        <v>1049</v>
      </c>
      <c r="D202" s="192">
        <f>D200-18</f>
        <v>2176</v>
      </c>
      <c r="E202" s="192">
        <f>+C202+D202</f>
        <v>3225</v>
      </c>
      <c r="F202" s="192">
        <f>E202-K202</f>
        <v>757</v>
      </c>
      <c r="G202" s="192">
        <f>E202-L202</f>
        <v>826</v>
      </c>
      <c r="H202" s="192">
        <f>E202-M202</f>
        <v>909</v>
      </c>
      <c r="I202" s="192">
        <f>E202-N202</f>
        <v>930</v>
      </c>
      <c r="J202" s="192">
        <f>E202-O202</f>
        <v>727</v>
      </c>
      <c r="K202" s="192">
        <f t="shared" ref="K202:O202" si="264">P202+U202</f>
        <v>2468</v>
      </c>
      <c r="L202" s="192">
        <f t="shared" si="264"/>
        <v>2399</v>
      </c>
      <c r="M202" s="192">
        <f t="shared" si="264"/>
        <v>2316</v>
      </c>
      <c r="N202" s="192">
        <f t="shared" si="264"/>
        <v>2295</v>
      </c>
      <c r="O202" s="192">
        <f t="shared" si="264"/>
        <v>2498</v>
      </c>
      <c r="P202" s="192">
        <f>+P200</f>
        <v>2000</v>
      </c>
      <c r="Q202" s="192">
        <f>+Q200</f>
        <v>2000</v>
      </c>
      <c r="R202" s="192">
        <f>+R200</f>
        <v>2000</v>
      </c>
      <c r="S202" s="192">
        <f>+S200</f>
        <v>2000</v>
      </c>
      <c r="T202" s="192">
        <f>+T200</f>
        <v>2000</v>
      </c>
      <c r="U202" s="192">
        <f>U200-Z202</f>
        <v>468</v>
      </c>
      <c r="V202" s="192">
        <f>V200-AA202</f>
        <v>399</v>
      </c>
      <c r="W202" s="192">
        <f>W200-AB202</f>
        <v>316</v>
      </c>
      <c r="X202" s="192">
        <f>X200-AC202</f>
        <v>295</v>
      </c>
      <c r="Y202" s="192">
        <f>Y200-AD202</f>
        <v>498</v>
      </c>
      <c r="Z202" s="192">
        <v>5</v>
      </c>
      <c r="AA202" s="192">
        <v>5</v>
      </c>
      <c r="AB202" s="192">
        <v>0</v>
      </c>
      <c r="AC202" s="192">
        <v>1</v>
      </c>
      <c r="AD202" s="192">
        <v>0</v>
      </c>
      <c r="AE202" s="192">
        <f>AE200-Z202</f>
        <v>-141</v>
      </c>
      <c r="AF202" s="192">
        <f>AF200-AA202</f>
        <v>-180</v>
      </c>
      <c r="AG202" s="192">
        <f>AG200-AB202</f>
        <v>-283</v>
      </c>
      <c r="AH202" s="192">
        <f>AH200-AC202</f>
        <v>-254</v>
      </c>
      <c r="AI202" s="192">
        <f>AI200-AD202</f>
        <v>-151</v>
      </c>
      <c r="AJ202" s="107">
        <f>AJ200-AB202/1000+AK202</f>
        <v>1.5160000000000109</v>
      </c>
      <c r="AK202" s="203"/>
      <c r="AL202" s="203">
        <f>AL200+AK202</f>
        <v>1.2</v>
      </c>
      <c r="AM202" s="262"/>
      <c r="AN202" s="263"/>
      <c r="AO202" s="68" t="s">
        <v>152</v>
      </c>
    </row>
    <row r="203" spans="1:41" s="261" customFormat="1" ht="17.25" customHeight="1">
      <c r="A203" s="76">
        <v>193</v>
      </c>
      <c r="B203" s="77">
        <f>B202+1</f>
        <v>45745</v>
      </c>
      <c r="C203" s="213">
        <f>+C202</f>
        <v>1049</v>
      </c>
      <c r="D203" s="213">
        <f>D202+32</f>
        <v>2208</v>
      </c>
      <c r="E203" s="213">
        <f>+C203+D203</f>
        <v>3257</v>
      </c>
      <c r="F203" s="213">
        <f>E203-K203</f>
        <v>794</v>
      </c>
      <c r="G203" s="213">
        <f>E203-L203</f>
        <v>863</v>
      </c>
      <c r="H203" s="213">
        <f>E203-M203</f>
        <v>948</v>
      </c>
      <c r="I203" s="213">
        <f>E203-N203</f>
        <v>970</v>
      </c>
      <c r="J203" s="213">
        <f>E203-O203</f>
        <v>766</v>
      </c>
      <c r="K203" s="213">
        <f t="shared" ref="K203:K215" si="265">P203+U203</f>
        <v>2463</v>
      </c>
      <c r="L203" s="213">
        <f t="shared" ref="L203:L215" si="266">Q203+V203</f>
        <v>2394</v>
      </c>
      <c r="M203" s="213">
        <f t="shared" ref="M203:M215" si="267">R203+W203</f>
        <v>2309</v>
      </c>
      <c r="N203" s="213">
        <f t="shared" ref="N203:N215" si="268">S203+X203</f>
        <v>2287</v>
      </c>
      <c r="O203" s="213">
        <f t="shared" ref="O203:O215" si="269">T203+Y203</f>
        <v>2491</v>
      </c>
      <c r="P203" s="213">
        <f t="shared" ref="P203:T204" si="270">+P202</f>
        <v>2000</v>
      </c>
      <c r="Q203" s="213">
        <f t="shared" si="270"/>
        <v>2000</v>
      </c>
      <c r="R203" s="213">
        <f t="shared" si="270"/>
        <v>2000</v>
      </c>
      <c r="S203" s="213">
        <f t="shared" si="270"/>
        <v>2000</v>
      </c>
      <c r="T203" s="213">
        <f t="shared" si="270"/>
        <v>2000</v>
      </c>
      <c r="U203" s="213">
        <f t="shared" ref="U203:Y204" si="271">U202-Z203</f>
        <v>463</v>
      </c>
      <c r="V203" s="213">
        <f t="shared" si="271"/>
        <v>394</v>
      </c>
      <c r="W203" s="213">
        <f t="shared" si="271"/>
        <v>309</v>
      </c>
      <c r="X203" s="213">
        <f t="shared" si="271"/>
        <v>287</v>
      </c>
      <c r="Y203" s="213">
        <f t="shared" si="271"/>
        <v>491</v>
      </c>
      <c r="Z203" s="213">
        <v>5</v>
      </c>
      <c r="AA203" s="213">
        <v>5</v>
      </c>
      <c r="AB203" s="213">
        <v>7</v>
      </c>
      <c r="AC203" s="213">
        <v>8</v>
      </c>
      <c r="AD203" s="213">
        <v>7</v>
      </c>
      <c r="AE203" s="213">
        <f t="shared" ref="AE203:AI204" si="272">AE202-Z203</f>
        <v>-146</v>
      </c>
      <c r="AF203" s="213">
        <f t="shared" si="272"/>
        <v>-185</v>
      </c>
      <c r="AG203" s="213">
        <f t="shared" si="272"/>
        <v>-290</v>
      </c>
      <c r="AH203" s="213">
        <f t="shared" si="272"/>
        <v>-262</v>
      </c>
      <c r="AI203" s="213">
        <f t="shared" si="272"/>
        <v>-158</v>
      </c>
      <c r="AJ203" s="78">
        <f>AJ202-AB203/1000+AK203</f>
        <v>1.509000000000011</v>
      </c>
      <c r="AK203" s="259"/>
      <c r="AL203" s="259">
        <f>AL202+AK203</f>
        <v>1.2</v>
      </c>
      <c r="AM203" s="81"/>
      <c r="AN203" s="260"/>
    </row>
    <row r="204" spans="1:41" s="29" customFormat="1" ht="17.25" customHeight="1">
      <c r="A204" s="48">
        <v>194</v>
      </c>
      <c r="B204" s="49">
        <f>B203+1</f>
        <v>45746</v>
      </c>
      <c r="C204" s="220">
        <f>+C203</f>
        <v>1049</v>
      </c>
      <c r="D204" s="220">
        <f>D203-18</f>
        <v>2190</v>
      </c>
      <c r="E204" s="220">
        <f>+C204+D204</f>
        <v>3239</v>
      </c>
      <c r="F204" s="220">
        <f t="shared" ref="F204:F247" si="273">E204-K204</f>
        <v>780</v>
      </c>
      <c r="G204" s="220">
        <f t="shared" ref="G204:G247" si="274">E204-L204</f>
        <v>849</v>
      </c>
      <c r="H204" s="220">
        <f t="shared" ref="H204:H247" si="275">E204-M204</f>
        <v>937</v>
      </c>
      <c r="I204" s="220">
        <f t="shared" ref="I204:I247" si="276">E204-N204</f>
        <v>960</v>
      </c>
      <c r="J204" s="220">
        <f t="shared" ref="J204:J247" si="277">E204-O204</f>
        <v>754</v>
      </c>
      <c r="K204" s="220">
        <f t="shared" si="265"/>
        <v>2459</v>
      </c>
      <c r="L204" s="220">
        <f t="shared" si="266"/>
        <v>2390</v>
      </c>
      <c r="M204" s="220">
        <f t="shared" si="267"/>
        <v>2302</v>
      </c>
      <c r="N204" s="220">
        <f t="shared" si="268"/>
        <v>2279</v>
      </c>
      <c r="O204" s="220">
        <f t="shared" si="269"/>
        <v>2485</v>
      </c>
      <c r="P204" s="220">
        <f t="shared" si="270"/>
        <v>2000</v>
      </c>
      <c r="Q204" s="220">
        <f t="shared" si="270"/>
        <v>2000</v>
      </c>
      <c r="R204" s="220">
        <f t="shared" si="270"/>
        <v>2000</v>
      </c>
      <c r="S204" s="220">
        <f t="shared" si="270"/>
        <v>2000</v>
      </c>
      <c r="T204" s="220">
        <f t="shared" si="270"/>
        <v>2000</v>
      </c>
      <c r="U204" s="220">
        <f t="shared" si="271"/>
        <v>459</v>
      </c>
      <c r="V204" s="220">
        <f t="shared" si="271"/>
        <v>390</v>
      </c>
      <c r="W204" s="220">
        <f t="shared" si="271"/>
        <v>302</v>
      </c>
      <c r="X204" s="220">
        <f t="shared" si="271"/>
        <v>279</v>
      </c>
      <c r="Y204" s="220">
        <f t="shared" si="271"/>
        <v>485</v>
      </c>
      <c r="Z204" s="220">
        <v>4</v>
      </c>
      <c r="AA204" s="220">
        <v>4</v>
      </c>
      <c r="AB204" s="220">
        <v>7</v>
      </c>
      <c r="AC204" s="220">
        <v>8</v>
      </c>
      <c r="AD204" s="220">
        <v>6</v>
      </c>
      <c r="AE204" s="220">
        <f t="shared" si="272"/>
        <v>-150</v>
      </c>
      <c r="AF204" s="220">
        <f t="shared" si="272"/>
        <v>-189</v>
      </c>
      <c r="AG204" s="220">
        <f t="shared" si="272"/>
        <v>-297</v>
      </c>
      <c r="AH204" s="220">
        <f t="shared" si="272"/>
        <v>-270</v>
      </c>
      <c r="AI204" s="220">
        <f t="shared" si="272"/>
        <v>-164</v>
      </c>
      <c r="AJ204" s="50">
        <f>AJ203-AB204/1000+AK204</f>
        <v>1.5020000000000111</v>
      </c>
      <c r="AK204" s="257"/>
      <c r="AL204" s="257">
        <f>AL203+AK204</f>
        <v>1.2</v>
      </c>
      <c r="AM204" s="52"/>
      <c r="AN204" s="88"/>
    </row>
    <row r="205" spans="1:41" s="29" customFormat="1" ht="17.25" customHeight="1">
      <c r="A205" s="48">
        <v>195</v>
      </c>
      <c r="B205" s="49">
        <f t="shared" ref="B205:B266" si="278">B204+1</f>
        <v>45747</v>
      </c>
      <c r="C205" s="220">
        <f t="shared" ref="C205:C266" si="279">+C204</f>
        <v>1049</v>
      </c>
      <c r="D205" s="220">
        <f>D204-26</f>
        <v>2164</v>
      </c>
      <c r="E205" s="220">
        <f t="shared" ref="E205:E247" si="280">+C205+D205</f>
        <v>3213</v>
      </c>
      <c r="F205" s="220">
        <f t="shared" si="273"/>
        <v>757</v>
      </c>
      <c r="G205" s="220">
        <f t="shared" si="274"/>
        <v>826</v>
      </c>
      <c r="H205" s="220">
        <f t="shared" si="275"/>
        <v>918</v>
      </c>
      <c r="I205" s="220">
        <f t="shared" si="276"/>
        <v>942</v>
      </c>
      <c r="J205" s="220">
        <f t="shared" si="277"/>
        <v>734</v>
      </c>
      <c r="K205" s="220">
        <f t="shared" si="265"/>
        <v>2456</v>
      </c>
      <c r="L205" s="220">
        <f t="shared" si="266"/>
        <v>2387</v>
      </c>
      <c r="M205" s="220">
        <f t="shared" si="267"/>
        <v>2295</v>
      </c>
      <c r="N205" s="220">
        <f t="shared" si="268"/>
        <v>2271</v>
      </c>
      <c r="O205" s="220">
        <f t="shared" si="269"/>
        <v>2479</v>
      </c>
      <c r="P205" s="220">
        <f t="shared" ref="P205:T220" si="281">+P204</f>
        <v>2000</v>
      </c>
      <c r="Q205" s="220">
        <f t="shared" si="281"/>
        <v>2000</v>
      </c>
      <c r="R205" s="220">
        <f t="shared" si="281"/>
        <v>2000</v>
      </c>
      <c r="S205" s="220">
        <f t="shared" si="281"/>
        <v>2000</v>
      </c>
      <c r="T205" s="220">
        <f t="shared" si="281"/>
        <v>2000</v>
      </c>
      <c r="U205" s="220">
        <f t="shared" ref="U205:Y220" si="282">U204-Z205</f>
        <v>456</v>
      </c>
      <c r="V205" s="220">
        <f t="shared" si="282"/>
        <v>387</v>
      </c>
      <c r="W205" s="220">
        <f t="shared" si="282"/>
        <v>295</v>
      </c>
      <c r="X205" s="220">
        <f t="shared" si="282"/>
        <v>271</v>
      </c>
      <c r="Y205" s="220">
        <f t="shared" si="282"/>
        <v>479</v>
      </c>
      <c r="Z205" s="220">
        <v>3</v>
      </c>
      <c r="AA205" s="220">
        <v>3</v>
      </c>
      <c r="AB205" s="220">
        <v>7</v>
      </c>
      <c r="AC205" s="220">
        <v>8</v>
      </c>
      <c r="AD205" s="220">
        <v>6</v>
      </c>
      <c r="AE205" s="220">
        <f t="shared" ref="AE205:AI220" si="283">AE204-Z205</f>
        <v>-153</v>
      </c>
      <c r="AF205" s="220">
        <f t="shared" si="283"/>
        <v>-192</v>
      </c>
      <c r="AG205" s="220">
        <f t="shared" si="283"/>
        <v>-304</v>
      </c>
      <c r="AH205" s="220">
        <f t="shared" si="283"/>
        <v>-278</v>
      </c>
      <c r="AI205" s="220">
        <f t="shared" si="283"/>
        <v>-170</v>
      </c>
      <c r="AJ205" s="50">
        <f t="shared" ref="AJ205:AJ247" si="284">AJ204-AB205/1000+AK205</f>
        <v>1.4950000000000112</v>
      </c>
      <c r="AK205" s="257"/>
      <c r="AL205" s="257">
        <f t="shared" ref="AL205:AL247" si="285">AL204+AK205</f>
        <v>1.2</v>
      </c>
      <c r="AM205" s="52"/>
      <c r="AN205" s="88"/>
    </row>
    <row r="206" spans="1:41" s="29" customFormat="1" ht="17.25" customHeight="1">
      <c r="A206" s="48">
        <v>196</v>
      </c>
      <c r="B206" s="49">
        <f t="shared" si="278"/>
        <v>45748</v>
      </c>
      <c r="C206" s="220">
        <f t="shared" si="279"/>
        <v>1049</v>
      </c>
      <c r="D206" s="220">
        <f>D205+15</f>
        <v>2179</v>
      </c>
      <c r="E206" s="220">
        <f t="shared" si="280"/>
        <v>3228</v>
      </c>
      <c r="F206" s="220">
        <f t="shared" si="273"/>
        <v>776</v>
      </c>
      <c r="G206" s="220">
        <f t="shared" si="274"/>
        <v>845</v>
      </c>
      <c r="H206" s="220">
        <f t="shared" si="275"/>
        <v>940</v>
      </c>
      <c r="I206" s="220">
        <f t="shared" si="276"/>
        <v>965</v>
      </c>
      <c r="J206" s="220">
        <f t="shared" si="277"/>
        <v>755</v>
      </c>
      <c r="K206" s="220">
        <f t="shared" si="265"/>
        <v>2452</v>
      </c>
      <c r="L206" s="220">
        <f t="shared" si="266"/>
        <v>2383</v>
      </c>
      <c r="M206" s="220">
        <f t="shared" si="267"/>
        <v>2288</v>
      </c>
      <c r="N206" s="220">
        <f t="shared" si="268"/>
        <v>2263</v>
      </c>
      <c r="O206" s="220">
        <f t="shared" si="269"/>
        <v>2473</v>
      </c>
      <c r="P206" s="220">
        <f t="shared" si="281"/>
        <v>2000</v>
      </c>
      <c r="Q206" s="220">
        <f t="shared" si="281"/>
        <v>2000</v>
      </c>
      <c r="R206" s="220">
        <f t="shared" si="281"/>
        <v>2000</v>
      </c>
      <c r="S206" s="220">
        <f t="shared" si="281"/>
        <v>2000</v>
      </c>
      <c r="T206" s="220">
        <f t="shared" si="281"/>
        <v>2000</v>
      </c>
      <c r="U206" s="220">
        <f t="shared" si="282"/>
        <v>452</v>
      </c>
      <c r="V206" s="220">
        <f t="shared" si="282"/>
        <v>383</v>
      </c>
      <c r="W206" s="220">
        <f t="shared" si="282"/>
        <v>288</v>
      </c>
      <c r="X206" s="220">
        <f t="shared" si="282"/>
        <v>263</v>
      </c>
      <c r="Y206" s="220">
        <f t="shared" si="282"/>
        <v>473</v>
      </c>
      <c r="Z206" s="220">
        <v>4</v>
      </c>
      <c r="AA206" s="220">
        <v>4</v>
      </c>
      <c r="AB206" s="220">
        <v>7</v>
      </c>
      <c r="AC206" s="220">
        <v>8</v>
      </c>
      <c r="AD206" s="220">
        <v>6</v>
      </c>
      <c r="AE206" s="220">
        <f t="shared" si="283"/>
        <v>-157</v>
      </c>
      <c r="AF206" s="220">
        <f t="shared" si="283"/>
        <v>-196</v>
      </c>
      <c r="AG206" s="220">
        <f t="shared" si="283"/>
        <v>-311</v>
      </c>
      <c r="AH206" s="220">
        <f t="shared" si="283"/>
        <v>-286</v>
      </c>
      <c r="AI206" s="220">
        <f t="shared" si="283"/>
        <v>-176</v>
      </c>
      <c r="AJ206" s="50">
        <f t="shared" si="284"/>
        <v>1.4880000000000113</v>
      </c>
      <c r="AK206" s="257"/>
      <c r="AL206" s="257">
        <f t="shared" si="285"/>
        <v>1.2</v>
      </c>
      <c r="AM206" s="52"/>
      <c r="AN206" s="88"/>
    </row>
    <row r="207" spans="1:41" s="29" customFormat="1" ht="17.25" customHeight="1">
      <c r="A207" s="48">
        <v>197</v>
      </c>
      <c r="B207" s="49">
        <f t="shared" si="278"/>
        <v>45749</v>
      </c>
      <c r="C207" s="220">
        <f t="shared" si="279"/>
        <v>1049</v>
      </c>
      <c r="D207" s="220">
        <f>D206+26</f>
        <v>2205</v>
      </c>
      <c r="E207" s="220">
        <f t="shared" si="280"/>
        <v>3254</v>
      </c>
      <c r="F207" s="220">
        <f t="shared" si="273"/>
        <v>805</v>
      </c>
      <c r="G207" s="220">
        <f t="shared" si="274"/>
        <v>874</v>
      </c>
      <c r="H207" s="220">
        <f t="shared" si="275"/>
        <v>972</v>
      </c>
      <c r="I207" s="220">
        <f t="shared" si="276"/>
        <v>999</v>
      </c>
      <c r="J207" s="220">
        <f t="shared" si="277"/>
        <v>787</v>
      </c>
      <c r="K207" s="220">
        <f t="shared" si="265"/>
        <v>2449</v>
      </c>
      <c r="L207" s="220">
        <f t="shared" si="266"/>
        <v>2380</v>
      </c>
      <c r="M207" s="220">
        <f t="shared" si="267"/>
        <v>2282</v>
      </c>
      <c r="N207" s="220">
        <f t="shared" si="268"/>
        <v>2255</v>
      </c>
      <c r="O207" s="220">
        <f t="shared" si="269"/>
        <v>2467</v>
      </c>
      <c r="P207" s="220">
        <f t="shared" si="281"/>
        <v>2000</v>
      </c>
      <c r="Q207" s="220">
        <f t="shared" si="281"/>
        <v>2000</v>
      </c>
      <c r="R207" s="220">
        <f t="shared" si="281"/>
        <v>2000</v>
      </c>
      <c r="S207" s="220">
        <f t="shared" si="281"/>
        <v>2000</v>
      </c>
      <c r="T207" s="220">
        <f t="shared" si="281"/>
        <v>2000</v>
      </c>
      <c r="U207" s="220">
        <f t="shared" si="282"/>
        <v>449</v>
      </c>
      <c r="V207" s="220">
        <f t="shared" si="282"/>
        <v>380</v>
      </c>
      <c r="W207" s="220">
        <f t="shared" si="282"/>
        <v>282</v>
      </c>
      <c r="X207" s="220">
        <f t="shared" si="282"/>
        <v>255</v>
      </c>
      <c r="Y207" s="220">
        <f t="shared" si="282"/>
        <v>467</v>
      </c>
      <c r="Z207" s="220">
        <v>3</v>
      </c>
      <c r="AA207" s="220">
        <v>3</v>
      </c>
      <c r="AB207" s="220">
        <v>6</v>
      </c>
      <c r="AC207" s="220">
        <v>8</v>
      </c>
      <c r="AD207" s="220">
        <v>6</v>
      </c>
      <c r="AE207" s="220">
        <f t="shared" si="283"/>
        <v>-160</v>
      </c>
      <c r="AF207" s="220">
        <f t="shared" si="283"/>
        <v>-199</v>
      </c>
      <c r="AG207" s="220">
        <f t="shared" si="283"/>
        <v>-317</v>
      </c>
      <c r="AH207" s="220">
        <f t="shared" si="283"/>
        <v>-294</v>
      </c>
      <c r="AI207" s="220">
        <f t="shared" si="283"/>
        <v>-182</v>
      </c>
      <c r="AJ207" s="50">
        <f t="shared" si="284"/>
        <v>1.4820000000000113</v>
      </c>
      <c r="AK207" s="257"/>
      <c r="AL207" s="257">
        <f t="shared" si="285"/>
        <v>1.2</v>
      </c>
      <c r="AM207" s="52"/>
      <c r="AN207" s="88"/>
    </row>
    <row r="208" spans="1:41" s="29" customFormat="1" ht="17.25" customHeight="1">
      <c r="A208" s="48">
        <v>198</v>
      </c>
      <c r="B208" s="49">
        <f t="shared" si="278"/>
        <v>45750</v>
      </c>
      <c r="C208" s="220">
        <f t="shared" si="279"/>
        <v>1049</v>
      </c>
      <c r="D208" s="220">
        <f>D207-26</f>
        <v>2179</v>
      </c>
      <c r="E208" s="220">
        <f t="shared" si="280"/>
        <v>3228</v>
      </c>
      <c r="F208" s="220">
        <f t="shared" si="273"/>
        <v>782</v>
      </c>
      <c r="G208" s="220">
        <f t="shared" si="274"/>
        <v>851</v>
      </c>
      <c r="H208" s="220">
        <f t="shared" si="275"/>
        <v>952</v>
      </c>
      <c r="I208" s="220">
        <f t="shared" si="276"/>
        <v>980</v>
      </c>
      <c r="J208" s="220">
        <f t="shared" si="277"/>
        <v>766</v>
      </c>
      <c r="K208" s="220">
        <f t="shared" si="265"/>
        <v>2446</v>
      </c>
      <c r="L208" s="220">
        <f t="shared" si="266"/>
        <v>2377</v>
      </c>
      <c r="M208" s="220">
        <f t="shared" si="267"/>
        <v>2276</v>
      </c>
      <c r="N208" s="220">
        <f t="shared" si="268"/>
        <v>2248</v>
      </c>
      <c r="O208" s="220">
        <f t="shared" si="269"/>
        <v>2462</v>
      </c>
      <c r="P208" s="220">
        <f t="shared" si="281"/>
        <v>2000</v>
      </c>
      <c r="Q208" s="220">
        <f t="shared" si="281"/>
        <v>2000</v>
      </c>
      <c r="R208" s="220">
        <f t="shared" si="281"/>
        <v>2000</v>
      </c>
      <c r="S208" s="220">
        <f t="shared" si="281"/>
        <v>2000</v>
      </c>
      <c r="T208" s="220">
        <f t="shared" si="281"/>
        <v>2000</v>
      </c>
      <c r="U208" s="220">
        <f t="shared" si="282"/>
        <v>446</v>
      </c>
      <c r="V208" s="220">
        <f t="shared" si="282"/>
        <v>377</v>
      </c>
      <c r="W208" s="220">
        <f t="shared" si="282"/>
        <v>276</v>
      </c>
      <c r="X208" s="220">
        <f t="shared" si="282"/>
        <v>248</v>
      </c>
      <c r="Y208" s="220">
        <f t="shared" si="282"/>
        <v>462</v>
      </c>
      <c r="Z208" s="220">
        <v>3</v>
      </c>
      <c r="AA208" s="220">
        <v>3</v>
      </c>
      <c r="AB208" s="220">
        <v>6</v>
      </c>
      <c r="AC208" s="220">
        <v>7</v>
      </c>
      <c r="AD208" s="220">
        <v>5</v>
      </c>
      <c r="AE208" s="220">
        <f t="shared" si="283"/>
        <v>-163</v>
      </c>
      <c r="AF208" s="220">
        <f t="shared" si="283"/>
        <v>-202</v>
      </c>
      <c r="AG208" s="220">
        <f t="shared" si="283"/>
        <v>-323</v>
      </c>
      <c r="AH208" s="220">
        <f t="shared" si="283"/>
        <v>-301</v>
      </c>
      <c r="AI208" s="220">
        <f t="shared" si="283"/>
        <v>-187</v>
      </c>
      <c r="AJ208" s="50">
        <f t="shared" si="284"/>
        <v>1.4760000000000113</v>
      </c>
      <c r="AK208" s="257"/>
      <c r="AL208" s="257">
        <f t="shared" si="285"/>
        <v>1.2</v>
      </c>
      <c r="AM208" s="52"/>
      <c r="AN208" s="88"/>
    </row>
    <row r="209" spans="1:42" s="29" customFormat="1" ht="17.25" customHeight="1">
      <c r="A209" s="48">
        <v>199</v>
      </c>
      <c r="B209" s="49">
        <f t="shared" si="278"/>
        <v>45751</v>
      </c>
      <c r="C209" s="220">
        <f t="shared" si="279"/>
        <v>1049</v>
      </c>
      <c r="D209" s="220">
        <f>D208+15</f>
        <v>2194</v>
      </c>
      <c r="E209" s="220">
        <f t="shared" si="280"/>
        <v>3243</v>
      </c>
      <c r="F209" s="220">
        <f t="shared" si="273"/>
        <v>800</v>
      </c>
      <c r="G209" s="220">
        <f t="shared" si="274"/>
        <v>870</v>
      </c>
      <c r="H209" s="220">
        <f t="shared" si="275"/>
        <v>973</v>
      </c>
      <c r="I209" s="220">
        <f t="shared" si="276"/>
        <v>1001</v>
      </c>
      <c r="J209" s="220">
        <f t="shared" si="277"/>
        <v>786</v>
      </c>
      <c r="K209" s="220">
        <f t="shared" si="265"/>
        <v>2443</v>
      </c>
      <c r="L209" s="220">
        <f t="shared" si="266"/>
        <v>2373</v>
      </c>
      <c r="M209" s="220">
        <f t="shared" si="267"/>
        <v>2270</v>
      </c>
      <c r="N209" s="220">
        <f t="shared" si="268"/>
        <v>2242</v>
      </c>
      <c r="O209" s="220">
        <f t="shared" si="269"/>
        <v>2457</v>
      </c>
      <c r="P209" s="220">
        <f t="shared" si="281"/>
        <v>2000</v>
      </c>
      <c r="Q209" s="220">
        <f t="shared" si="281"/>
        <v>2000</v>
      </c>
      <c r="R209" s="220">
        <f t="shared" si="281"/>
        <v>2000</v>
      </c>
      <c r="S209" s="220">
        <f t="shared" si="281"/>
        <v>2000</v>
      </c>
      <c r="T209" s="220">
        <f t="shared" si="281"/>
        <v>2000</v>
      </c>
      <c r="U209" s="220">
        <f t="shared" si="282"/>
        <v>443</v>
      </c>
      <c r="V209" s="220">
        <f t="shared" si="282"/>
        <v>373</v>
      </c>
      <c r="W209" s="220">
        <f t="shared" si="282"/>
        <v>270</v>
      </c>
      <c r="X209" s="220">
        <f t="shared" si="282"/>
        <v>242</v>
      </c>
      <c r="Y209" s="220">
        <f t="shared" si="282"/>
        <v>457</v>
      </c>
      <c r="Z209" s="220">
        <v>3</v>
      </c>
      <c r="AA209" s="220">
        <v>4</v>
      </c>
      <c r="AB209" s="220">
        <v>6</v>
      </c>
      <c r="AC209" s="220">
        <v>6</v>
      </c>
      <c r="AD209" s="220">
        <v>5</v>
      </c>
      <c r="AE209" s="220">
        <f t="shared" si="283"/>
        <v>-166</v>
      </c>
      <c r="AF209" s="220">
        <f t="shared" si="283"/>
        <v>-206</v>
      </c>
      <c r="AG209" s="220">
        <f t="shared" si="283"/>
        <v>-329</v>
      </c>
      <c r="AH209" s="220">
        <f t="shared" si="283"/>
        <v>-307</v>
      </c>
      <c r="AI209" s="220">
        <f t="shared" si="283"/>
        <v>-192</v>
      </c>
      <c r="AJ209" s="50">
        <f t="shared" si="284"/>
        <v>1.4700000000000113</v>
      </c>
      <c r="AK209" s="257"/>
      <c r="AL209" s="257">
        <f t="shared" si="285"/>
        <v>1.2</v>
      </c>
      <c r="AM209" s="52"/>
      <c r="AN209" s="88"/>
    </row>
    <row r="210" spans="1:42" s="29" customFormat="1" ht="17.25" customHeight="1">
      <c r="A210" s="48">
        <v>200</v>
      </c>
      <c r="B210" s="49">
        <f t="shared" si="278"/>
        <v>45752</v>
      </c>
      <c r="C210" s="220">
        <f t="shared" si="279"/>
        <v>1049</v>
      </c>
      <c r="D210" s="220">
        <f>D209+26</f>
        <v>2220</v>
      </c>
      <c r="E210" s="220">
        <f t="shared" si="280"/>
        <v>3269</v>
      </c>
      <c r="F210" s="220">
        <f t="shared" si="273"/>
        <v>829</v>
      </c>
      <c r="G210" s="220">
        <f t="shared" si="274"/>
        <v>900</v>
      </c>
      <c r="H210" s="220">
        <f t="shared" si="275"/>
        <v>1005</v>
      </c>
      <c r="I210" s="220">
        <f t="shared" si="276"/>
        <v>1032</v>
      </c>
      <c r="J210" s="220">
        <f t="shared" si="277"/>
        <v>817</v>
      </c>
      <c r="K210" s="220">
        <f t="shared" si="265"/>
        <v>2440</v>
      </c>
      <c r="L210" s="220">
        <f t="shared" si="266"/>
        <v>2369</v>
      </c>
      <c r="M210" s="220">
        <f t="shared" si="267"/>
        <v>2264</v>
      </c>
      <c r="N210" s="220">
        <f t="shared" si="268"/>
        <v>2237</v>
      </c>
      <c r="O210" s="220">
        <f t="shared" si="269"/>
        <v>2452</v>
      </c>
      <c r="P210" s="220">
        <f t="shared" si="281"/>
        <v>2000</v>
      </c>
      <c r="Q210" s="220">
        <f t="shared" si="281"/>
        <v>2000</v>
      </c>
      <c r="R210" s="220">
        <f t="shared" si="281"/>
        <v>2000</v>
      </c>
      <c r="S210" s="220">
        <f t="shared" si="281"/>
        <v>2000</v>
      </c>
      <c r="T210" s="220">
        <f t="shared" si="281"/>
        <v>2000</v>
      </c>
      <c r="U210" s="220">
        <f t="shared" si="282"/>
        <v>440</v>
      </c>
      <c r="V210" s="220">
        <f t="shared" si="282"/>
        <v>369</v>
      </c>
      <c r="W210" s="220">
        <f t="shared" si="282"/>
        <v>264</v>
      </c>
      <c r="X210" s="220">
        <f t="shared" si="282"/>
        <v>237</v>
      </c>
      <c r="Y210" s="220">
        <f t="shared" si="282"/>
        <v>452</v>
      </c>
      <c r="Z210" s="220">
        <v>3</v>
      </c>
      <c r="AA210" s="220">
        <v>4</v>
      </c>
      <c r="AB210" s="220">
        <v>6</v>
      </c>
      <c r="AC210" s="220">
        <v>5</v>
      </c>
      <c r="AD210" s="220">
        <v>5</v>
      </c>
      <c r="AE210" s="220">
        <f t="shared" si="283"/>
        <v>-169</v>
      </c>
      <c r="AF210" s="220">
        <f t="shared" si="283"/>
        <v>-210</v>
      </c>
      <c r="AG210" s="220">
        <f t="shared" si="283"/>
        <v>-335</v>
      </c>
      <c r="AH210" s="220">
        <f t="shared" si="283"/>
        <v>-312</v>
      </c>
      <c r="AI210" s="220">
        <f t="shared" si="283"/>
        <v>-197</v>
      </c>
      <c r="AJ210" s="50">
        <f t="shared" si="284"/>
        <v>1.4640000000000113</v>
      </c>
      <c r="AK210" s="257"/>
      <c r="AL210" s="257">
        <f t="shared" si="285"/>
        <v>1.2</v>
      </c>
      <c r="AM210" s="52"/>
      <c r="AN210" s="88"/>
    </row>
    <row r="211" spans="1:42" s="68" customFormat="1" ht="17.25" customHeight="1">
      <c r="A211" s="48">
        <v>201</v>
      </c>
      <c r="B211" s="49">
        <f t="shared" si="278"/>
        <v>45753</v>
      </c>
      <c r="C211" s="220">
        <f t="shared" si="279"/>
        <v>1049</v>
      </c>
      <c r="D211" s="220">
        <f>D210+32</f>
        <v>2252</v>
      </c>
      <c r="E211" s="220">
        <f t="shared" si="280"/>
        <v>3301</v>
      </c>
      <c r="F211" s="220">
        <f t="shared" si="273"/>
        <v>865</v>
      </c>
      <c r="G211" s="220">
        <f t="shared" si="274"/>
        <v>936</v>
      </c>
      <c r="H211" s="220">
        <f t="shared" si="275"/>
        <v>1043</v>
      </c>
      <c r="I211" s="220">
        <f t="shared" si="276"/>
        <v>1072</v>
      </c>
      <c r="J211" s="220">
        <f t="shared" si="277"/>
        <v>854</v>
      </c>
      <c r="K211" s="220">
        <f t="shared" si="265"/>
        <v>2436</v>
      </c>
      <c r="L211" s="220">
        <f t="shared" si="266"/>
        <v>2365</v>
      </c>
      <c r="M211" s="220">
        <f t="shared" si="267"/>
        <v>2258</v>
      </c>
      <c r="N211" s="220">
        <f t="shared" si="268"/>
        <v>2229</v>
      </c>
      <c r="O211" s="220">
        <f t="shared" si="269"/>
        <v>2447</v>
      </c>
      <c r="P211" s="220">
        <f t="shared" si="281"/>
        <v>2000</v>
      </c>
      <c r="Q211" s="220">
        <f t="shared" si="281"/>
        <v>2000</v>
      </c>
      <c r="R211" s="220">
        <f t="shared" si="281"/>
        <v>2000</v>
      </c>
      <c r="S211" s="220">
        <f t="shared" si="281"/>
        <v>2000</v>
      </c>
      <c r="T211" s="220">
        <f t="shared" si="281"/>
        <v>2000</v>
      </c>
      <c r="U211" s="220">
        <f t="shared" si="282"/>
        <v>436</v>
      </c>
      <c r="V211" s="220">
        <f t="shared" si="282"/>
        <v>365</v>
      </c>
      <c r="W211" s="220">
        <f t="shared" si="282"/>
        <v>258</v>
      </c>
      <c r="X211" s="220">
        <f t="shared" si="282"/>
        <v>229</v>
      </c>
      <c r="Y211" s="220">
        <f t="shared" si="282"/>
        <v>447</v>
      </c>
      <c r="Z211" s="220">
        <v>4</v>
      </c>
      <c r="AA211" s="220">
        <v>4</v>
      </c>
      <c r="AB211" s="220">
        <v>6</v>
      </c>
      <c r="AC211" s="220">
        <v>8</v>
      </c>
      <c r="AD211" s="220">
        <v>5</v>
      </c>
      <c r="AE211" s="220">
        <f t="shared" si="283"/>
        <v>-173</v>
      </c>
      <c r="AF211" s="220">
        <f t="shared" si="283"/>
        <v>-214</v>
      </c>
      <c r="AG211" s="220">
        <f t="shared" si="283"/>
        <v>-341</v>
      </c>
      <c r="AH211" s="220">
        <f t="shared" si="283"/>
        <v>-320</v>
      </c>
      <c r="AI211" s="220">
        <f t="shared" si="283"/>
        <v>-202</v>
      </c>
      <c r="AJ211" s="50">
        <f t="shared" si="284"/>
        <v>1.4580000000000113</v>
      </c>
      <c r="AK211" s="257"/>
      <c r="AL211" s="257">
        <f t="shared" si="285"/>
        <v>1.2</v>
      </c>
      <c r="AM211" s="52"/>
      <c r="AN211" s="88"/>
      <c r="AO211" s="29"/>
      <c r="AP211" s="29"/>
    </row>
    <row r="212" spans="1:42" s="29" customFormat="1" ht="17.25" customHeight="1">
      <c r="A212" s="105">
        <v>202</v>
      </c>
      <c r="B212" s="104">
        <f t="shared" si="278"/>
        <v>45754</v>
      </c>
      <c r="C212" s="192">
        <f t="shared" si="279"/>
        <v>1049</v>
      </c>
      <c r="D212" s="192">
        <f>D211-18</f>
        <v>2234</v>
      </c>
      <c r="E212" s="192">
        <f t="shared" si="280"/>
        <v>3283</v>
      </c>
      <c r="F212" s="192">
        <f t="shared" si="273"/>
        <v>851</v>
      </c>
      <c r="G212" s="192">
        <f t="shared" si="274"/>
        <v>923</v>
      </c>
      <c r="H212" s="192">
        <f t="shared" si="275"/>
        <v>1031</v>
      </c>
      <c r="I212" s="192">
        <f t="shared" si="276"/>
        <v>1059</v>
      </c>
      <c r="J212" s="192">
        <f t="shared" si="277"/>
        <v>840</v>
      </c>
      <c r="K212" s="192">
        <f t="shared" si="265"/>
        <v>2432</v>
      </c>
      <c r="L212" s="192">
        <f t="shared" si="266"/>
        <v>2360</v>
      </c>
      <c r="M212" s="192">
        <f t="shared" si="267"/>
        <v>2252</v>
      </c>
      <c r="N212" s="192">
        <f t="shared" si="268"/>
        <v>2224</v>
      </c>
      <c r="O212" s="192">
        <f t="shared" si="269"/>
        <v>2443</v>
      </c>
      <c r="P212" s="192">
        <f t="shared" si="281"/>
        <v>2000</v>
      </c>
      <c r="Q212" s="192">
        <f t="shared" si="281"/>
        <v>2000</v>
      </c>
      <c r="R212" s="192">
        <f t="shared" si="281"/>
        <v>2000</v>
      </c>
      <c r="S212" s="192">
        <f t="shared" si="281"/>
        <v>2000</v>
      </c>
      <c r="T212" s="192">
        <f t="shared" si="281"/>
        <v>2000</v>
      </c>
      <c r="U212" s="192">
        <f t="shared" si="282"/>
        <v>432</v>
      </c>
      <c r="V212" s="192">
        <f t="shared" si="282"/>
        <v>360</v>
      </c>
      <c r="W212" s="192">
        <f t="shared" si="282"/>
        <v>252</v>
      </c>
      <c r="X212" s="192">
        <f t="shared" si="282"/>
        <v>224</v>
      </c>
      <c r="Y212" s="192">
        <f t="shared" si="282"/>
        <v>443</v>
      </c>
      <c r="Z212" s="192">
        <v>4</v>
      </c>
      <c r="AA212" s="192">
        <v>5</v>
      </c>
      <c r="AB212" s="220">
        <v>6</v>
      </c>
      <c r="AC212" s="192">
        <v>5</v>
      </c>
      <c r="AD212" s="192">
        <v>4</v>
      </c>
      <c r="AE212" s="192">
        <f t="shared" si="283"/>
        <v>-177</v>
      </c>
      <c r="AF212" s="192">
        <f t="shared" si="283"/>
        <v>-219</v>
      </c>
      <c r="AG212" s="192">
        <f t="shared" si="283"/>
        <v>-347</v>
      </c>
      <c r="AH212" s="192">
        <f t="shared" si="283"/>
        <v>-325</v>
      </c>
      <c r="AI212" s="192">
        <f t="shared" si="283"/>
        <v>-206</v>
      </c>
      <c r="AJ212" s="107">
        <f t="shared" si="284"/>
        <v>1.4520000000000113</v>
      </c>
      <c r="AK212" s="203"/>
      <c r="AL212" s="203">
        <f t="shared" si="285"/>
        <v>1.2</v>
      </c>
      <c r="AM212" s="262"/>
      <c r="AN212" s="263"/>
      <c r="AO212" s="68" t="s">
        <v>152</v>
      </c>
      <c r="AP212" s="68"/>
    </row>
    <row r="213" spans="1:42" s="29" customFormat="1" ht="17.25" customHeight="1">
      <c r="A213" s="48">
        <v>203</v>
      </c>
      <c r="B213" s="49">
        <f t="shared" si="278"/>
        <v>45755</v>
      </c>
      <c r="C213" s="220">
        <f t="shared" si="279"/>
        <v>1049</v>
      </c>
      <c r="D213" s="220">
        <f>D212-26</f>
        <v>2208</v>
      </c>
      <c r="E213" s="220">
        <f t="shared" si="280"/>
        <v>3257</v>
      </c>
      <c r="F213" s="220">
        <f t="shared" si="273"/>
        <v>829</v>
      </c>
      <c r="G213" s="220">
        <f t="shared" si="274"/>
        <v>902</v>
      </c>
      <c r="H213" s="220">
        <f t="shared" si="275"/>
        <v>1011</v>
      </c>
      <c r="I213" s="220">
        <f t="shared" si="276"/>
        <v>1040</v>
      </c>
      <c r="J213" s="220">
        <f t="shared" si="277"/>
        <v>817</v>
      </c>
      <c r="K213" s="220">
        <f t="shared" si="265"/>
        <v>2428</v>
      </c>
      <c r="L213" s="220">
        <f t="shared" si="266"/>
        <v>2355</v>
      </c>
      <c r="M213" s="220">
        <f t="shared" si="267"/>
        <v>2246</v>
      </c>
      <c r="N213" s="220">
        <f t="shared" si="268"/>
        <v>2217</v>
      </c>
      <c r="O213" s="220">
        <f t="shared" si="269"/>
        <v>2440</v>
      </c>
      <c r="P213" s="220">
        <f t="shared" si="281"/>
        <v>2000</v>
      </c>
      <c r="Q213" s="220">
        <f t="shared" si="281"/>
        <v>2000</v>
      </c>
      <c r="R213" s="220">
        <f t="shared" si="281"/>
        <v>2000</v>
      </c>
      <c r="S213" s="220">
        <f t="shared" si="281"/>
        <v>2000</v>
      </c>
      <c r="T213" s="220">
        <f t="shared" si="281"/>
        <v>2000</v>
      </c>
      <c r="U213" s="220">
        <f t="shared" si="282"/>
        <v>428</v>
      </c>
      <c r="V213" s="220">
        <f t="shared" si="282"/>
        <v>355</v>
      </c>
      <c r="W213" s="220">
        <f t="shared" si="282"/>
        <v>246</v>
      </c>
      <c r="X213" s="220">
        <f t="shared" si="282"/>
        <v>217</v>
      </c>
      <c r="Y213" s="220">
        <f t="shared" si="282"/>
        <v>440</v>
      </c>
      <c r="Z213" s="220">
        <v>4</v>
      </c>
      <c r="AA213" s="220">
        <v>5</v>
      </c>
      <c r="AB213" s="220">
        <v>6</v>
      </c>
      <c r="AC213" s="220">
        <v>7</v>
      </c>
      <c r="AD213" s="220">
        <v>3</v>
      </c>
      <c r="AE213" s="220">
        <f t="shared" si="283"/>
        <v>-181</v>
      </c>
      <c r="AF213" s="220">
        <f t="shared" si="283"/>
        <v>-224</v>
      </c>
      <c r="AG213" s="220">
        <f t="shared" si="283"/>
        <v>-353</v>
      </c>
      <c r="AH213" s="220">
        <f t="shared" si="283"/>
        <v>-332</v>
      </c>
      <c r="AI213" s="220">
        <f t="shared" si="283"/>
        <v>-209</v>
      </c>
      <c r="AJ213" s="50">
        <f t="shared" si="284"/>
        <v>1.4460000000000113</v>
      </c>
      <c r="AK213" s="257"/>
      <c r="AL213" s="257">
        <f t="shared" si="285"/>
        <v>1.2</v>
      </c>
      <c r="AM213" s="52"/>
      <c r="AN213" s="88"/>
    </row>
    <row r="214" spans="1:42" s="29" customFormat="1" ht="17.25" customHeight="1">
      <c r="A214" s="48">
        <v>204</v>
      </c>
      <c r="B214" s="49">
        <f t="shared" si="278"/>
        <v>45756</v>
      </c>
      <c r="C214" s="220">
        <f t="shared" si="279"/>
        <v>1049</v>
      </c>
      <c r="D214" s="220">
        <f>D213+15</f>
        <v>2223</v>
      </c>
      <c r="E214" s="220">
        <f t="shared" si="280"/>
        <v>3272</v>
      </c>
      <c r="F214" s="220">
        <f t="shared" si="273"/>
        <v>848</v>
      </c>
      <c r="G214" s="220">
        <f t="shared" si="274"/>
        <v>922</v>
      </c>
      <c r="H214" s="220">
        <f t="shared" si="275"/>
        <v>1032</v>
      </c>
      <c r="I214" s="220">
        <f t="shared" si="276"/>
        <v>1062</v>
      </c>
      <c r="J214" s="220">
        <f t="shared" si="277"/>
        <v>836</v>
      </c>
      <c r="K214" s="220">
        <f t="shared" si="265"/>
        <v>2424</v>
      </c>
      <c r="L214" s="220">
        <f t="shared" si="266"/>
        <v>2350</v>
      </c>
      <c r="M214" s="220">
        <f t="shared" si="267"/>
        <v>2240</v>
      </c>
      <c r="N214" s="220">
        <f t="shared" si="268"/>
        <v>2210</v>
      </c>
      <c r="O214" s="220">
        <f t="shared" si="269"/>
        <v>2436</v>
      </c>
      <c r="P214" s="220">
        <f t="shared" si="281"/>
        <v>2000</v>
      </c>
      <c r="Q214" s="220">
        <f t="shared" si="281"/>
        <v>2000</v>
      </c>
      <c r="R214" s="220">
        <f t="shared" si="281"/>
        <v>2000</v>
      </c>
      <c r="S214" s="220">
        <f t="shared" si="281"/>
        <v>2000</v>
      </c>
      <c r="T214" s="220">
        <f t="shared" si="281"/>
        <v>2000</v>
      </c>
      <c r="U214" s="220">
        <f t="shared" si="282"/>
        <v>424</v>
      </c>
      <c r="V214" s="220">
        <f t="shared" si="282"/>
        <v>350</v>
      </c>
      <c r="W214" s="220">
        <f t="shared" si="282"/>
        <v>240</v>
      </c>
      <c r="X214" s="220">
        <f t="shared" si="282"/>
        <v>210</v>
      </c>
      <c r="Y214" s="220">
        <f t="shared" si="282"/>
        <v>436</v>
      </c>
      <c r="Z214" s="220">
        <v>4</v>
      </c>
      <c r="AA214" s="220">
        <v>5</v>
      </c>
      <c r="AB214" s="220">
        <v>6</v>
      </c>
      <c r="AC214" s="220">
        <v>7</v>
      </c>
      <c r="AD214" s="220">
        <v>4</v>
      </c>
      <c r="AE214" s="220">
        <f t="shared" si="283"/>
        <v>-185</v>
      </c>
      <c r="AF214" s="220">
        <f t="shared" si="283"/>
        <v>-229</v>
      </c>
      <c r="AG214" s="220">
        <f t="shared" si="283"/>
        <v>-359</v>
      </c>
      <c r="AH214" s="220">
        <f t="shared" si="283"/>
        <v>-339</v>
      </c>
      <c r="AI214" s="220">
        <f t="shared" si="283"/>
        <v>-213</v>
      </c>
      <c r="AJ214" s="50">
        <f t="shared" si="284"/>
        <v>1.4400000000000113</v>
      </c>
      <c r="AK214" s="257"/>
      <c r="AL214" s="257">
        <f t="shared" si="285"/>
        <v>1.2</v>
      </c>
      <c r="AM214" s="52"/>
      <c r="AN214" s="88"/>
    </row>
    <row r="215" spans="1:42" s="29" customFormat="1" ht="17.25" customHeight="1">
      <c r="A215" s="48">
        <v>205</v>
      </c>
      <c r="B215" s="49">
        <f t="shared" si="278"/>
        <v>45757</v>
      </c>
      <c r="C215" s="220">
        <f t="shared" si="279"/>
        <v>1049</v>
      </c>
      <c r="D215" s="220">
        <f>D214+26</f>
        <v>2249</v>
      </c>
      <c r="E215" s="220">
        <f t="shared" si="280"/>
        <v>3298</v>
      </c>
      <c r="F215" s="220">
        <f t="shared" si="273"/>
        <v>879</v>
      </c>
      <c r="G215" s="220">
        <f t="shared" si="274"/>
        <v>953</v>
      </c>
      <c r="H215" s="220">
        <f t="shared" si="275"/>
        <v>1066</v>
      </c>
      <c r="I215" s="220">
        <f t="shared" si="276"/>
        <v>1094</v>
      </c>
      <c r="J215" s="220">
        <f t="shared" si="277"/>
        <v>865</v>
      </c>
      <c r="K215" s="220">
        <f t="shared" si="265"/>
        <v>2419</v>
      </c>
      <c r="L215" s="220">
        <f t="shared" si="266"/>
        <v>2345</v>
      </c>
      <c r="M215" s="220">
        <f t="shared" si="267"/>
        <v>2232</v>
      </c>
      <c r="N215" s="220">
        <f t="shared" si="268"/>
        <v>2204</v>
      </c>
      <c r="O215" s="220">
        <f t="shared" si="269"/>
        <v>2433</v>
      </c>
      <c r="P215" s="220">
        <f t="shared" si="281"/>
        <v>2000</v>
      </c>
      <c r="Q215" s="220">
        <f t="shared" si="281"/>
        <v>2000</v>
      </c>
      <c r="R215" s="220">
        <f t="shared" si="281"/>
        <v>2000</v>
      </c>
      <c r="S215" s="220">
        <f t="shared" si="281"/>
        <v>2000</v>
      </c>
      <c r="T215" s="220">
        <f t="shared" si="281"/>
        <v>2000</v>
      </c>
      <c r="U215" s="220">
        <f t="shared" si="282"/>
        <v>419</v>
      </c>
      <c r="V215" s="220">
        <f t="shared" si="282"/>
        <v>345</v>
      </c>
      <c r="W215" s="220">
        <f t="shared" si="282"/>
        <v>232</v>
      </c>
      <c r="X215" s="220">
        <f t="shared" si="282"/>
        <v>204</v>
      </c>
      <c r="Y215" s="220">
        <f t="shared" si="282"/>
        <v>433</v>
      </c>
      <c r="Z215" s="220">
        <v>5</v>
      </c>
      <c r="AA215" s="220">
        <v>5</v>
      </c>
      <c r="AB215" s="220">
        <v>8</v>
      </c>
      <c r="AC215" s="220">
        <v>6</v>
      </c>
      <c r="AD215" s="220">
        <v>3</v>
      </c>
      <c r="AE215" s="220">
        <f t="shared" si="283"/>
        <v>-190</v>
      </c>
      <c r="AF215" s="220">
        <f t="shared" si="283"/>
        <v>-234</v>
      </c>
      <c r="AG215" s="220">
        <f t="shared" si="283"/>
        <v>-367</v>
      </c>
      <c r="AH215" s="220">
        <f t="shared" si="283"/>
        <v>-345</v>
      </c>
      <c r="AI215" s="220">
        <f t="shared" si="283"/>
        <v>-216</v>
      </c>
      <c r="AJ215" s="50">
        <f t="shared" si="284"/>
        <v>1.4320000000000113</v>
      </c>
      <c r="AK215" s="257"/>
      <c r="AL215" s="257">
        <f t="shared" si="285"/>
        <v>1.2</v>
      </c>
      <c r="AM215" s="52"/>
      <c r="AN215" s="88"/>
    </row>
    <row r="216" spans="1:42" s="29" customFormat="1" ht="17.25" customHeight="1">
      <c r="A216" s="48">
        <v>206</v>
      </c>
      <c r="B216" s="49">
        <f t="shared" si="278"/>
        <v>45758</v>
      </c>
      <c r="C216" s="220">
        <f t="shared" si="279"/>
        <v>1049</v>
      </c>
      <c r="D216" s="220">
        <f>D215-26</f>
        <v>2223</v>
      </c>
      <c r="E216" s="220">
        <f t="shared" si="280"/>
        <v>3272</v>
      </c>
      <c r="F216" s="220">
        <f t="shared" si="273"/>
        <v>857</v>
      </c>
      <c r="G216" s="220">
        <f t="shared" si="274"/>
        <v>931</v>
      </c>
      <c r="H216" s="220">
        <f t="shared" si="275"/>
        <v>1046</v>
      </c>
      <c r="I216" s="220">
        <f t="shared" si="276"/>
        <v>1074</v>
      </c>
      <c r="J216" s="220">
        <f t="shared" si="277"/>
        <v>842</v>
      </c>
      <c r="K216" s="220">
        <f t="shared" ref="K216:O247" si="286">P216+U216</f>
        <v>2415</v>
      </c>
      <c r="L216" s="220">
        <f t="shared" si="286"/>
        <v>2341</v>
      </c>
      <c r="M216" s="220">
        <f t="shared" si="286"/>
        <v>2226</v>
      </c>
      <c r="N216" s="220">
        <f t="shared" si="286"/>
        <v>2198</v>
      </c>
      <c r="O216" s="220">
        <f t="shared" si="286"/>
        <v>2430</v>
      </c>
      <c r="P216" s="220">
        <f t="shared" si="281"/>
        <v>2000</v>
      </c>
      <c r="Q216" s="220">
        <f t="shared" si="281"/>
        <v>2000</v>
      </c>
      <c r="R216" s="220">
        <f t="shared" si="281"/>
        <v>2000</v>
      </c>
      <c r="S216" s="220">
        <f t="shared" si="281"/>
        <v>2000</v>
      </c>
      <c r="T216" s="220">
        <f t="shared" si="281"/>
        <v>2000</v>
      </c>
      <c r="U216" s="220">
        <f t="shared" si="282"/>
        <v>415</v>
      </c>
      <c r="V216" s="220">
        <f t="shared" si="282"/>
        <v>341</v>
      </c>
      <c r="W216" s="220">
        <f t="shared" si="282"/>
        <v>226</v>
      </c>
      <c r="X216" s="220">
        <f t="shared" si="282"/>
        <v>198</v>
      </c>
      <c r="Y216" s="220">
        <f t="shared" si="282"/>
        <v>430</v>
      </c>
      <c r="Z216" s="220">
        <v>4</v>
      </c>
      <c r="AA216" s="220">
        <v>4</v>
      </c>
      <c r="AB216" s="220">
        <v>6</v>
      </c>
      <c r="AC216" s="220">
        <v>6</v>
      </c>
      <c r="AD216" s="220">
        <v>3</v>
      </c>
      <c r="AE216" s="220">
        <f t="shared" si="283"/>
        <v>-194</v>
      </c>
      <c r="AF216" s="220">
        <f t="shared" si="283"/>
        <v>-238</v>
      </c>
      <c r="AG216" s="220">
        <f t="shared" si="283"/>
        <v>-373</v>
      </c>
      <c r="AH216" s="220">
        <f t="shared" si="283"/>
        <v>-351</v>
      </c>
      <c r="AI216" s="220">
        <f t="shared" si="283"/>
        <v>-219</v>
      </c>
      <c r="AJ216" s="50">
        <f t="shared" si="284"/>
        <v>1.4260000000000113</v>
      </c>
      <c r="AK216" s="257"/>
      <c r="AL216" s="257">
        <f t="shared" si="285"/>
        <v>1.2</v>
      </c>
      <c r="AM216" s="52"/>
      <c r="AN216" s="88"/>
    </row>
    <row r="217" spans="1:42" s="29" customFormat="1" ht="17.25" customHeight="1">
      <c r="A217" s="48">
        <v>207</v>
      </c>
      <c r="B217" s="49">
        <f t="shared" si="278"/>
        <v>45759</v>
      </c>
      <c r="C217" s="220">
        <f t="shared" si="279"/>
        <v>1049</v>
      </c>
      <c r="D217" s="220">
        <f>D216+15</f>
        <v>2238</v>
      </c>
      <c r="E217" s="220">
        <f t="shared" si="280"/>
        <v>3287</v>
      </c>
      <c r="F217" s="220">
        <f t="shared" si="273"/>
        <v>876</v>
      </c>
      <c r="G217" s="220">
        <f t="shared" si="274"/>
        <v>951</v>
      </c>
      <c r="H217" s="220">
        <f t="shared" si="275"/>
        <v>1068</v>
      </c>
      <c r="I217" s="220">
        <f t="shared" si="276"/>
        <v>1094</v>
      </c>
      <c r="J217" s="220">
        <f t="shared" si="277"/>
        <v>861</v>
      </c>
      <c r="K217" s="220">
        <f t="shared" si="286"/>
        <v>2411</v>
      </c>
      <c r="L217" s="220">
        <f t="shared" si="286"/>
        <v>2336</v>
      </c>
      <c r="M217" s="220">
        <f t="shared" si="286"/>
        <v>2219</v>
      </c>
      <c r="N217" s="220">
        <f t="shared" si="286"/>
        <v>2193</v>
      </c>
      <c r="O217" s="220">
        <f t="shared" si="286"/>
        <v>2426</v>
      </c>
      <c r="P217" s="220">
        <f t="shared" si="281"/>
        <v>2000</v>
      </c>
      <c r="Q217" s="220">
        <f t="shared" si="281"/>
        <v>2000</v>
      </c>
      <c r="R217" s="220">
        <f t="shared" si="281"/>
        <v>2000</v>
      </c>
      <c r="S217" s="220">
        <f t="shared" si="281"/>
        <v>2000</v>
      </c>
      <c r="T217" s="220">
        <f t="shared" si="281"/>
        <v>2000</v>
      </c>
      <c r="U217" s="220">
        <f t="shared" si="282"/>
        <v>411</v>
      </c>
      <c r="V217" s="220">
        <f t="shared" si="282"/>
        <v>336</v>
      </c>
      <c r="W217" s="220">
        <f t="shared" si="282"/>
        <v>219</v>
      </c>
      <c r="X217" s="220">
        <f t="shared" si="282"/>
        <v>193</v>
      </c>
      <c r="Y217" s="220">
        <f t="shared" si="282"/>
        <v>426</v>
      </c>
      <c r="Z217" s="220">
        <v>4</v>
      </c>
      <c r="AA217" s="220">
        <v>5</v>
      </c>
      <c r="AB217" s="220">
        <v>7</v>
      </c>
      <c r="AC217" s="220">
        <v>5</v>
      </c>
      <c r="AD217" s="220">
        <v>4</v>
      </c>
      <c r="AE217" s="220">
        <f t="shared" si="283"/>
        <v>-198</v>
      </c>
      <c r="AF217" s="220">
        <f t="shared" si="283"/>
        <v>-243</v>
      </c>
      <c r="AG217" s="220">
        <f t="shared" si="283"/>
        <v>-380</v>
      </c>
      <c r="AH217" s="220">
        <f t="shared" si="283"/>
        <v>-356</v>
      </c>
      <c r="AI217" s="220">
        <f t="shared" si="283"/>
        <v>-223</v>
      </c>
      <c r="AJ217" s="50">
        <f t="shared" si="284"/>
        <v>1.4190000000000114</v>
      </c>
      <c r="AK217" s="257"/>
      <c r="AL217" s="257">
        <f t="shared" si="285"/>
        <v>1.2</v>
      </c>
      <c r="AM217" s="52"/>
      <c r="AN217" s="88"/>
    </row>
    <row r="218" spans="1:42" s="29" customFormat="1" ht="17.25" customHeight="1">
      <c r="A218" s="48">
        <v>208</v>
      </c>
      <c r="B218" s="49">
        <f t="shared" si="278"/>
        <v>45760</v>
      </c>
      <c r="C218" s="220">
        <f t="shared" si="279"/>
        <v>1049</v>
      </c>
      <c r="D218" s="220">
        <f>D217+26</f>
        <v>2264</v>
      </c>
      <c r="E218" s="220">
        <f t="shared" si="280"/>
        <v>3313</v>
      </c>
      <c r="F218" s="220">
        <f t="shared" si="273"/>
        <v>907</v>
      </c>
      <c r="G218" s="220">
        <f t="shared" si="274"/>
        <v>984</v>
      </c>
      <c r="H218" s="220">
        <f t="shared" si="275"/>
        <v>1099</v>
      </c>
      <c r="I218" s="220">
        <f t="shared" si="276"/>
        <v>1124</v>
      </c>
      <c r="J218" s="220">
        <f t="shared" si="277"/>
        <v>891</v>
      </c>
      <c r="K218" s="220">
        <f t="shared" si="286"/>
        <v>2406</v>
      </c>
      <c r="L218" s="220">
        <f t="shared" si="286"/>
        <v>2329</v>
      </c>
      <c r="M218" s="220">
        <f t="shared" si="286"/>
        <v>2214</v>
      </c>
      <c r="N218" s="220">
        <f t="shared" si="286"/>
        <v>2189</v>
      </c>
      <c r="O218" s="220">
        <f t="shared" si="286"/>
        <v>2422</v>
      </c>
      <c r="P218" s="220">
        <f t="shared" si="281"/>
        <v>2000</v>
      </c>
      <c r="Q218" s="220">
        <f t="shared" si="281"/>
        <v>2000</v>
      </c>
      <c r="R218" s="220">
        <f t="shared" si="281"/>
        <v>2000</v>
      </c>
      <c r="S218" s="220">
        <f t="shared" si="281"/>
        <v>2000</v>
      </c>
      <c r="T218" s="220">
        <f t="shared" si="281"/>
        <v>2000</v>
      </c>
      <c r="U218" s="220">
        <f t="shared" si="282"/>
        <v>406</v>
      </c>
      <c r="V218" s="220">
        <f t="shared" si="282"/>
        <v>329</v>
      </c>
      <c r="W218" s="220">
        <f t="shared" si="282"/>
        <v>214</v>
      </c>
      <c r="X218" s="220">
        <f t="shared" si="282"/>
        <v>189</v>
      </c>
      <c r="Y218" s="220">
        <f t="shared" si="282"/>
        <v>422</v>
      </c>
      <c r="Z218" s="220">
        <v>5</v>
      </c>
      <c r="AA218" s="220">
        <v>7</v>
      </c>
      <c r="AB218" s="220">
        <v>5</v>
      </c>
      <c r="AC218" s="220">
        <v>4</v>
      </c>
      <c r="AD218" s="220">
        <v>4</v>
      </c>
      <c r="AE218" s="220">
        <f t="shared" si="283"/>
        <v>-203</v>
      </c>
      <c r="AF218" s="220">
        <f t="shared" si="283"/>
        <v>-250</v>
      </c>
      <c r="AG218" s="220">
        <f t="shared" si="283"/>
        <v>-385</v>
      </c>
      <c r="AH218" s="220">
        <f t="shared" si="283"/>
        <v>-360</v>
      </c>
      <c r="AI218" s="220">
        <f t="shared" si="283"/>
        <v>-227</v>
      </c>
      <c r="AJ218" s="50">
        <f t="shared" si="284"/>
        <v>1.4140000000000115</v>
      </c>
      <c r="AK218" s="257"/>
      <c r="AL218" s="257">
        <f t="shared" si="285"/>
        <v>1.2</v>
      </c>
      <c r="AM218" s="52"/>
      <c r="AN218" s="88"/>
    </row>
    <row r="219" spans="1:42" s="29" customFormat="1" ht="17.25" customHeight="1">
      <c r="A219" s="48">
        <v>209</v>
      </c>
      <c r="B219" s="49">
        <f t="shared" si="278"/>
        <v>45761</v>
      </c>
      <c r="C219" s="220">
        <f t="shared" si="279"/>
        <v>1049</v>
      </c>
      <c r="D219" s="220">
        <f>D218+32</f>
        <v>2296</v>
      </c>
      <c r="E219" s="220">
        <f t="shared" si="280"/>
        <v>3345</v>
      </c>
      <c r="F219" s="220">
        <f t="shared" si="273"/>
        <v>943</v>
      </c>
      <c r="G219" s="220">
        <f t="shared" si="274"/>
        <v>1022</v>
      </c>
      <c r="H219" s="220">
        <f t="shared" si="275"/>
        <v>1135</v>
      </c>
      <c r="I219" s="220">
        <f t="shared" si="276"/>
        <v>1160</v>
      </c>
      <c r="J219" s="220">
        <f t="shared" si="277"/>
        <v>927</v>
      </c>
      <c r="K219" s="220">
        <f t="shared" si="286"/>
        <v>2402</v>
      </c>
      <c r="L219" s="220">
        <f t="shared" si="286"/>
        <v>2323</v>
      </c>
      <c r="M219" s="220">
        <f t="shared" si="286"/>
        <v>2210</v>
      </c>
      <c r="N219" s="220">
        <f t="shared" si="286"/>
        <v>2185</v>
      </c>
      <c r="O219" s="220">
        <f t="shared" si="286"/>
        <v>2418</v>
      </c>
      <c r="P219" s="220">
        <f t="shared" si="281"/>
        <v>2000</v>
      </c>
      <c r="Q219" s="220">
        <f t="shared" si="281"/>
        <v>2000</v>
      </c>
      <c r="R219" s="220">
        <f t="shared" si="281"/>
        <v>2000</v>
      </c>
      <c r="S219" s="220">
        <f t="shared" si="281"/>
        <v>2000</v>
      </c>
      <c r="T219" s="220">
        <f t="shared" si="281"/>
        <v>2000</v>
      </c>
      <c r="U219" s="220">
        <f t="shared" si="282"/>
        <v>402</v>
      </c>
      <c r="V219" s="220">
        <f t="shared" si="282"/>
        <v>323</v>
      </c>
      <c r="W219" s="220">
        <f t="shared" si="282"/>
        <v>210</v>
      </c>
      <c r="X219" s="220">
        <f t="shared" si="282"/>
        <v>185</v>
      </c>
      <c r="Y219" s="220">
        <f t="shared" si="282"/>
        <v>418</v>
      </c>
      <c r="Z219" s="220">
        <v>4</v>
      </c>
      <c r="AA219" s="220">
        <v>6</v>
      </c>
      <c r="AB219" s="220">
        <v>4</v>
      </c>
      <c r="AC219" s="220">
        <v>4</v>
      </c>
      <c r="AD219" s="220">
        <v>4</v>
      </c>
      <c r="AE219" s="220">
        <f t="shared" si="283"/>
        <v>-207</v>
      </c>
      <c r="AF219" s="220">
        <f t="shared" si="283"/>
        <v>-256</v>
      </c>
      <c r="AG219" s="220">
        <f t="shared" si="283"/>
        <v>-389</v>
      </c>
      <c r="AH219" s="220">
        <f t="shared" si="283"/>
        <v>-364</v>
      </c>
      <c r="AI219" s="220">
        <f t="shared" si="283"/>
        <v>-231</v>
      </c>
      <c r="AJ219" s="50">
        <f t="shared" si="284"/>
        <v>1.4100000000000115</v>
      </c>
      <c r="AK219" s="257"/>
      <c r="AL219" s="257">
        <f t="shared" si="285"/>
        <v>1.2</v>
      </c>
      <c r="AM219" s="52"/>
      <c r="AN219" s="88"/>
    </row>
    <row r="220" spans="1:42" s="29" customFormat="1" ht="17.25" customHeight="1">
      <c r="A220" s="48">
        <v>210</v>
      </c>
      <c r="B220" s="49">
        <f t="shared" si="278"/>
        <v>45762</v>
      </c>
      <c r="C220" s="220">
        <f t="shared" si="279"/>
        <v>1049</v>
      </c>
      <c r="D220" s="220">
        <f>D219-18</f>
        <v>2278</v>
      </c>
      <c r="E220" s="220">
        <f t="shared" si="280"/>
        <v>3327</v>
      </c>
      <c r="F220" s="220">
        <f t="shared" si="273"/>
        <v>930</v>
      </c>
      <c r="G220" s="220">
        <f t="shared" si="274"/>
        <v>1009</v>
      </c>
      <c r="H220" s="220">
        <f t="shared" si="275"/>
        <v>1123</v>
      </c>
      <c r="I220" s="220">
        <f t="shared" si="276"/>
        <v>1145</v>
      </c>
      <c r="J220" s="220">
        <f t="shared" si="277"/>
        <v>914</v>
      </c>
      <c r="K220" s="220">
        <f t="shared" si="286"/>
        <v>2397</v>
      </c>
      <c r="L220" s="220">
        <f t="shared" si="286"/>
        <v>2318</v>
      </c>
      <c r="M220" s="220">
        <f t="shared" si="286"/>
        <v>2204</v>
      </c>
      <c r="N220" s="220">
        <f t="shared" si="286"/>
        <v>2182</v>
      </c>
      <c r="O220" s="220">
        <f t="shared" si="286"/>
        <v>2413</v>
      </c>
      <c r="P220" s="220">
        <f t="shared" si="281"/>
        <v>2000</v>
      </c>
      <c r="Q220" s="220">
        <f t="shared" si="281"/>
        <v>2000</v>
      </c>
      <c r="R220" s="220">
        <f t="shared" si="281"/>
        <v>2000</v>
      </c>
      <c r="S220" s="220">
        <f t="shared" si="281"/>
        <v>2000</v>
      </c>
      <c r="T220" s="220">
        <f t="shared" si="281"/>
        <v>2000</v>
      </c>
      <c r="U220" s="220">
        <f t="shared" si="282"/>
        <v>397</v>
      </c>
      <c r="V220" s="220">
        <f t="shared" si="282"/>
        <v>318</v>
      </c>
      <c r="W220" s="220">
        <f t="shared" si="282"/>
        <v>204</v>
      </c>
      <c r="X220" s="220">
        <f t="shared" si="282"/>
        <v>182</v>
      </c>
      <c r="Y220" s="220">
        <f t="shared" si="282"/>
        <v>413</v>
      </c>
      <c r="Z220" s="220">
        <v>5</v>
      </c>
      <c r="AA220" s="220">
        <v>5</v>
      </c>
      <c r="AB220" s="220">
        <v>6</v>
      </c>
      <c r="AC220" s="220">
        <v>3</v>
      </c>
      <c r="AD220" s="220">
        <v>5</v>
      </c>
      <c r="AE220" s="220">
        <f t="shared" si="283"/>
        <v>-212</v>
      </c>
      <c r="AF220" s="220">
        <f t="shared" si="283"/>
        <v>-261</v>
      </c>
      <c r="AG220" s="220">
        <f t="shared" si="283"/>
        <v>-395</v>
      </c>
      <c r="AH220" s="220">
        <f t="shared" si="283"/>
        <v>-367</v>
      </c>
      <c r="AI220" s="220">
        <f t="shared" si="283"/>
        <v>-236</v>
      </c>
      <c r="AJ220" s="50">
        <f t="shared" si="284"/>
        <v>1.4040000000000115</v>
      </c>
      <c r="AK220" s="257"/>
      <c r="AL220" s="257">
        <f t="shared" si="285"/>
        <v>1.2</v>
      </c>
      <c r="AM220" s="52"/>
      <c r="AN220" s="88"/>
    </row>
    <row r="221" spans="1:42" s="29" customFormat="1" ht="17.25" customHeight="1">
      <c r="A221" s="48">
        <v>211</v>
      </c>
      <c r="B221" s="49">
        <f t="shared" si="278"/>
        <v>45763</v>
      </c>
      <c r="C221" s="220">
        <f t="shared" si="279"/>
        <v>1049</v>
      </c>
      <c r="D221" s="220">
        <f>D220-26</f>
        <v>2252</v>
      </c>
      <c r="E221" s="220">
        <f t="shared" si="280"/>
        <v>3301</v>
      </c>
      <c r="F221" s="220">
        <f t="shared" si="273"/>
        <v>907</v>
      </c>
      <c r="G221" s="220">
        <f t="shared" si="274"/>
        <v>991</v>
      </c>
      <c r="H221" s="220">
        <f t="shared" si="275"/>
        <v>1100</v>
      </c>
      <c r="I221" s="220">
        <f t="shared" si="276"/>
        <v>1126</v>
      </c>
      <c r="J221" s="220">
        <f t="shared" si="277"/>
        <v>893</v>
      </c>
      <c r="K221" s="220">
        <f t="shared" si="286"/>
        <v>2394</v>
      </c>
      <c r="L221" s="220">
        <f t="shared" si="286"/>
        <v>2310</v>
      </c>
      <c r="M221" s="220">
        <f t="shared" si="286"/>
        <v>2201</v>
      </c>
      <c r="N221" s="220">
        <f t="shared" si="286"/>
        <v>2175</v>
      </c>
      <c r="O221" s="220">
        <f t="shared" si="286"/>
        <v>2408</v>
      </c>
      <c r="P221" s="220">
        <f t="shared" ref="P221:T236" si="287">+P220</f>
        <v>2000</v>
      </c>
      <c r="Q221" s="220">
        <f t="shared" si="287"/>
        <v>2000</v>
      </c>
      <c r="R221" s="220">
        <f t="shared" si="287"/>
        <v>2000</v>
      </c>
      <c r="S221" s="220">
        <f t="shared" si="287"/>
        <v>2000</v>
      </c>
      <c r="T221" s="220">
        <f t="shared" si="287"/>
        <v>2000</v>
      </c>
      <c r="U221" s="220">
        <f t="shared" ref="U221:Y236" si="288">U220-Z221</f>
        <v>394</v>
      </c>
      <c r="V221" s="220">
        <f t="shared" si="288"/>
        <v>310</v>
      </c>
      <c r="W221" s="220">
        <f t="shared" si="288"/>
        <v>201</v>
      </c>
      <c r="X221" s="220">
        <f t="shared" si="288"/>
        <v>175</v>
      </c>
      <c r="Y221" s="220">
        <f t="shared" si="288"/>
        <v>408</v>
      </c>
      <c r="Z221" s="220">
        <v>3</v>
      </c>
      <c r="AA221" s="220">
        <v>8</v>
      </c>
      <c r="AB221" s="220">
        <v>3</v>
      </c>
      <c r="AC221" s="220">
        <v>7</v>
      </c>
      <c r="AD221" s="220">
        <v>5</v>
      </c>
      <c r="AE221" s="220">
        <f t="shared" ref="AE221:AI236" si="289">AE220-Z221</f>
        <v>-215</v>
      </c>
      <c r="AF221" s="220">
        <f t="shared" si="289"/>
        <v>-269</v>
      </c>
      <c r="AG221" s="220">
        <f t="shared" si="289"/>
        <v>-398</v>
      </c>
      <c r="AH221" s="220">
        <f t="shared" si="289"/>
        <v>-374</v>
      </c>
      <c r="AI221" s="220">
        <f t="shared" si="289"/>
        <v>-241</v>
      </c>
      <c r="AJ221" s="50">
        <f t="shared" si="284"/>
        <v>1.4010000000000116</v>
      </c>
      <c r="AK221" s="257"/>
      <c r="AL221" s="257">
        <f t="shared" si="285"/>
        <v>1.2</v>
      </c>
      <c r="AM221" s="52"/>
      <c r="AN221" s="88"/>
    </row>
    <row r="222" spans="1:42" s="29" customFormat="1" ht="17.25" customHeight="1">
      <c r="A222" s="48">
        <v>212</v>
      </c>
      <c r="B222" s="49">
        <f t="shared" si="278"/>
        <v>45764</v>
      </c>
      <c r="C222" s="220">
        <f t="shared" si="279"/>
        <v>1049</v>
      </c>
      <c r="D222" s="220">
        <f>D221+15</f>
        <v>2267</v>
      </c>
      <c r="E222" s="220">
        <f t="shared" si="280"/>
        <v>3316</v>
      </c>
      <c r="F222" s="220">
        <f t="shared" si="273"/>
        <v>925</v>
      </c>
      <c r="G222" s="220">
        <f t="shared" si="274"/>
        <v>1011</v>
      </c>
      <c r="H222" s="220">
        <f t="shared" si="275"/>
        <v>1122</v>
      </c>
      <c r="I222" s="220">
        <f t="shared" si="276"/>
        <v>1147</v>
      </c>
      <c r="J222" s="220">
        <f t="shared" si="277"/>
        <v>913</v>
      </c>
      <c r="K222" s="220">
        <f t="shared" si="286"/>
        <v>2391</v>
      </c>
      <c r="L222" s="220">
        <f t="shared" si="286"/>
        <v>2305</v>
      </c>
      <c r="M222" s="220">
        <f t="shared" si="286"/>
        <v>2194</v>
      </c>
      <c r="N222" s="220">
        <f t="shared" si="286"/>
        <v>2169</v>
      </c>
      <c r="O222" s="220">
        <f t="shared" si="286"/>
        <v>2403</v>
      </c>
      <c r="P222" s="220">
        <f t="shared" si="287"/>
        <v>2000</v>
      </c>
      <c r="Q222" s="220">
        <f t="shared" si="287"/>
        <v>2000</v>
      </c>
      <c r="R222" s="220">
        <f t="shared" si="287"/>
        <v>2000</v>
      </c>
      <c r="S222" s="220">
        <f t="shared" si="287"/>
        <v>2000</v>
      </c>
      <c r="T222" s="220">
        <f t="shared" si="287"/>
        <v>2000</v>
      </c>
      <c r="U222" s="220">
        <f t="shared" si="288"/>
        <v>391</v>
      </c>
      <c r="V222" s="220">
        <f t="shared" si="288"/>
        <v>305</v>
      </c>
      <c r="W222" s="220">
        <f t="shared" si="288"/>
        <v>194</v>
      </c>
      <c r="X222" s="220">
        <f t="shared" si="288"/>
        <v>169</v>
      </c>
      <c r="Y222" s="220">
        <f t="shared" si="288"/>
        <v>403</v>
      </c>
      <c r="Z222" s="220">
        <v>3</v>
      </c>
      <c r="AA222" s="220">
        <v>5</v>
      </c>
      <c r="AB222" s="220">
        <v>7</v>
      </c>
      <c r="AC222" s="220">
        <v>6</v>
      </c>
      <c r="AD222" s="220">
        <v>5</v>
      </c>
      <c r="AE222" s="220">
        <f t="shared" si="289"/>
        <v>-218</v>
      </c>
      <c r="AF222" s="220">
        <f t="shared" si="289"/>
        <v>-274</v>
      </c>
      <c r="AG222" s="220">
        <f t="shared" si="289"/>
        <v>-405</v>
      </c>
      <c r="AH222" s="220">
        <f t="shared" si="289"/>
        <v>-380</v>
      </c>
      <c r="AI222" s="220">
        <f t="shared" si="289"/>
        <v>-246</v>
      </c>
      <c r="AJ222" s="50">
        <f t="shared" si="284"/>
        <v>1.3940000000000117</v>
      </c>
      <c r="AK222" s="257"/>
      <c r="AL222" s="257">
        <f t="shared" si="285"/>
        <v>1.2</v>
      </c>
      <c r="AM222" s="52"/>
      <c r="AN222" s="88"/>
    </row>
    <row r="223" spans="1:42" s="29" customFormat="1" ht="17.25" customHeight="1">
      <c r="A223" s="48">
        <v>213</v>
      </c>
      <c r="B223" s="49">
        <f t="shared" si="278"/>
        <v>45765</v>
      </c>
      <c r="C223" s="220">
        <f t="shared" si="279"/>
        <v>1049</v>
      </c>
      <c r="D223" s="220">
        <f>D222+26</f>
        <v>2293</v>
      </c>
      <c r="E223" s="220">
        <f t="shared" si="280"/>
        <v>3342</v>
      </c>
      <c r="F223" s="220">
        <f t="shared" si="273"/>
        <v>955</v>
      </c>
      <c r="G223" s="220">
        <f t="shared" si="274"/>
        <v>1044</v>
      </c>
      <c r="H223" s="220">
        <f t="shared" si="275"/>
        <v>1154</v>
      </c>
      <c r="I223" s="220">
        <f t="shared" si="276"/>
        <v>1178</v>
      </c>
      <c r="J223" s="220">
        <f t="shared" si="277"/>
        <v>944</v>
      </c>
      <c r="K223" s="220">
        <f t="shared" si="286"/>
        <v>2387</v>
      </c>
      <c r="L223" s="220">
        <f t="shared" si="286"/>
        <v>2298</v>
      </c>
      <c r="M223" s="220">
        <f t="shared" si="286"/>
        <v>2188</v>
      </c>
      <c r="N223" s="220">
        <f t="shared" si="286"/>
        <v>2164</v>
      </c>
      <c r="O223" s="220">
        <f t="shared" si="286"/>
        <v>2398</v>
      </c>
      <c r="P223" s="220">
        <f t="shared" si="287"/>
        <v>2000</v>
      </c>
      <c r="Q223" s="220">
        <f t="shared" si="287"/>
        <v>2000</v>
      </c>
      <c r="R223" s="220">
        <f t="shared" si="287"/>
        <v>2000</v>
      </c>
      <c r="S223" s="220">
        <f t="shared" si="287"/>
        <v>2000</v>
      </c>
      <c r="T223" s="220">
        <f t="shared" si="287"/>
        <v>2000</v>
      </c>
      <c r="U223" s="220">
        <f t="shared" si="288"/>
        <v>387</v>
      </c>
      <c r="V223" s="220">
        <f t="shared" si="288"/>
        <v>298</v>
      </c>
      <c r="W223" s="220">
        <f t="shared" si="288"/>
        <v>188</v>
      </c>
      <c r="X223" s="220">
        <f t="shared" si="288"/>
        <v>164</v>
      </c>
      <c r="Y223" s="220">
        <f t="shared" si="288"/>
        <v>398</v>
      </c>
      <c r="Z223" s="220">
        <v>4</v>
      </c>
      <c r="AA223" s="220">
        <v>7</v>
      </c>
      <c r="AB223" s="220">
        <v>6</v>
      </c>
      <c r="AC223" s="220">
        <v>5</v>
      </c>
      <c r="AD223" s="220">
        <v>5</v>
      </c>
      <c r="AE223" s="220">
        <f t="shared" si="289"/>
        <v>-222</v>
      </c>
      <c r="AF223" s="220">
        <f t="shared" si="289"/>
        <v>-281</v>
      </c>
      <c r="AG223" s="220">
        <f t="shared" si="289"/>
        <v>-411</v>
      </c>
      <c r="AH223" s="220">
        <f t="shared" si="289"/>
        <v>-385</v>
      </c>
      <c r="AI223" s="220">
        <f t="shared" si="289"/>
        <v>-251</v>
      </c>
      <c r="AJ223" s="50">
        <f t="shared" si="284"/>
        <v>1.3880000000000117</v>
      </c>
      <c r="AK223" s="257"/>
      <c r="AL223" s="257">
        <f t="shared" si="285"/>
        <v>1.2</v>
      </c>
      <c r="AM223" s="52"/>
      <c r="AN223" s="88"/>
    </row>
    <row r="224" spans="1:42" s="29" customFormat="1" ht="17.25" customHeight="1">
      <c r="A224" s="48">
        <v>214</v>
      </c>
      <c r="B224" s="49">
        <f t="shared" si="278"/>
        <v>45766</v>
      </c>
      <c r="C224" s="220">
        <f t="shared" si="279"/>
        <v>1049</v>
      </c>
      <c r="D224" s="220">
        <f>D223-26</f>
        <v>2267</v>
      </c>
      <c r="E224" s="220">
        <f t="shared" si="280"/>
        <v>3316</v>
      </c>
      <c r="F224" s="220">
        <f t="shared" si="273"/>
        <v>933</v>
      </c>
      <c r="G224" s="220">
        <f t="shared" si="274"/>
        <v>1025</v>
      </c>
      <c r="H224" s="220">
        <f t="shared" si="275"/>
        <v>1133</v>
      </c>
      <c r="I224" s="220">
        <f t="shared" si="276"/>
        <v>1159</v>
      </c>
      <c r="J224" s="220">
        <f t="shared" si="277"/>
        <v>922</v>
      </c>
      <c r="K224" s="220">
        <f t="shared" si="286"/>
        <v>2383</v>
      </c>
      <c r="L224" s="220">
        <f t="shared" si="286"/>
        <v>2291</v>
      </c>
      <c r="M224" s="220">
        <f t="shared" si="286"/>
        <v>2183</v>
      </c>
      <c r="N224" s="220">
        <f t="shared" si="286"/>
        <v>2157</v>
      </c>
      <c r="O224" s="220">
        <f t="shared" si="286"/>
        <v>2394</v>
      </c>
      <c r="P224" s="220">
        <f t="shared" si="287"/>
        <v>2000</v>
      </c>
      <c r="Q224" s="220">
        <f t="shared" si="287"/>
        <v>2000</v>
      </c>
      <c r="R224" s="220">
        <f t="shared" si="287"/>
        <v>2000</v>
      </c>
      <c r="S224" s="220">
        <f t="shared" si="287"/>
        <v>2000</v>
      </c>
      <c r="T224" s="220">
        <f t="shared" si="287"/>
        <v>2000</v>
      </c>
      <c r="U224" s="220">
        <f t="shared" si="288"/>
        <v>383</v>
      </c>
      <c r="V224" s="220">
        <f t="shared" si="288"/>
        <v>291</v>
      </c>
      <c r="W224" s="220">
        <f t="shared" si="288"/>
        <v>183</v>
      </c>
      <c r="X224" s="220">
        <f t="shared" si="288"/>
        <v>157</v>
      </c>
      <c r="Y224" s="220">
        <f t="shared" si="288"/>
        <v>394</v>
      </c>
      <c r="Z224" s="220">
        <v>4</v>
      </c>
      <c r="AA224" s="220">
        <v>7</v>
      </c>
      <c r="AB224" s="220">
        <v>5</v>
      </c>
      <c r="AC224" s="220">
        <v>7</v>
      </c>
      <c r="AD224" s="220">
        <v>4</v>
      </c>
      <c r="AE224" s="220">
        <f t="shared" si="289"/>
        <v>-226</v>
      </c>
      <c r="AF224" s="220">
        <f t="shared" si="289"/>
        <v>-288</v>
      </c>
      <c r="AG224" s="220">
        <f t="shared" si="289"/>
        <v>-416</v>
      </c>
      <c r="AH224" s="220">
        <f t="shared" si="289"/>
        <v>-392</v>
      </c>
      <c r="AI224" s="220">
        <f t="shared" si="289"/>
        <v>-255</v>
      </c>
      <c r="AJ224" s="50">
        <f t="shared" si="284"/>
        <v>1.3830000000000118</v>
      </c>
      <c r="AK224" s="257"/>
      <c r="AL224" s="257">
        <f t="shared" si="285"/>
        <v>1.2</v>
      </c>
      <c r="AM224" s="52"/>
      <c r="AN224" s="88"/>
      <c r="AO224" s="261" t="s">
        <v>151</v>
      </c>
    </row>
    <row r="225" spans="1:40" s="29" customFormat="1" ht="17.25" customHeight="1">
      <c r="A225" s="48">
        <v>215</v>
      </c>
      <c r="B225" s="49">
        <f t="shared" si="278"/>
        <v>45767</v>
      </c>
      <c r="C225" s="220">
        <f t="shared" si="279"/>
        <v>1049</v>
      </c>
      <c r="D225" s="220">
        <f>D224+15</f>
        <v>2282</v>
      </c>
      <c r="E225" s="220">
        <f t="shared" si="280"/>
        <v>3331</v>
      </c>
      <c r="F225" s="220">
        <f t="shared" si="273"/>
        <v>952</v>
      </c>
      <c r="G225" s="220">
        <f t="shared" si="274"/>
        <v>1047</v>
      </c>
      <c r="H225" s="220">
        <f t="shared" si="275"/>
        <v>1155</v>
      </c>
      <c r="I225" s="220">
        <f t="shared" si="276"/>
        <v>1180</v>
      </c>
      <c r="J225" s="220">
        <f t="shared" si="277"/>
        <v>942</v>
      </c>
      <c r="K225" s="220">
        <f t="shared" si="286"/>
        <v>2379</v>
      </c>
      <c r="L225" s="220">
        <f t="shared" si="286"/>
        <v>2284</v>
      </c>
      <c r="M225" s="220">
        <f t="shared" si="286"/>
        <v>2176</v>
      </c>
      <c r="N225" s="220">
        <f t="shared" si="286"/>
        <v>2151</v>
      </c>
      <c r="O225" s="220">
        <f t="shared" si="286"/>
        <v>2389</v>
      </c>
      <c r="P225" s="220">
        <f t="shared" si="287"/>
        <v>2000</v>
      </c>
      <c r="Q225" s="220">
        <f t="shared" si="287"/>
        <v>2000</v>
      </c>
      <c r="R225" s="220">
        <f t="shared" si="287"/>
        <v>2000</v>
      </c>
      <c r="S225" s="220">
        <f t="shared" si="287"/>
        <v>2000</v>
      </c>
      <c r="T225" s="220">
        <f t="shared" si="287"/>
        <v>2000</v>
      </c>
      <c r="U225" s="220">
        <f t="shared" si="288"/>
        <v>379</v>
      </c>
      <c r="V225" s="220">
        <f t="shared" si="288"/>
        <v>284</v>
      </c>
      <c r="W225" s="220">
        <f t="shared" si="288"/>
        <v>176</v>
      </c>
      <c r="X225" s="220">
        <f t="shared" si="288"/>
        <v>151</v>
      </c>
      <c r="Y225" s="220">
        <f t="shared" si="288"/>
        <v>389</v>
      </c>
      <c r="Z225" s="220">
        <v>4</v>
      </c>
      <c r="AA225" s="220">
        <v>7</v>
      </c>
      <c r="AB225" s="220">
        <v>7</v>
      </c>
      <c r="AC225" s="220">
        <v>6</v>
      </c>
      <c r="AD225" s="220">
        <v>5</v>
      </c>
      <c r="AE225" s="220">
        <f t="shared" si="289"/>
        <v>-230</v>
      </c>
      <c r="AF225" s="220">
        <f t="shared" si="289"/>
        <v>-295</v>
      </c>
      <c r="AG225" s="220">
        <f t="shared" si="289"/>
        <v>-423</v>
      </c>
      <c r="AH225" s="220">
        <f t="shared" si="289"/>
        <v>-398</v>
      </c>
      <c r="AI225" s="220">
        <f t="shared" si="289"/>
        <v>-260</v>
      </c>
      <c r="AJ225" s="50">
        <f t="shared" si="284"/>
        <v>1.3760000000000119</v>
      </c>
      <c r="AK225" s="257"/>
      <c r="AL225" s="257">
        <f t="shared" si="285"/>
        <v>1.2</v>
      </c>
      <c r="AM225" s="52"/>
      <c r="AN225" s="88"/>
    </row>
    <row r="226" spans="1:40" s="29" customFormat="1" ht="17.25" customHeight="1">
      <c r="A226" s="48">
        <v>216</v>
      </c>
      <c r="B226" s="49">
        <f t="shared" si="278"/>
        <v>45768</v>
      </c>
      <c r="C226" s="220">
        <f t="shared" si="279"/>
        <v>1049</v>
      </c>
      <c r="D226" s="220">
        <v>2101</v>
      </c>
      <c r="E226" s="220">
        <f t="shared" si="280"/>
        <v>3150</v>
      </c>
      <c r="F226" s="220">
        <f t="shared" si="273"/>
        <v>777</v>
      </c>
      <c r="G226" s="220">
        <f t="shared" si="274"/>
        <v>873</v>
      </c>
      <c r="H226" s="220">
        <f t="shared" si="275"/>
        <v>980</v>
      </c>
      <c r="I226" s="220">
        <f t="shared" si="276"/>
        <v>1004</v>
      </c>
      <c r="J226" s="220">
        <f t="shared" si="277"/>
        <v>768</v>
      </c>
      <c r="K226" s="220">
        <f t="shared" si="286"/>
        <v>2373</v>
      </c>
      <c r="L226" s="220">
        <f t="shared" si="286"/>
        <v>2277</v>
      </c>
      <c r="M226" s="220">
        <f t="shared" si="286"/>
        <v>2170</v>
      </c>
      <c r="N226" s="220">
        <f t="shared" si="286"/>
        <v>2146</v>
      </c>
      <c r="O226" s="220">
        <f t="shared" si="286"/>
        <v>2382</v>
      </c>
      <c r="P226" s="220">
        <f t="shared" si="287"/>
        <v>2000</v>
      </c>
      <c r="Q226" s="220">
        <f t="shared" si="287"/>
        <v>2000</v>
      </c>
      <c r="R226" s="220">
        <f t="shared" si="287"/>
        <v>2000</v>
      </c>
      <c r="S226" s="220">
        <f t="shared" si="287"/>
        <v>2000</v>
      </c>
      <c r="T226" s="220">
        <f t="shared" si="287"/>
        <v>2000</v>
      </c>
      <c r="U226" s="220">
        <f t="shared" si="288"/>
        <v>373</v>
      </c>
      <c r="V226" s="220">
        <f t="shared" si="288"/>
        <v>277</v>
      </c>
      <c r="W226" s="220">
        <f t="shared" si="288"/>
        <v>170</v>
      </c>
      <c r="X226" s="220">
        <f t="shared" si="288"/>
        <v>146</v>
      </c>
      <c r="Y226" s="220">
        <f t="shared" si="288"/>
        <v>382</v>
      </c>
      <c r="Z226" s="220">
        <v>6</v>
      </c>
      <c r="AA226" s="220">
        <v>7</v>
      </c>
      <c r="AB226" s="220">
        <v>6</v>
      </c>
      <c r="AC226" s="220">
        <v>5</v>
      </c>
      <c r="AD226" s="220">
        <v>7</v>
      </c>
      <c r="AE226" s="220">
        <f t="shared" si="289"/>
        <v>-236</v>
      </c>
      <c r="AF226" s="220">
        <f t="shared" si="289"/>
        <v>-302</v>
      </c>
      <c r="AG226" s="220">
        <f t="shared" si="289"/>
        <v>-429</v>
      </c>
      <c r="AH226" s="220">
        <f t="shared" si="289"/>
        <v>-403</v>
      </c>
      <c r="AI226" s="220">
        <f t="shared" si="289"/>
        <v>-267</v>
      </c>
      <c r="AJ226" s="50">
        <f t="shared" si="284"/>
        <v>1.3700000000000119</v>
      </c>
      <c r="AK226" s="257"/>
      <c r="AL226" s="257">
        <f t="shared" si="285"/>
        <v>1.2</v>
      </c>
      <c r="AM226" s="52"/>
      <c r="AN226" s="88"/>
    </row>
    <row r="227" spans="1:40" s="29" customFormat="1" ht="17.25" customHeight="1">
      <c r="A227" s="48">
        <v>217</v>
      </c>
      <c r="B227" s="49">
        <f t="shared" si="278"/>
        <v>45769</v>
      </c>
      <c r="C227" s="220">
        <f t="shared" si="279"/>
        <v>1049</v>
      </c>
      <c r="D227" s="220">
        <f>D226+32</f>
        <v>2133</v>
      </c>
      <c r="E227" s="220">
        <f t="shared" si="280"/>
        <v>3182</v>
      </c>
      <c r="F227" s="220">
        <f t="shared" si="273"/>
        <v>814</v>
      </c>
      <c r="G227" s="220">
        <f t="shared" si="274"/>
        <v>911</v>
      </c>
      <c r="H227" s="220">
        <f t="shared" si="275"/>
        <v>1017</v>
      </c>
      <c r="I227" s="220">
        <f t="shared" si="276"/>
        <v>1044</v>
      </c>
      <c r="J227" s="220">
        <f t="shared" si="277"/>
        <v>806</v>
      </c>
      <c r="K227" s="220">
        <f t="shared" si="286"/>
        <v>2368</v>
      </c>
      <c r="L227" s="220">
        <f t="shared" si="286"/>
        <v>2271</v>
      </c>
      <c r="M227" s="220">
        <f t="shared" si="286"/>
        <v>2165</v>
      </c>
      <c r="N227" s="220">
        <f t="shared" si="286"/>
        <v>2138</v>
      </c>
      <c r="O227" s="220">
        <f t="shared" si="286"/>
        <v>2376</v>
      </c>
      <c r="P227" s="220">
        <f t="shared" si="287"/>
        <v>2000</v>
      </c>
      <c r="Q227" s="220">
        <f t="shared" si="287"/>
        <v>2000</v>
      </c>
      <c r="R227" s="220">
        <f t="shared" si="287"/>
        <v>2000</v>
      </c>
      <c r="S227" s="220">
        <f t="shared" si="287"/>
        <v>2000</v>
      </c>
      <c r="T227" s="220">
        <f t="shared" si="287"/>
        <v>2000</v>
      </c>
      <c r="U227" s="220">
        <f t="shared" si="288"/>
        <v>368</v>
      </c>
      <c r="V227" s="220">
        <f t="shared" si="288"/>
        <v>271</v>
      </c>
      <c r="W227" s="220">
        <f t="shared" si="288"/>
        <v>165</v>
      </c>
      <c r="X227" s="220">
        <f t="shared" si="288"/>
        <v>138</v>
      </c>
      <c r="Y227" s="220">
        <f t="shared" si="288"/>
        <v>376</v>
      </c>
      <c r="Z227" s="220">
        <v>5</v>
      </c>
      <c r="AA227" s="220">
        <v>6</v>
      </c>
      <c r="AB227" s="220">
        <v>5</v>
      </c>
      <c r="AC227" s="220">
        <v>8</v>
      </c>
      <c r="AD227" s="220">
        <v>6</v>
      </c>
      <c r="AE227" s="220">
        <f t="shared" si="289"/>
        <v>-241</v>
      </c>
      <c r="AF227" s="220">
        <f t="shared" si="289"/>
        <v>-308</v>
      </c>
      <c r="AG227" s="220">
        <f t="shared" si="289"/>
        <v>-434</v>
      </c>
      <c r="AH227" s="220">
        <f t="shared" si="289"/>
        <v>-411</v>
      </c>
      <c r="AI227" s="220">
        <f t="shared" si="289"/>
        <v>-273</v>
      </c>
      <c r="AJ227" s="50">
        <f t="shared" si="284"/>
        <v>1.365000000000012</v>
      </c>
      <c r="AK227" s="257"/>
      <c r="AL227" s="257">
        <f t="shared" si="285"/>
        <v>1.2</v>
      </c>
      <c r="AM227" s="52"/>
      <c r="AN227" s="88"/>
    </row>
    <row r="228" spans="1:40" s="29" customFormat="1" ht="17.25" customHeight="1">
      <c r="A228" s="48">
        <v>218</v>
      </c>
      <c r="B228" s="49">
        <f t="shared" si="278"/>
        <v>45770</v>
      </c>
      <c r="C228" s="220">
        <f t="shared" si="279"/>
        <v>1049</v>
      </c>
      <c r="D228" s="220">
        <f>D227-18</f>
        <v>2115</v>
      </c>
      <c r="E228" s="220">
        <f t="shared" si="280"/>
        <v>3164</v>
      </c>
      <c r="F228" s="220">
        <f t="shared" si="273"/>
        <v>800</v>
      </c>
      <c r="G228" s="220">
        <f t="shared" si="274"/>
        <v>899</v>
      </c>
      <c r="H228" s="220">
        <f t="shared" si="275"/>
        <v>1003</v>
      </c>
      <c r="I228" s="220">
        <f t="shared" si="276"/>
        <v>1031</v>
      </c>
      <c r="J228" s="220">
        <f t="shared" si="277"/>
        <v>793</v>
      </c>
      <c r="K228" s="220">
        <f t="shared" si="286"/>
        <v>2364</v>
      </c>
      <c r="L228" s="220">
        <f t="shared" si="286"/>
        <v>2265</v>
      </c>
      <c r="M228" s="220">
        <f t="shared" si="286"/>
        <v>2161</v>
      </c>
      <c r="N228" s="220">
        <f t="shared" si="286"/>
        <v>2133</v>
      </c>
      <c r="O228" s="220">
        <f t="shared" si="286"/>
        <v>2371</v>
      </c>
      <c r="P228" s="220">
        <f t="shared" si="287"/>
        <v>2000</v>
      </c>
      <c r="Q228" s="220">
        <f t="shared" si="287"/>
        <v>2000</v>
      </c>
      <c r="R228" s="220">
        <f t="shared" si="287"/>
        <v>2000</v>
      </c>
      <c r="S228" s="220">
        <f t="shared" si="287"/>
        <v>2000</v>
      </c>
      <c r="T228" s="220">
        <f t="shared" si="287"/>
        <v>2000</v>
      </c>
      <c r="U228" s="220">
        <f t="shared" si="288"/>
        <v>364</v>
      </c>
      <c r="V228" s="220">
        <f t="shared" si="288"/>
        <v>265</v>
      </c>
      <c r="W228" s="220">
        <f t="shared" si="288"/>
        <v>161</v>
      </c>
      <c r="X228" s="220">
        <f t="shared" si="288"/>
        <v>133</v>
      </c>
      <c r="Y228" s="220">
        <f t="shared" si="288"/>
        <v>371</v>
      </c>
      <c r="Z228" s="220">
        <v>4</v>
      </c>
      <c r="AA228" s="220">
        <v>6</v>
      </c>
      <c r="AB228" s="220">
        <v>4</v>
      </c>
      <c r="AC228" s="220">
        <v>5</v>
      </c>
      <c r="AD228" s="220">
        <v>5</v>
      </c>
      <c r="AE228" s="220">
        <f t="shared" si="289"/>
        <v>-245</v>
      </c>
      <c r="AF228" s="220">
        <f t="shared" si="289"/>
        <v>-314</v>
      </c>
      <c r="AG228" s="220">
        <f t="shared" si="289"/>
        <v>-438</v>
      </c>
      <c r="AH228" s="220">
        <f t="shared" si="289"/>
        <v>-416</v>
      </c>
      <c r="AI228" s="220">
        <f t="shared" si="289"/>
        <v>-278</v>
      </c>
      <c r="AJ228" s="50">
        <f t="shared" si="284"/>
        <v>1.361000000000012</v>
      </c>
      <c r="AK228" s="257"/>
      <c r="AL228" s="257">
        <f t="shared" si="285"/>
        <v>1.2</v>
      </c>
      <c r="AM228" s="52"/>
      <c r="AN228" s="88"/>
    </row>
    <row r="229" spans="1:40" s="29" customFormat="1" ht="17.25" customHeight="1">
      <c r="A229" s="48">
        <v>219</v>
      </c>
      <c r="B229" s="49">
        <f t="shared" si="278"/>
        <v>45771</v>
      </c>
      <c r="C229" s="220">
        <f t="shared" si="279"/>
        <v>1049</v>
      </c>
      <c r="D229" s="220">
        <f>D228-26</f>
        <v>2089</v>
      </c>
      <c r="E229" s="220">
        <f t="shared" si="280"/>
        <v>3138</v>
      </c>
      <c r="F229" s="220">
        <f t="shared" si="273"/>
        <v>778</v>
      </c>
      <c r="G229" s="220">
        <f t="shared" si="274"/>
        <v>877</v>
      </c>
      <c r="H229" s="220">
        <f t="shared" si="275"/>
        <v>982</v>
      </c>
      <c r="I229" s="220">
        <f t="shared" si="276"/>
        <v>1012</v>
      </c>
      <c r="J229" s="220">
        <f t="shared" si="277"/>
        <v>775</v>
      </c>
      <c r="K229" s="220">
        <f t="shared" si="286"/>
        <v>2360</v>
      </c>
      <c r="L229" s="220">
        <f t="shared" si="286"/>
        <v>2261</v>
      </c>
      <c r="M229" s="220">
        <f t="shared" si="286"/>
        <v>2156</v>
      </c>
      <c r="N229" s="220">
        <f t="shared" si="286"/>
        <v>2126</v>
      </c>
      <c r="O229" s="220">
        <f t="shared" si="286"/>
        <v>2363</v>
      </c>
      <c r="P229" s="220">
        <f t="shared" si="287"/>
        <v>2000</v>
      </c>
      <c r="Q229" s="220">
        <f t="shared" si="287"/>
        <v>2000</v>
      </c>
      <c r="R229" s="220">
        <f t="shared" si="287"/>
        <v>2000</v>
      </c>
      <c r="S229" s="220">
        <f t="shared" si="287"/>
        <v>2000</v>
      </c>
      <c r="T229" s="220">
        <f t="shared" si="287"/>
        <v>2000</v>
      </c>
      <c r="U229" s="220">
        <f t="shared" si="288"/>
        <v>360</v>
      </c>
      <c r="V229" s="220">
        <f t="shared" si="288"/>
        <v>261</v>
      </c>
      <c r="W229" s="220">
        <f t="shared" si="288"/>
        <v>156</v>
      </c>
      <c r="X229" s="220">
        <f t="shared" si="288"/>
        <v>126</v>
      </c>
      <c r="Y229" s="220">
        <f t="shared" si="288"/>
        <v>363</v>
      </c>
      <c r="Z229" s="220">
        <v>4</v>
      </c>
      <c r="AA229" s="220">
        <v>4</v>
      </c>
      <c r="AB229" s="220">
        <v>5</v>
      </c>
      <c r="AC229" s="220">
        <v>7</v>
      </c>
      <c r="AD229" s="220">
        <v>8</v>
      </c>
      <c r="AE229" s="220">
        <f t="shared" si="289"/>
        <v>-249</v>
      </c>
      <c r="AF229" s="220">
        <f t="shared" si="289"/>
        <v>-318</v>
      </c>
      <c r="AG229" s="220">
        <f t="shared" si="289"/>
        <v>-443</v>
      </c>
      <c r="AH229" s="220">
        <f t="shared" si="289"/>
        <v>-423</v>
      </c>
      <c r="AI229" s="220">
        <f t="shared" si="289"/>
        <v>-286</v>
      </c>
      <c r="AJ229" s="50">
        <f t="shared" si="284"/>
        <v>1.3560000000000121</v>
      </c>
      <c r="AK229" s="257"/>
      <c r="AL229" s="257">
        <f t="shared" si="285"/>
        <v>1.2</v>
      </c>
      <c r="AM229" s="52"/>
      <c r="AN229" s="88"/>
    </row>
    <row r="230" spans="1:40" s="29" customFormat="1" ht="17.25" customHeight="1">
      <c r="A230" s="48">
        <v>220</v>
      </c>
      <c r="B230" s="49">
        <f t="shared" si="278"/>
        <v>45772</v>
      </c>
      <c r="C230" s="220">
        <f t="shared" si="279"/>
        <v>1049</v>
      </c>
      <c r="D230" s="220">
        <f>D229+15</f>
        <v>2104</v>
      </c>
      <c r="E230" s="220">
        <f t="shared" si="280"/>
        <v>3153</v>
      </c>
      <c r="F230" s="220">
        <f t="shared" si="273"/>
        <v>796</v>
      </c>
      <c r="G230" s="220">
        <f t="shared" si="274"/>
        <v>895</v>
      </c>
      <c r="H230" s="220">
        <f t="shared" si="275"/>
        <v>1001</v>
      </c>
      <c r="I230" s="220">
        <f t="shared" si="276"/>
        <v>1034</v>
      </c>
      <c r="J230" s="220">
        <f t="shared" si="277"/>
        <v>795</v>
      </c>
      <c r="K230" s="220">
        <f t="shared" si="286"/>
        <v>2357</v>
      </c>
      <c r="L230" s="220">
        <f t="shared" si="286"/>
        <v>2258</v>
      </c>
      <c r="M230" s="220">
        <f t="shared" si="286"/>
        <v>2152</v>
      </c>
      <c r="N230" s="220">
        <f t="shared" si="286"/>
        <v>2119</v>
      </c>
      <c r="O230" s="220">
        <f t="shared" si="286"/>
        <v>2358</v>
      </c>
      <c r="P230" s="220">
        <f t="shared" si="287"/>
        <v>2000</v>
      </c>
      <c r="Q230" s="220">
        <f t="shared" si="287"/>
        <v>2000</v>
      </c>
      <c r="R230" s="220">
        <f t="shared" si="287"/>
        <v>2000</v>
      </c>
      <c r="S230" s="220">
        <f t="shared" si="287"/>
        <v>2000</v>
      </c>
      <c r="T230" s="220">
        <f t="shared" si="287"/>
        <v>2000</v>
      </c>
      <c r="U230" s="220">
        <f t="shared" si="288"/>
        <v>357</v>
      </c>
      <c r="V230" s="220">
        <f t="shared" si="288"/>
        <v>258</v>
      </c>
      <c r="W230" s="220">
        <f t="shared" si="288"/>
        <v>152</v>
      </c>
      <c r="X230" s="220">
        <f t="shared" si="288"/>
        <v>119</v>
      </c>
      <c r="Y230" s="220">
        <f t="shared" si="288"/>
        <v>358</v>
      </c>
      <c r="Z230" s="220">
        <v>3</v>
      </c>
      <c r="AA230" s="220">
        <v>3</v>
      </c>
      <c r="AB230" s="220">
        <v>4</v>
      </c>
      <c r="AC230" s="220">
        <v>7</v>
      </c>
      <c r="AD230" s="220">
        <v>5</v>
      </c>
      <c r="AE230" s="220">
        <f t="shared" si="289"/>
        <v>-252</v>
      </c>
      <c r="AF230" s="220">
        <f t="shared" si="289"/>
        <v>-321</v>
      </c>
      <c r="AG230" s="220">
        <f t="shared" si="289"/>
        <v>-447</v>
      </c>
      <c r="AH230" s="220">
        <f t="shared" si="289"/>
        <v>-430</v>
      </c>
      <c r="AI230" s="220">
        <f t="shared" si="289"/>
        <v>-291</v>
      </c>
      <c r="AJ230" s="50">
        <f t="shared" si="284"/>
        <v>1.3520000000000121</v>
      </c>
      <c r="AK230" s="257"/>
      <c r="AL230" s="257">
        <f t="shared" si="285"/>
        <v>1.2</v>
      </c>
      <c r="AM230" s="52"/>
      <c r="AN230" s="88"/>
    </row>
    <row r="231" spans="1:40" s="29" customFormat="1" ht="17.25" customHeight="1">
      <c r="A231" s="48">
        <v>221</v>
      </c>
      <c r="B231" s="49">
        <f t="shared" si="278"/>
        <v>45773</v>
      </c>
      <c r="C231" s="220">
        <f t="shared" si="279"/>
        <v>1049</v>
      </c>
      <c r="D231" s="220">
        <f>D230+26</f>
        <v>2130</v>
      </c>
      <c r="E231" s="220">
        <f t="shared" si="280"/>
        <v>3179</v>
      </c>
      <c r="F231" s="220">
        <f t="shared" si="273"/>
        <v>827</v>
      </c>
      <c r="G231" s="220">
        <f t="shared" si="274"/>
        <v>925</v>
      </c>
      <c r="H231" s="220">
        <f t="shared" si="275"/>
        <v>1031</v>
      </c>
      <c r="I231" s="220">
        <f t="shared" si="276"/>
        <v>1066</v>
      </c>
      <c r="J231" s="220">
        <f t="shared" si="277"/>
        <v>828</v>
      </c>
      <c r="K231" s="220">
        <f t="shared" si="286"/>
        <v>2352</v>
      </c>
      <c r="L231" s="220">
        <f t="shared" si="286"/>
        <v>2254</v>
      </c>
      <c r="M231" s="220">
        <f t="shared" si="286"/>
        <v>2148</v>
      </c>
      <c r="N231" s="220">
        <f t="shared" si="286"/>
        <v>2113</v>
      </c>
      <c r="O231" s="220">
        <f t="shared" si="286"/>
        <v>2351</v>
      </c>
      <c r="P231" s="220">
        <f t="shared" si="287"/>
        <v>2000</v>
      </c>
      <c r="Q231" s="220">
        <f t="shared" si="287"/>
        <v>2000</v>
      </c>
      <c r="R231" s="220">
        <f t="shared" si="287"/>
        <v>2000</v>
      </c>
      <c r="S231" s="220">
        <f t="shared" si="287"/>
        <v>2000</v>
      </c>
      <c r="T231" s="220">
        <f t="shared" si="287"/>
        <v>2000</v>
      </c>
      <c r="U231" s="220">
        <f t="shared" si="288"/>
        <v>352</v>
      </c>
      <c r="V231" s="220">
        <f t="shared" si="288"/>
        <v>254</v>
      </c>
      <c r="W231" s="220">
        <f t="shared" si="288"/>
        <v>148</v>
      </c>
      <c r="X231" s="220">
        <f t="shared" si="288"/>
        <v>113</v>
      </c>
      <c r="Y231" s="220">
        <f t="shared" si="288"/>
        <v>351</v>
      </c>
      <c r="Z231" s="220">
        <v>5</v>
      </c>
      <c r="AA231" s="220">
        <v>4</v>
      </c>
      <c r="AB231" s="220">
        <v>4</v>
      </c>
      <c r="AC231" s="220">
        <v>6</v>
      </c>
      <c r="AD231" s="220">
        <v>7</v>
      </c>
      <c r="AE231" s="220">
        <f t="shared" si="289"/>
        <v>-257</v>
      </c>
      <c r="AF231" s="220">
        <f t="shared" si="289"/>
        <v>-325</v>
      </c>
      <c r="AG231" s="220">
        <f t="shared" si="289"/>
        <v>-451</v>
      </c>
      <c r="AH231" s="220">
        <f t="shared" si="289"/>
        <v>-436</v>
      </c>
      <c r="AI231" s="220">
        <f t="shared" si="289"/>
        <v>-298</v>
      </c>
      <c r="AJ231" s="50">
        <f t="shared" si="284"/>
        <v>1.3480000000000121</v>
      </c>
      <c r="AK231" s="257"/>
      <c r="AL231" s="257">
        <f t="shared" si="285"/>
        <v>1.2</v>
      </c>
      <c r="AM231" s="52"/>
      <c r="AN231" s="88"/>
    </row>
    <row r="232" spans="1:40" s="29" customFormat="1" ht="17.25" customHeight="1">
      <c r="A232" s="48">
        <v>222</v>
      </c>
      <c r="B232" s="49">
        <f t="shared" si="278"/>
        <v>45774</v>
      </c>
      <c r="C232" s="220">
        <f t="shared" si="279"/>
        <v>1049</v>
      </c>
      <c r="D232" s="220">
        <f>D231-26</f>
        <v>2104</v>
      </c>
      <c r="E232" s="220">
        <f t="shared" si="280"/>
        <v>3153</v>
      </c>
      <c r="F232" s="220">
        <f t="shared" si="273"/>
        <v>804</v>
      </c>
      <c r="G232" s="220">
        <f t="shared" si="274"/>
        <v>902</v>
      </c>
      <c r="H232" s="220">
        <f t="shared" si="275"/>
        <v>1011</v>
      </c>
      <c r="I232" s="220">
        <f t="shared" si="276"/>
        <v>1046</v>
      </c>
      <c r="J232" s="220">
        <f t="shared" si="277"/>
        <v>809</v>
      </c>
      <c r="K232" s="220">
        <f t="shared" si="286"/>
        <v>2349</v>
      </c>
      <c r="L232" s="220">
        <f t="shared" si="286"/>
        <v>2251</v>
      </c>
      <c r="M232" s="220">
        <f t="shared" si="286"/>
        <v>2142</v>
      </c>
      <c r="N232" s="220">
        <f t="shared" si="286"/>
        <v>2107</v>
      </c>
      <c r="O232" s="220">
        <f t="shared" si="286"/>
        <v>2344</v>
      </c>
      <c r="P232" s="220">
        <f t="shared" si="287"/>
        <v>2000</v>
      </c>
      <c r="Q232" s="220">
        <f t="shared" si="287"/>
        <v>2000</v>
      </c>
      <c r="R232" s="220">
        <f t="shared" si="287"/>
        <v>2000</v>
      </c>
      <c r="S232" s="220">
        <f t="shared" si="287"/>
        <v>2000</v>
      </c>
      <c r="T232" s="220">
        <f t="shared" si="287"/>
        <v>2000</v>
      </c>
      <c r="U232" s="220">
        <f t="shared" si="288"/>
        <v>349</v>
      </c>
      <c r="V232" s="220">
        <f t="shared" si="288"/>
        <v>251</v>
      </c>
      <c r="W232" s="220">
        <f t="shared" si="288"/>
        <v>142</v>
      </c>
      <c r="X232" s="220">
        <f t="shared" si="288"/>
        <v>107</v>
      </c>
      <c r="Y232" s="220">
        <f t="shared" si="288"/>
        <v>344</v>
      </c>
      <c r="Z232" s="220">
        <v>3</v>
      </c>
      <c r="AA232" s="220">
        <v>3</v>
      </c>
      <c r="AB232" s="220">
        <v>6</v>
      </c>
      <c r="AC232" s="220">
        <v>6</v>
      </c>
      <c r="AD232" s="220">
        <v>7</v>
      </c>
      <c r="AE232" s="220">
        <f t="shared" si="289"/>
        <v>-260</v>
      </c>
      <c r="AF232" s="220">
        <f t="shared" si="289"/>
        <v>-328</v>
      </c>
      <c r="AG232" s="220">
        <f t="shared" si="289"/>
        <v>-457</v>
      </c>
      <c r="AH232" s="220">
        <f t="shared" si="289"/>
        <v>-442</v>
      </c>
      <c r="AI232" s="220">
        <f t="shared" si="289"/>
        <v>-305</v>
      </c>
      <c r="AJ232" s="50">
        <f t="shared" si="284"/>
        <v>1.3420000000000121</v>
      </c>
      <c r="AK232" s="257"/>
      <c r="AL232" s="257">
        <f t="shared" si="285"/>
        <v>1.2</v>
      </c>
      <c r="AM232" s="52"/>
      <c r="AN232" s="88"/>
    </row>
    <row r="233" spans="1:40" s="29" customFormat="1" ht="17.25" customHeight="1">
      <c r="A233" s="48">
        <v>223</v>
      </c>
      <c r="B233" s="49">
        <f t="shared" si="278"/>
        <v>45775</v>
      </c>
      <c r="C233" s="220">
        <f t="shared" si="279"/>
        <v>1049</v>
      </c>
      <c r="D233" s="220">
        <f>D232+15</f>
        <v>2119</v>
      </c>
      <c r="E233" s="220">
        <f t="shared" si="280"/>
        <v>3168</v>
      </c>
      <c r="F233" s="220">
        <f t="shared" si="273"/>
        <v>822</v>
      </c>
      <c r="G233" s="220">
        <f t="shared" si="274"/>
        <v>921</v>
      </c>
      <c r="H233" s="220">
        <f t="shared" si="275"/>
        <v>1030</v>
      </c>
      <c r="I233" s="220">
        <f t="shared" si="276"/>
        <v>1066</v>
      </c>
      <c r="J233" s="220">
        <f t="shared" si="277"/>
        <v>830</v>
      </c>
      <c r="K233" s="220">
        <f t="shared" si="286"/>
        <v>2346</v>
      </c>
      <c r="L233" s="220">
        <f t="shared" si="286"/>
        <v>2247</v>
      </c>
      <c r="M233" s="220">
        <f t="shared" si="286"/>
        <v>2138</v>
      </c>
      <c r="N233" s="220">
        <f t="shared" si="286"/>
        <v>2102</v>
      </c>
      <c r="O233" s="220">
        <f t="shared" si="286"/>
        <v>2338</v>
      </c>
      <c r="P233" s="220">
        <f t="shared" si="287"/>
        <v>2000</v>
      </c>
      <c r="Q233" s="220">
        <f t="shared" si="287"/>
        <v>2000</v>
      </c>
      <c r="R233" s="220">
        <f t="shared" si="287"/>
        <v>2000</v>
      </c>
      <c r="S233" s="220">
        <f t="shared" si="287"/>
        <v>2000</v>
      </c>
      <c r="T233" s="220">
        <f t="shared" si="287"/>
        <v>2000</v>
      </c>
      <c r="U233" s="220">
        <f t="shared" si="288"/>
        <v>346</v>
      </c>
      <c r="V233" s="220">
        <f t="shared" si="288"/>
        <v>247</v>
      </c>
      <c r="W233" s="220">
        <f t="shared" si="288"/>
        <v>138</v>
      </c>
      <c r="X233" s="220">
        <f t="shared" si="288"/>
        <v>102</v>
      </c>
      <c r="Y233" s="220">
        <f t="shared" si="288"/>
        <v>338</v>
      </c>
      <c r="Z233" s="220">
        <v>3</v>
      </c>
      <c r="AA233" s="220">
        <v>4</v>
      </c>
      <c r="AB233" s="220">
        <v>4</v>
      </c>
      <c r="AC233" s="220">
        <v>5</v>
      </c>
      <c r="AD233" s="220">
        <v>6</v>
      </c>
      <c r="AE233" s="220">
        <f t="shared" si="289"/>
        <v>-263</v>
      </c>
      <c r="AF233" s="220">
        <f t="shared" si="289"/>
        <v>-332</v>
      </c>
      <c r="AG233" s="220">
        <f t="shared" si="289"/>
        <v>-461</v>
      </c>
      <c r="AH233" s="220">
        <f t="shared" si="289"/>
        <v>-447</v>
      </c>
      <c r="AI233" s="220">
        <f t="shared" si="289"/>
        <v>-311</v>
      </c>
      <c r="AJ233" s="50">
        <f t="shared" si="284"/>
        <v>1.3380000000000121</v>
      </c>
      <c r="AK233" s="257"/>
      <c r="AL233" s="257">
        <f t="shared" si="285"/>
        <v>1.2</v>
      </c>
      <c r="AM233" s="52"/>
      <c r="AN233" s="88"/>
    </row>
    <row r="234" spans="1:40" s="29" customFormat="1" ht="17.25" customHeight="1">
      <c r="A234" s="48">
        <v>224</v>
      </c>
      <c r="B234" s="49">
        <f t="shared" si="278"/>
        <v>45776</v>
      </c>
      <c r="C234" s="220">
        <f t="shared" si="279"/>
        <v>1049</v>
      </c>
      <c r="D234" s="220">
        <f>D233+26</f>
        <v>2145</v>
      </c>
      <c r="E234" s="220">
        <f t="shared" si="280"/>
        <v>3194</v>
      </c>
      <c r="F234" s="220">
        <f t="shared" si="273"/>
        <v>851</v>
      </c>
      <c r="G234" s="220">
        <f t="shared" si="274"/>
        <v>952</v>
      </c>
      <c r="H234" s="220">
        <f t="shared" si="275"/>
        <v>1061</v>
      </c>
      <c r="I234" s="220">
        <f t="shared" si="276"/>
        <v>1096</v>
      </c>
      <c r="J234" s="220">
        <f t="shared" si="277"/>
        <v>862</v>
      </c>
      <c r="K234" s="220">
        <f t="shared" si="286"/>
        <v>2343</v>
      </c>
      <c r="L234" s="220">
        <f t="shared" si="286"/>
        <v>2242</v>
      </c>
      <c r="M234" s="220">
        <f t="shared" si="286"/>
        <v>2133</v>
      </c>
      <c r="N234" s="220">
        <f t="shared" si="286"/>
        <v>2098</v>
      </c>
      <c r="O234" s="220">
        <f t="shared" si="286"/>
        <v>2332</v>
      </c>
      <c r="P234" s="220">
        <f t="shared" si="287"/>
        <v>2000</v>
      </c>
      <c r="Q234" s="220">
        <f t="shared" si="287"/>
        <v>2000</v>
      </c>
      <c r="R234" s="220">
        <f t="shared" si="287"/>
        <v>2000</v>
      </c>
      <c r="S234" s="220">
        <f t="shared" si="287"/>
        <v>2000</v>
      </c>
      <c r="T234" s="220">
        <f t="shared" si="287"/>
        <v>2000</v>
      </c>
      <c r="U234" s="220">
        <f t="shared" si="288"/>
        <v>343</v>
      </c>
      <c r="V234" s="220">
        <f t="shared" si="288"/>
        <v>242</v>
      </c>
      <c r="W234" s="220">
        <f t="shared" si="288"/>
        <v>133</v>
      </c>
      <c r="X234" s="220">
        <f t="shared" si="288"/>
        <v>98</v>
      </c>
      <c r="Y234" s="220">
        <f t="shared" si="288"/>
        <v>332</v>
      </c>
      <c r="Z234" s="220">
        <v>3</v>
      </c>
      <c r="AA234" s="220">
        <v>5</v>
      </c>
      <c r="AB234" s="220">
        <v>5</v>
      </c>
      <c r="AC234" s="220">
        <v>4</v>
      </c>
      <c r="AD234" s="220">
        <v>6</v>
      </c>
      <c r="AE234" s="220">
        <f t="shared" si="289"/>
        <v>-266</v>
      </c>
      <c r="AF234" s="220">
        <f t="shared" si="289"/>
        <v>-337</v>
      </c>
      <c r="AG234" s="220">
        <f t="shared" si="289"/>
        <v>-466</v>
      </c>
      <c r="AH234" s="220">
        <f t="shared" si="289"/>
        <v>-451</v>
      </c>
      <c r="AI234" s="220">
        <f t="shared" si="289"/>
        <v>-317</v>
      </c>
      <c r="AJ234" s="50">
        <f t="shared" si="284"/>
        <v>1.3330000000000122</v>
      </c>
      <c r="AK234" s="257"/>
      <c r="AL234" s="257">
        <f t="shared" si="285"/>
        <v>1.2</v>
      </c>
      <c r="AM234" s="52"/>
      <c r="AN234" s="88"/>
    </row>
    <row r="235" spans="1:40" s="29" customFormat="1" ht="17.25" customHeight="1">
      <c r="A235" s="48">
        <v>225</v>
      </c>
      <c r="B235" s="49">
        <f t="shared" si="278"/>
        <v>45777</v>
      </c>
      <c r="C235" s="220">
        <f t="shared" si="279"/>
        <v>1049</v>
      </c>
      <c r="D235" s="220">
        <f>D234+32</f>
        <v>2177</v>
      </c>
      <c r="E235" s="220">
        <f t="shared" si="280"/>
        <v>3226</v>
      </c>
      <c r="F235" s="220">
        <f t="shared" si="273"/>
        <v>888</v>
      </c>
      <c r="G235" s="220">
        <f t="shared" si="274"/>
        <v>989</v>
      </c>
      <c r="H235" s="220">
        <f t="shared" si="275"/>
        <v>1097</v>
      </c>
      <c r="I235" s="220">
        <f t="shared" si="276"/>
        <v>1133</v>
      </c>
      <c r="J235" s="220">
        <f t="shared" si="277"/>
        <v>899</v>
      </c>
      <c r="K235" s="220">
        <f t="shared" si="286"/>
        <v>2338</v>
      </c>
      <c r="L235" s="220">
        <f t="shared" si="286"/>
        <v>2237</v>
      </c>
      <c r="M235" s="220">
        <f t="shared" si="286"/>
        <v>2129</v>
      </c>
      <c r="N235" s="220">
        <f t="shared" si="286"/>
        <v>2093</v>
      </c>
      <c r="O235" s="220">
        <f t="shared" si="286"/>
        <v>2327</v>
      </c>
      <c r="P235" s="220">
        <f t="shared" si="287"/>
        <v>2000</v>
      </c>
      <c r="Q235" s="220">
        <f t="shared" si="287"/>
        <v>2000</v>
      </c>
      <c r="R235" s="220">
        <f t="shared" si="287"/>
        <v>2000</v>
      </c>
      <c r="S235" s="220">
        <f t="shared" si="287"/>
        <v>2000</v>
      </c>
      <c r="T235" s="220">
        <f t="shared" si="287"/>
        <v>2000</v>
      </c>
      <c r="U235" s="220">
        <f t="shared" si="288"/>
        <v>338</v>
      </c>
      <c r="V235" s="220">
        <f t="shared" si="288"/>
        <v>237</v>
      </c>
      <c r="W235" s="220">
        <f t="shared" si="288"/>
        <v>129</v>
      </c>
      <c r="X235" s="220">
        <f t="shared" si="288"/>
        <v>93</v>
      </c>
      <c r="Y235" s="220">
        <f t="shared" si="288"/>
        <v>327</v>
      </c>
      <c r="Z235" s="220">
        <v>5</v>
      </c>
      <c r="AA235" s="220">
        <v>5</v>
      </c>
      <c r="AB235" s="220">
        <v>4</v>
      </c>
      <c r="AC235" s="220">
        <v>5</v>
      </c>
      <c r="AD235" s="220">
        <v>5</v>
      </c>
      <c r="AE235" s="220">
        <f t="shared" si="289"/>
        <v>-271</v>
      </c>
      <c r="AF235" s="220">
        <f t="shared" si="289"/>
        <v>-342</v>
      </c>
      <c r="AG235" s="220">
        <f t="shared" si="289"/>
        <v>-470</v>
      </c>
      <c r="AH235" s="220">
        <f t="shared" si="289"/>
        <v>-456</v>
      </c>
      <c r="AI235" s="220">
        <f t="shared" si="289"/>
        <v>-322</v>
      </c>
      <c r="AJ235" s="50">
        <f t="shared" si="284"/>
        <v>1.3290000000000122</v>
      </c>
      <c r="AK235" s="257"/>
      <c r="AL235" s="257">
        <f t="shared" si="285"/>
        <v>1.2</v>
      </c>
      <c r="AM235" s="52"/>
      <c r="AN235" s="88"/>
    </row>
    <row r="236" spans="1:40" s="29" customFormat="1" ht="17.25" customHeight="1">
      <c r="A236" s="48">
        <v>226</v>
      </c>
      <c r="B236" s="49">
        <f t="shared" si="278"/>
        <v>45778</v>
      </c>
      <c r="C236" s="220">
        <f t="shared" si="279"/>
        <v>1049</v>
      </c>
      <c r="D236" s="220">
        <f>D235-18</f>
        <v>2159</v>
      </c>
      <c r="E236" s="220">
        <f t="shared" si="280"/>
        <v>3208</v>
      </c>
      <c r="F236" s="220">
        <f t="shared" si="273"/>
        <v>874</v>
      </c>
      <c r="G236" s="220">
        <f t="shared" si="274"/>
        <v>975</v>
      </c>
      <c r="H236" s="220">
        <f t="shared" si="275"/>
        <v>1084</v>
      </c>
      <c r="I236" s="220">
        <f t="shared" si="276"/>
        <v>1122</v>
      </c>
      <c r="J236" s="220">
        <f t="shared" si="277"/>
        <v>886</v>
      </c>
      <c r="K236" s="220">
        <f t="shared" si="286"/>
        <v>2334</v>
      </c>
      <c r="L236" s="220">
        <f t="shared" si="286"/>
        <v>2233</v>
      </c>
      <c r="M236" s="220">
        <f t="shared" si="286"/>
        <v>2124</v>
      </c>
      <c r="N236" s="220">
        <f t="shared" si="286"/>
        <v>2086</v>
      </c>
      <c r="O236" s="220">
        <f t="shared" si="286"/>
        <v>2322</v>
      </c>
      <c r="P236" s="220">
        <f t="shared" si="287"/>
        <v>2000</v>
      </c>
      <c r="Q236" s="220">
        <f t="shared" si="287"/>
        <v>2000</v>
      </c>
      <c r="R236" s="220">
        <f t="shared" si="287"/>
        <v>2000</v>
      </c>
      <c r="S236" s="220">
        <f t="shared" si="287"/>
        <v>2000</v>
      </c>
      <c r="T236" s="220">
        <f t="shared" si="287"/>
        <v>2000</v>
      </c>
      <c r="U236" s="220">
        <f t="shared" si="288"/>
        <v>334</v>
      </c>
      <c r="V236" s="220">
        <f t="shared" si="288"/>
        <v>233</v>
      </c>
      <c r="W236" s="220">
        <f t="shared" si="288"/>
        <v>124</v>
      </c>
      <c r="X236" s="220">
        <f t="shared" si="288"/>
        <v>86</v>
      </c>
      <c r="Y236" s="220">
        <f t="shared" si="288"/>
        <v>322</v>
      </c>
      <c r="Z236" s="220">
        <v>4</v>
      </c>
      <c r="AA236" s="220">
        <v>4</v>
      </c>
      <c r="AB236" s="220">
        <v>5</v>
      </c>
      <c r="AC236" s="220">
        <v>7</v>
      </c>
      <c r="AD236" s="220">
        <v>5</v>
      </c>
      <c r="AE236" s="220">
        <f t="shared" si="289"/>
        <v>-275</v>
      </c>
      <c r="AF236" s="220">
        <f t="shared" si="289"/>
        <v>-346</v>
      </c>
      <c r="AG236" s="220">
        <f t="shared" si="289"/>
        <v>-475</v>
      </c>
      <c r="AH236" s="220">
        <f t="shared" si="289"/>
        <v>-463</v>
      </c>
      <c r="AI236" s="220">
        <f t="shared" si="289"/>
        <v>-327</v>
      </c>
      <c r="AJ236" s="50">
        <f t="shared" si="284"/>
        <v>1.3240000000000123</v>
      </c>
      <c r="AK236" s="257"/>
      <c r="AL236" s="257">
        <f t="shared" si="285"/>
        <v>1.2</v>
      </c>
      <c r="AM236" s="52"/>
      <c r="AN236" s="88"/>
    </row>
    <row r="237" spans="1:40" s="29" customFormat="1" ht="17.25" customHeight="1">
      <c r="A237" s="48">
        <v>227</v>
      </c>
      <c r="B237" s="49">
        <f t="shared" si="278"/>
        <v>45779</v>
      </c>
      <c r="C237" s="220">
        <f t="shared" si="279"/>
        <v>1049</v>
      </c>
      <c r="D237" s="220">
        <f>D236-26</f>
        <v>2133</v>
      </c>
      <c r="E237" s="220">
        <f t="shared" si="280"/>
        <v>3182</v>
      </c>
      <c r="F237" s="220">
        <f t="shared" si="273"/>
        <v>852</v>
      </c>
      <c r="G237" s="220">
        <f t="shared" si="274"/>
        <v>954</v>
      </c>
      <c r="H237" s="220">
        <f t="shared" si="275"/>
        <v>1061</v>
      </c>
      <c r="I237" s="220">
        <f t="shared" si="276"/>
        <v>1103</v>
      </c>
      <c r="J237" s="220">
        <f t="shared" si="277"/>
        <v>865</v>
      </c>
      <c r="K237" s="220">
        <f t="shared" si="286"/>
        <v>2330</v>
      </c>
      <c r="L237" s="220">
        <f t="shared" si="286"/>
        <v>2228</v>
      </c>
      <c r="M237" s="220">
        <f t="shared" si="286"/>
        <v>2121</v>
      </c>
      <c r="N237" s="220">
        <f t="shared" si="286"/>
        <v>2079</v>
      </c>
      <c r="O237" s="220">
        <f t="shared" si="286"/>
        <v>2317</v>
      </c>
      <c r="P237" s="220">
        <f t="shared" ref="P237:T248" si="290">+P236</f>
        <v>2000</v>
      </c>
      <c r="Q237" s="220">
        <f t="shared" si="290"/>
        <v>2000</v>
      </c>
      <c r="R237" s="220">
        <f t="shared" si="290"/>
        <v>2000</v>
      </c>
      <c r="S237" s="220">
        <f t="shared" si="290"/>
        <v>2000</v>
      </c>
      <c r="T237" s="220">
        <f t="shared" si="290"/>
        <v>2000</v>
      </c>
      <c r="U237" s="220">
        <f t="shared" ref="U237:Y247" si="291">U236-Z237</f>
        <v>330</v>
      </c>
      <c r="V237" s="220">
        <f t="shared" si="291"/>
        <v>228</v>
      </c>
      <c r="W237" s="220">
        <f t="shared" si="291"/>
        <v>121</v>
      </c>
      <c r="X237" s="220">
        <f t="shared" si="291"/>
        <v>79</v>
      </c>
      <c r="Y237" s="220">
        <f t="shared" si="291"/>
        <v>317</v>
      </c>
      <c r="Z237" s="220">
        <v>4</v>
      </c>
      <c r="AA237" s="220">
        <v>5</v>
      </c>
      <c r="AB237" s="220">
        <v>3</v>
      </c>
      <c r="AC237" s="220">
        <v>7</v>
      </c>
      <c r="AD237" s="220">
        <v>5</v>
      </c>
      <c r="AE237" s="220">
        <f t="shared" ref="AE237:AI247" si="292">AE236-Z237</f>
        <v>-279</v>
      </c>
      <c r="AF237" s="220">
        <f t="shared" si="292"/>
        <v>-351</v>
      </c>
      <c r="AG237" s="220">
        <f t="shared" si="292"/>
        <v>-478</v>
      </c>
      <c r="AH237" s="220">
        <f t="shared" si="292"/>
        <v>-470</v>
      </c>
      <c r="AI237" s="220">
        <f t="shared" si="292"/>
        <v>-332</v>
      </c>
      <c r="AJ237" s="50">
        <f t="shared" si="284"/>
        <v>1.3210000000000124</v>
      </c>
      <c r="AK237" s="257"/>
      <c r="AL237" s="257">
        <f t="shared" si="285"/>
        <v>1.2</v>
      </c>
      <c r="AM237" s="52"/>
      <c r="AN237" s="88"/>
    </row>
    <row r="238" spans="1:40" s="29" customFormat="1" ht="17.25" customHeight="1">
      <c r="A238" s="48">
        <v>228</v>
      </c>
      <c r="B238" s="49">
        <f t="shared" si="278"/>
        <v>45780</v>
      </c>
      <c r="C238" s="220">
        <f t="shared" si="279"/>
        <v>1049</v>
      </c>
      <c r="D238" s="220">
        <f>D237+15</f>
        <v>2148</v>
      </c>
      <c r="E238" s="220">
        <f t="shared" si="280"/>
        <v>3197</v>
      </c>
      <c r="F238" s="220">
        <f t="shared" si="273"/>
        <v>872</v>
      </c>
      <c r="G238" s="220">
        <f t="shared" si="274"/>
        <v>975</v>
      </c>
      <c r="H238" s="220">
        <f t="shared" si="275"/>
        <v>1079</v>
      </c>
      <c r="I238" s="220">
        <f t="shared" si="276"/>
        <v>1124</v>
      </c>
      <c r="J238" s="220">
        <f t="shared" si="277"/>
        <v>885</v>
      </c>
      <c r="K238" s="220">
        <f t="shared" si="286"/>
        <v>2325</v>
      </c>
      <c r="L238" s="220">
        <f t="shared" si="286"/>
        <v>2222</v>
      </c>
      <c r="M238" s="220">
        <f t="shared" si="286"/>
        <v>2118</v>
      </c>
      <c r="N238" s="220">
        <f t="shared" si="286"/>
        <v>2073</v>
      </c>
      <c r="O238" s="220">
        <f t="shared" si="286"/>
        <v>2312</v>
      </c>
      <c r="P238" s="220">
        <f t="shared" si="290"/>
        <v>2000</v>
      </c>
      <c r="Q238" s="220">
        <f t="shared" si="290"/>
        <v>2000</v>
      </c>
      <c r="R238" s="220">
        <f t="shared" si="290"/>
        <v>2000</v>
      </c>
      <c r="S238" s="220">
        <f t="shared" si="290"/>
        <v>2000</v>
      </c>
      <c r="T238" s="220">
        <f t="shared" si="290"/>
        <v>2000</v>
      </c>
      <c r="U238" s="220">
        <f t="shared" si="291"/>
        <v>325</v>
      </c>
      <c r="V238" s="220">
        <f t="shared" si="291"/>
        <v>222</v>
      </c>
      <c r="W238" s="220">
        <f t="shared" si="291"/>
        <v>118</v>
      </c>
      <c r="X238" s="220">
        <f t="shared" si="291"/>
        <v>73</v>
      </c>
      <c r="Y238" s="220">
        <f t="shared" si="291"/>
        <v>312</v>
      </c>
      <c r="Z238" s="220">
        <v>5</v>
      </c>
      <c r="AA238" s="220">
        <v>6</v>
      </c>
      <c r="AB238" s="220">
        <v>3</v>
      </c>
      <c r="AC238" s="220">
        <v>6</v>
      </c>
      <c r="AD238" s="220">
        <v>5</v>
      </c>
      <c r="AE238" s="220">
        <f t="shared" si="292"/>
        <v>-284</v>
      </c>
      <c r="AF238" s="220">
        <f t="shared" si="292"/>
        <v>-357</v>
      </c>
      <c r="AG238" s="220">
        <f t="shared" si="292"/>
        <v>-481</v>
      </c>
      <c r="AH238" s="220">
        <f t="shared" si="292"/>
        <v>-476</v>
      </c>
      <c r="AI238" s="220">
        <f t="shared" si="292"/>
        <v>-337</v>
      </c>
      <c r="AJ238" s="50">
        <f t="shared" si="284"/>
        <v>1.3180000000000125</v>
      </c>
      <c r="AK238" s="257"/>
      <c r="AL238" s="257">
        <f t="shared" si="285"/>
        <v>1.2</v>
      </c>
      <c r="AM238" s="52"/>
      <c r="AN238" s="88"/>
    </row>
    <row r="239" spans="1:40" s="29" customFormat="1" ht="17.25" customHeight="1">
      <c r="A239" s="48">
        <v>229</v>
      </c>
      <c r="B239" s="49">
        <f t="shared" si="278"/>
        <v>45781</v>
      </c>
      <c r="C239" s="220">
        <f t="shared" si="279"/>
        <v>1049</v>
      </c>
      <c r="D239" s="220">
        <f>D238+26</f>
        <v>2174</v>
      </c>
      <c r="E239" s="220">
        <f t="shared" si="280"/>
        <v>3223</v>
      </c>
      <c r="F239" s="220">
        <f t="shared" si="273"/>
        <v>901</v>
      </c>
      <c r="G239" s="220">
        <f t="shared" si="274"/>
        <v>1004</v>
      </c>
      <c r="H239" s="220">
        <f t="shared" si="275"/>
        <v>1110</v>
      </c>
      <c r="I239" s="220">
        <f t="shared" si="276"/>
        <v>1156</v>
      </c>
      <c r="J239" s="220">
        <f t="shared" si="277"/>
        <v>916</v>
      </c>
      <c r="K239" s="220">
        <f t="shared" si="286"/>
        <v>2322</v>
      </c>
      <c r="L239" s="220">
        <f t="shared" si="286"/>
        <v>2219</v>
      </c>
      <c r="M239" s="220">
        <f t="shared" si="286"/>
        <v>2113</v>
      </c>
      <c r="N239" s="220">
        <f t="shared" si="286"/>
        <v>2067</v>
      </c>
      <c r="O239" s="220">
        <f t="shared" si="286"/>
        <v>2307</v>
      </c>
      <c r="P239" s="220">
        <f t="shared" si="290"/>
        <v>2000</v>
      </c>
      <c r="Q239" s="220">
        <f t="shared" si="290"/>
        <v>2000</v>
      </c>
      <c r="R239" s="220">
        <f t="shared" si="290"/>
        <v>2000</v>
      </c>
      <c r="S239" s="220">
        <f t="shared" si="290"/>
        <v>2000</v>
      </c>
      <c r="T239" s="220">
        <f t="shared" si="290"/>
        <v>2000</v>
      </c>
      <c r="U239" s="220">
        <f t="shared" si="291"/>
        <v>322</v>
      </c>
      <c r="V239" s="220">
        <f t="shared" si="291"/>
        <v>219</v>
      </c>
      <c r="W239" s="220">
        <f t="shared" si="291"/>
        <v>113</v>
      </c>
      <c r="X239" s="220">
        <f t="shared" si="291"/>
        <v>67</v>
      </c>
      <c r="Y239" s="220">
        <f t="shared" si="291"/>
        <v>307</v>
      </c>
      <c r="Z239" s="220">
        <v>3</v>
      </c>
      <c r="AA239" s="220">
        <v>3</v>
      </c>
      <c r="AB239" s="220">
        <v>5</v>
      </c>
      <c r="AC239" s="220">
        <v>6</v>
      </c>
      <c r="AD239" s="220">
        <v>5</v>
      </c>
      <c r="AE239" s="220">
        <f t="shared" si="292"/>
        <v>-287</v>
      </c>
      <c r="AF239" s="220">
        <f t="shared" si="292"/>
        <v>-360</v>
      </c>
      <c r="AG239" s="220">
        <f t="shared" si="292"/>
        <v>-486</v>
      </c>
      <c r="AH239" s="220">
        <f t="shared" si="292"/>
        <v>-482</v>
      </c>
      <c r="AI239" s="220">
        <f t="shared" si="292"/>
        <v>-342</v>
      </c>
      <c r="AJ239" s="50">
        <f t="shared" si="284"/>
        <v>1.3130000000000126</v>
      </c>
      <c r="AK239" s="257"/>
      <c r="AL239" s="257">
        <f t="shared" si="285"/>
        <v>1.2</v>
      </c>
      <c r="AM239" s="52"/>
      <c r="AN239" s="88"/>
    </row>
    <row r="240" spans="1:40" s="29" customFormat="1" ht="17.25" customHeight="1">
      <c r="A240" s="48">
        <v>230</v>
      </c>
      <c r="B240" s="49">
        <f t="shared" si="278"/>
        <v>45782</v>
      </c>
      <c r="C240" s="220">
        <f t="shared" si="279"/>
        <v>1049</v>
      </c>
      <c r="D240" s="220">
        <f t="shared" ref="D240" si="293">D239-26</f>
        <v>2148</v>
      </c>
      <c r="E240" s="220">
        <f t="shared" si="280"/>
        <v>3197</v>
      </c>
      <c r="F240" s="220">
        <f t="shared" si="273"/>
        <v>878</v>
      </c>
      <c r="G240" s="220">
        <f t="shared" si="274"/>
        <v>983</v>
      </c>
      <c r="H240" s="220">
        <f t="shared" si="275"/>
        <v>1088</v>
      </c>
      <c r="I240" s="220">
        <f t="shared" si="276"/>
        <v>1136</v>
      </c>
      <c r="J240" s="220">
        <f t="shared" si="277"/>
        <v>896</v>
      </c>
      <c r="K240" s="220">
        <f t="shared" si="286"/>
        <v>2319</v>
      </c>
      <c r="L240" s="220">
        <f t="shared" si="286"/>
        <v>2214</v>
      </c>
      <c r="M240" s="220">
        <f t="shared" si="286"/>
        <v>2109</v>
      </c>
      <c r="N240" s="220">
        <f t="shared" si="286"/>
        <v>2061</v>
      </c>
      <c r="O240" s="220">
        <f t="shared" si="286"/>
        <v>2301</v>
      </c>
      <c r="P240" s="220">
        <f t="shared" si="290"/>
        <v>2000</v>
      </c>
      <c r="Q240" s="220">
        <f t="shared" si="290"/>
        <v>2000</v>
      </c>
      <c r="R240" s="220">
        <f t="shared" si="290"/>
        <v>2000</v>
      </c>
      <c r="S240" s="220">
        <f t="shared" si="290"/>
        <v>2000</v>
      </c>
      <c r="T240" s="220">
        <f t="shared" si="290"/>
        <v>2000</v>
      </c>
      <c r="U240" s="220">
        <f t="shared" si="291"/>
        <v>319</v>
      </c>
      <c r="V240" s="220">
        <f t="shared" si="291"/>
        <v>214</v>
      </c>
      <c r="W240" s="220">
        <f t="shared" si="291"/>
        <v>109</v>
      </c>
      <c r="X240" s="220">
        <f t="shared" si="291"/>
        <v>61</v>
      </c>
      <c r="Y240" s="220">
        <f t="shared" si="291"/>
        <v>301</v>
      </c>
      <c r="Z240" s="220">
        <v>3</v>
      </c>
      <c r="AA240" s="220">
        <v>5</v>
      </c>
      <c r="AB240" s="220">
        <v>4</v>
      </c>
      <c r="AC240" s="220">
        <v>6</v>
      </c>
      <c r="AD240" s="220">
        <v>6</v>
      </c>
      <c r="AE240" s="220">
        <f t="shared" si="292"/>
        <v>-290</v>
      </c>
      <c r="AF240" s="220">
        <f t="shared" si="292"/>
        <v>-365</v>
      </c>
      <c r="AG240" s="220">
        <f t="shared" si="292"/>
        <v>-490</v>
      </c>
      <c r="AH240" s="220">
        <f t="shared" si="292"/>
        <v>-488</v>
      </c>
      <c r="AI240" s="220">
        <f t="shared" si="292"/>
        <v>-348</v>
      </c>
      <c r="AJ240" s="50">
        <f t="shared" si="284"/>
        <v>1.3090000000000126</v>
      </c>
      <c r="AK240" s="257"/>
      <c r="AL240" s="257">
        <f t="shared" si="285"/>
        <v>1.2</v>
      </c>
      <c r="AM240" s="52"/>
      <c r="AN240" s="88"/>
    </row>
    <row r="241" spans="1:40" s="29" customFormat="1" ht="17.25" customHeight="1">
      <c r="A241" s="48">
        <v>231</v>
      </c>
      <c r="B241" s="49">
        <f t="shared" si="278"/>
        <v>45783</v>
      </c>
      <c r="C241" s="220">
        <f t="shared" si="279"/>
        <v>1049</v>
      </c>
      <c r="D241" s="220">
        <f t="shared" ref="D241" si="294">D240+15</f>
        <v>2163</v>
      </c>
      <c r="E241" s="220">
        <f t="shared" si="280"/>
        <v>3212</v>
      </c>
      <c r="F241" s="220">
        <f t="shared" si="273"/>
        <v>895</v>
      </c>
      <c r="G241" s="220">
        <f t="shared" si="274"/>
        <v>1003</v>
      </c>
      <c r="H241" s="220">
        <f t="shared" si="275"/>
        <v>1106</v>
      </c>
      <c r="I241" s="220">
        <f t="shared" si="276"/>
        <v>1157</v>
      </c>
      <c r="J241" s="220">
        <f t="shared" si="277"/>
        <v>917</v>
      </c>
      <c r="K241" s="220">
        <f t="shared" si="286"/>
        <v>2317</v>
      </c>
      <c r="L241" s="220">
        <f t="shared" si="286"/>
        <v>2209</v>
      </c>
      <c r="M241" s="220">
        <f t="shared" si="286"/>
        <v>2106</v>
      </c>
      <c r="N241" s="220">
        <f t="shared" si="286"/>
        <v>2055</v>
      </c>
      <c r="O241" s="220">
        <f t="shared" si="286"/>
        <v>2295</v>
      </c>
      <c r="P241" s="220">
        <f t="shared" si="290"/>
        <v>2000</v>
      </c>
      <c r="Q241" s="220">
        <f t="shared" si="290"/>
        <v>2000</v>
      </c>
      <c r="R241" s="220">
        <f t="shared" si="290"/>
        <v>2000</v>
      </c>
      <c r="S241" s="220">
        <f t="shared" si="290"/>
        <v>2000</v>
      </c>
      <c r="T241" s="220">
        <f t="shared" si="290"/>
        <v>2000</v>
      </c>
      <c r="U241" s="220">
        <f t="shared" si="291"/>
        <v>317</v>
      </c>
      <c r="V241" s="220">
        <f t="shared" si="291"/>
        <v>209</v>
      </c>
      <c r="W241" s="220">
        <f t="shared" si="291"/>
        <v>106</v>
      </c>
      <c r="X241" s="220">
        <f t="shared" si="291"/>
        <v>55</v>
      </c>
      <c r="Y241" s="220">
        <f t="shared" si="291"/>
        <v>295</v>
      </c>
      <c r="Z241" s="220">
        <v>2</v>
      </c>
      <c r="AA241" s="220">
        <v>5</v>
      </c>
      <c r="AB241" s="220">
        <v>3</v>
      </c>
      <c r="AC241" s="220">
        <v>6</v>
      </c>
      <c r="AD241" s="220">
        <v>6</v>
      </c>
      <c r="AE241" s="220">
        <f t="shared" si="292"/>
        <v>-292</v>
      </c>
      <c r="AF241" s="220">
        <f t="shared" si="292"/>
        <v>-370</v>
      </c>
      <c r="AG241" s="220">
        <f t="shared" si="292"/>
        <v>-493</v>
      </c>
      <c r="AH241" s="220">
        <f t="shared" si="292"/>
        <v>-494</v>
      </c>
      <c r="AI241" s="220">
        <f t="shared" si="292"/>
        <v>-354</v>
      </c>
      <c r="AJ241" s="50">
        <f t="shared" si="284"/>
        <v>1.3060000000000127</v>
      </c>
      <c r="AK241" s="257"/>
      <c r="AL241" s="257">
        <f t="shared" si="285"/>
        <v>1.2</v>
      </c>
      <c r="AM241" s="52"/>
      <c r="AN241" s="88"/>
    </row>
    <row r="242" spans="1:40" s="29" customFormat="1" ht="17.25" customHeight="1">
      <c r="A242" s="48">
        <v>232</v>
      </c>
      <c r="B242" s="49">
        <f t="shared" si="278"/>
        <v>45784</v>
      </c>
      <c r="C242" s="220">
        <f t="shared" si="279"/>
        <v>1049</v>
      </c>
      <c r="D242" s="220">
        <f>D241+26</f>
        <v>2189</v>
      </c>
      <c r="E242" s="220">
        <f t="shared" si="280"/>
        <v>3238</v>
      </c>
      <c r="F242" s="220">
        <f t="shared" si="273"/>
        <v>923</v>
      </c>
      <c r="G242" s="220">
        <f t="shared" si="274"/>
        <v>1032</v>
      </c>
      <c r="H242" s="220">
        <f t="shared" si="275"/>
        <v>1137</v>
      </c>
      <c r="I242" s="220">
        <f t="shared" si="276"/>
        <v>1189</v>
      </c>
      <c r="J242" s="220">
        <f t="shared" si="277"/>
        <v>946</v>
      </c>
      <c r="K242" s="220">
        <f t="shared" si="286"/>
        <v>2315</v>
      </c>
      <c r="L242" s="220">
        <f t="shared" si="286"/>
        <v>2206</v>
      </c>
      <c r="M242" s="220">
        <f t="shared" si="286"/>
        <v>2101</v>
      </c>
      <c r="N242" s="220">
        <f t="shared" si="286"/>
        <v>2049</v>
      </c>
      <c r="O242" s="220">
        <f t="shared" si="286"/>
        <v>2292</v>
      </c>
      <c r="P242" s="220">
        <f t="shared" si="290"/>
        <v>2000</v>
      </c>
      <c r="Q242" s="220">
        <f t="shared" si="290"/>
        <v>2000</v>
      </c>
      <c r="R242" s="220">
        <f t="shared" si="290"/>
        <v>2000</v>
      </c>
      <c r="S242" s="220">
        <f t="shared" si="290"/>
        <v>2000</v>
      </c>
      <c r="T242" s="220">
        <f t="shared" si="290"/>
        <v>2000</v>
      </c>
      <c r="U242" s="220">
        <f t="shared" si="291"/>
        <v>315</v>
      </c>
      <c r="V242" s="220">
        <f t="shared" si="291"/>
        <v>206</v>
      </c>
      <c r="W242" s="220">
        <f t="shared" si="291"/>
        <v>101</v>
      </c>
      <c r="X242" s="220">
        <f t="shared" si="291"/>
        <v>49</v>
      </c>
      <c r="Y242" s="220">
        <f t="shared" si="291"/>
        <v>292</v>
      </c>
      <c r="Z242" s="220">
        <v>2</v>
      </c>
      <c r="AA242" s="220">
        <v>3</v>
      </c>
      <c r="AB242" s="220">
        <v>5</v>
      </c>
      <c r="AC242" s="220">
        <v>6</v>
      </c>
      <c r="AD242" s="220">
        <v>3</v>
      </c>
      <c r="AE242" s="220">
        <f t="shared" si="292"/>
        <v>-294</v>
      </c>
      <c r="AF242" s="220">
        <f t="shared" si="292"/>
        <v>-373</v>
      </c>
      <c r="AG242" s="220">
        <f t="shared" si="292"/>
        <v>-498</v>
      </c>
      <c r="AH242" s="220">
        <f t="shared" si="292"/>
        <v>-500</v>
      </c>
      <c r="AI242" s="220">
        <f t="shared" si="292"/>
        <v>-357</v>
      </c>
      <c r="AJ242" s="50">
        <f t="shared" si="284"/>
        <v>1.3010000000000128</v>
      </c>
      <c r="AK242" s="257"/>
      <c r="AL242" s="257">
        <f t="shared" si="285"/>
        <v>1.2</v>
      </c>
      <c r="AM242" s="52"/>
      <c r="AN242" s="88"/>
    </row>
    <row r="243" spans="1:40" s="29" customFormat="1" ht="17.25" customHeight="1">
      <c r="A243" s="48">
        <v>233</v>
      </c>
      <c r="B243" s="49">
        <f t="shared" si="278"/>
        <v>45785</v>
      </c>
      <c r="C243" s="220">
        <f t="shared" si="279"/>
        <v>1049</v>
      </c>
      <c r="D243" s="220">
        <f>D242+32</f>
        <v>2221</v>
      </c>
      <c r="E243" s="220">
        <f t="shared" si="280"/>
        <v>3270</v>
      </c>
      <c r="F243" s="220">
        <f t="shared" si="273"/>
        <v>958</v>
      </c>
      <c r="G243" s="220">
        <f t="shared" si="274"/>
        <v>1067</v>
      </c>
      <c r="H243" s="220">
        <f t="shared" si="275"/>
        <v>1174</v>
      </c>
      <c r="I243" s="220">
        <f t="shared" si="276"/>
        <v>1227</v>
      </c>
      <c r="J243" s="220">
        <f t="shared" si="277"/>
        <v>983</v>
      </c>
      <c r="K243" s="220">
        <f t="shared" si="286"/>
        <v>2312</v>
      </c>
      <c r="L243" s="220">
        <f t="shared" si="286"/>
        <v>2203</v>
      </c>
      <c r="M243" s="220">
        <f t="shared" si="286"/>
        <v>2096</v>
      </c>
      <c r="N243" s="220">
        <f t="shared" si="286"/>
        <v>2043</v>
      </c>
      <c r="O243" s="220">
        <f t="shared" si="286"/>
        <v>2287</v>
      </c>
      <c r="P243" s="220">
        <f t="shared" si="290"/>
        <v>2000</v>
      </c>
      <c r="Q243" s="220">
        <f t="shared" si="290"/>
        <v>2000</v>
      </c>
      <c r="R243" s="220">
        <f t="shared" si="290"/>
        <v>2000</v>
      </c>
      <c r="S243" s="220">
        <f t="shared" si="290"/>
        <v>2000</v>
      </c>
      <c r="T243" s="220">
        <f t="shared" si="290"/>
        <v>2000</v>
      </c>
      <c r="U243" s="220">
        <f t="shared" si="291"/>
        <v>312</v>
      </c>
      <c r="V243" s="220">
        <f t="shared" si="291"/>
        <v>203</v>
      </c>
      <c r="W243" s="220">
        <f t="shared" si="291"/>
        <v>96</v>
      </c>
      <c r="X243" s="220">
        <f t="shared" si="291"/>
        <v>43</v>
      </c>
      <c r="Y243" s="220">
        <f t="shared" si="291"/>
        <v>287</v>
      </c>
      <c r="Z243" s="220">
        <v>3</v>
      </c>
      <c r="AA243" s="220">
        <v>3</v>
      </c>
      <c r="AB243" s="220">
        <v>5</v>
      </c>
      <c r="AC243" s="220">
        <v>6</v>
      </c>
      <c r="AD243" s="220">
        <v>5</v>
      </c>
      <c r="AE243" s="220">
        <f t="shared" si="292"/>
        <v>-297</v>
      </c>
      <c r="AF243" s="220">
        <f t="shared" si="292"/>
        <v>-376</v>
      </c>
      <c r="AG243" s="220">
        <f t="shared" si="292"/>
        <v>-503</v>
      </c>
      <c r="AH243" s="220">
        <f t="shared" si="292"/>
        <v>-506</v>
      </c>
      <c r="AI243" s="220">
        <f t="shared" si="292"/>
        <v>-362</v>
      </c>
      <c r="AJ243" s="50">
        <f t="shared" si="284"/>
        <v>1.2960000000000129</v>
      </c>
      <c r="AK243" s="257"/>
      <c r="AL243" s="257">
        <f t="shared" si="285"/>
        <v>1.2</v>
      </c>
      <c r="AM243" s="52"/>
      <c r="AN243" s="88"/>
    </row>
    <row r="244" spans="1:40" s="29" customFormat="1" ht="17.25" customHeight="1">
      <c r="A244" s="48">
        <v>234</v>
      </c>
      <c r="B244" s="49">
        <f t="shared" si="278"/>
        <v>45786</v>
      </c>
      <c r="C244" s="220">
        <f t="shared" si="279"/>
        <v>1049</v>
      </c>
      <c r="D244" s="220">
        <f>D243-18</f>
        <v>2203</v>
      </c>
      <c r="E244" s="220">
        <f t="shared" si="280"/>
        <v>3252</v>
      </c>
      <c r="F244" s="220">
        <f t="shared" si="273"/>
        <v>943</v>
      </c>
      <c r="G244" s="220">
        <f t="shared" si="274"/>
        <v>1055</v>
      </c>
      <c r="H244" s="220">
        <f t="shared" si="275"/>
        <v>1162</v>
      </c>
      <c r="I244" s="220">
        <f t="shared" si="276"/>
        <v>1215</v>
      </c>
      <c r="J244" s="220">
        <f t="shared" si="277"/>
        <v>969</v>
      </c>
      <c r="K244" s="220">
        <f t="shared" si="286"/>
        <v>2309</v>
      </c>
      <c r="L244" s="220">
        <f t="shared" si="286"/>
        <v>2197</v>
      </c>
      <c r="M244" s="220">
        <f t="shared" si="286"/>
        <v>2090</v>
      </c>
      <c r="N244" s="220">
        <f t="shared" si="286"/>
        <v>2037</v>
      </c>
      <c r="O244" s="220">
        <f t="shared" si="286"/>
        <v>2283</v>
      </c>
      <c r="P244" s="220">
        <f t="shared" si="290"/>
        <v>2000</v>
      </c>
      <c r="Q244" s="220">
        <f t="shared" si="290"/>
        <v>2000</v>
      </c>
      <c r="R244" s="220">
        <f t="shared" si="290"/>
        <v>2000</v>
      </c>
      <c r="S244" s="220">
        <f t="shared" si="290"/>
        <v>2000</v>
      </c>
      <c r="T244" s="220">
        <f t="shared" si="290"/>
        <v>2000</v>
      </c>
      <c r="U244" s="220">
        <f t="shared" si="291"/>
        <v>309</v>
      </c>
      <c r="V244" s="220">
        <f t="shared" si="291"/>
        <v>197</v>
      </c>
      <c r="W244" s="220">
        <f t="shared" si="291"/>
        <v>90</v>
      </c>
      <c r="X244" s="220">
        <f t="shared" si="291"/>
        <v>37</v>
      </c>
      <c r="Y244" s="220">
        <f t="shared" si="291"/>
        <v>283</v>
      </c>
      <c r="Z244" s="220">
        <v>3</v>
      </c>
      <c r="AA244" s="220">
        <v>6</v>
      </c>
      <c r="AB244" s="220">
        <v>6</v>
      </c>
      <c r="AC244" s="220">
        <v>6</v>
      </c>
      <c r="AD244" s="220">
        <v>4</v>
      </c>
      <c r="AE244" s="220">
        <f t="shared" si="292"/>
        <v>-300</v>
      </c>
      <c r="AF244" s="220">
        <f t="shared" si="292"/>
        <v>-382</v>
      </c>
      <c r="AG244" s="220">
        <f t="shared" si="292"/>
        <v>-509</v>
      </c>
      <c r="AH244" s="220">
        <f t="shared" si="292"/>
        <v>-512</v>
      </c>
      <c r="AI244" s="220">
        <f t="shared" si="292"/>
        <v>-366</v>
      </c>
      <c r="AJ244" s="50">
        <f t="shared" si="284"/>
        <v>1.2900000000000129</v>
      </c>
      <c r="AK244" s="257"/>
      <c r="AL244" s="257">
        <f t="shared" si="285"/>
        <v>1.2</v>
      </c>
      <c r="AM244" s="52"/>
      <c r="AN244" s="88"/>
    </row>
    <row r="245" spans="1:40" s="29" customFormat="1" ht="16.95" customHeight="1">
      <c r="A245" s="48">
        <v>235</v>
      </c>
      <c r="B245" s="49">
        <f t="shared" si="278"/>
        <v>45787</v>
      </c>
      <c r="C245" s="220">
        <f t="shared" si="279"/>
        <v>1049</v>
      </c>
      <c r="D245" s="220">
        <f>D244-26</f>
        <v>2177</v>
      </c>
      <c r="E245" s="220">
        <f t="shared" si="280"/>
        <v>3226</v>
      </c>
      <c r="F245" s="220">
        <f t="shared" si="273"/>
        <v>919</v>
      </c>
      <c r="G245" s="220">
        <f t="shared" si="274"/>
        <v>1035</v>
      </c>
      <c r="H245" s="220">
        <f t="shared" si="275"/>
        <v>1141</v>
      </c>
      <c r="I245" s="220">
        <f t="shared" si="276"/>
        <v>1195</v>
      </c>
      <c r="J245" s="220">
        <f t="shared" si="277"/>
        <v>947</v>
      </c>
      <c r="K245" s="220">
        <f t="shared" si="286"/>
        <v>2307</v>
      </c>
      <c r="L245" s="220">
        <f t="shared" si="286"/>
        <v>2191</v>
      </c>
      <c r="M245" s="220">
        <f t="shared" si="286"/>
        <v>2085</v>
      </c>
      <c r="N245" s="220">
        <f t="shared" si="286"/>
        <v>2031</v>
      </c>
      <c r="O245" s="220">
        <f t="shared" si="286"/>
        <v>2279</v>
      </c>
      <c r="P245" s="220">
        <f t="shared" si="290"/>
        <v>2000</v>
      </c>
      <c r="Q245" s="220">
        <f t="shared" si="290"/>
        <v>2000</v>
      </c>
      <c r="R245" s="220">
        <f t="shared" si="290"/>
        <v>2000</v>
      </c>
      <c r="S245" s="220">
        <f t="shared" si="290"/>
        <v>2000</v>
      </c>
      <c r="T245" s="220">
        <f t="shared" si="290"/>
        <v>2000</v>
      </c>
      <c r="U245" s="220">
        <f t="shared" si="291"/>
        <v>307</v>
      </c>
      <c r="V245" s="220">
        <f t="shared" si="291"/>
        <v>191</v>
      </c>
      <c r="W245" s="220">
        <f t="shared" si="291"/>
        <v>85</v>
      </c>
      <c r="X245" s="220">
        <f t="shared" si="291"/>
        <v>31</v>
      </c>
      <c r="Y245" s="220">
        <f t="shared" si="291"/>
        <v>279</v>
      </c>
      <c r="Z245" s="220">
        <v>2</v>
      </c>
      <c r="AA245" s="220">
        <v>6</v>
      </c>
      <c r="AB245" s="220">
        <v>5</v>
      </c>
      <c r="AC245" s="220">
        <v>6</v>
      </c>
      <c r="AD245" s="220">
        <v>4</v>
      </c>
      <c r="AE245" s="220">
        <f t="shared" si="292"/>
        <v>-302</v>
      </c>
      <c r="AF245" s="220">
        <f t="shared" si="292"/>
        <v>-388</v>
      </c>
      <c r="AG245" s="220">
        <f t="shared" si="292"/>
        <v>-514</v>
      </c>
      <c r="AH245" s="220">
        <f t="shared" si="292"/>
        <v>-518</v>
      </c>
      <c r="AI245" s="220">
        <f t="shared" si="292"/>
        <v>-370</v>
      </c>
      <c r="AJ245" s="50">
        <f t="shared" si="284"/>
        <v>1.285000000000013</v>
      </c>
      <c r="AK245" s="257"/>
      <c r="AL245" s="257">
        <f t="shared" si="285"/>
        <v>1.2</v>
      </c>
      <c r="AM245" s="52"/>
      <c r="AN245" s="88"/>
    </row>
    <row r="246" spans="1:40" s="29" customFormat="1" ht="17.25" customHeight="1">
      <c r="A246" s="48">
        <v>236</v>
      </c>
      <c r="B246" s="49">
        <f t="shared" si="278"/>
        <v>45788</v>
      </c>
      <c r="C246" s="220">
        <f t="shared" si="279"/>
        <v>1049</v>
      </c>
      <c r="D246" s="220">
        <f>D245+15</f>
        <v>2192</v>
      </c>
      <c r="E246" s="220">
        <f t="shared" si="280"/>
        <v>3241</v>
      </c>
      <c r="F246" s="220">
        <f t="shared" si="273"/>
        <v>936</v>
      </c>
      <c r="G246" s="220">
        <f t="shared" si="274"/>
        <v>1056</v>
      </c>
      <c r="H246" s="220">
        <f t="shared" si="275"/>
        <v>1161</v>
      </c>
      <c r="I246" s="220">
        <f t="shared" si="276"/>
        <v>1215</v>
      </c>
      <c r="J246" s="220">
        <f t="shared" si="277"/>
        <v>968</v>
      </c>
      <c r="K246" s="220">
        <f t="shared" si="286"/>
        <v>2305</v>
      </c>
      <c r="L246" s="220">
        <f t="shared" si="286"/>
        <v>2185</v>
      </c>
      <c r="M246" s="220">
        <f t="shared" si="286"/>
        <v>2080</v>
      </c>
      <c r="N246" s="220">
        <f t="shared" si="286"/>
        <v>2026</v>
      </c>
      <c r="O246" s="220">
        <f t="shared" si="286"/>
        <v>2273</v>
      </c>
      <c r="P246" s="220">
        <f t="shared" si="290"/>
        <v>2000</v>
      </c>
      <c r="Q246" s="220">
        <f t="shared" si="290"/>
        <v>2000</v>
      </c>
      <c r="R246" s="220">
        <f t="shared" si="290"/>
        <v>2000</v>
      </c>
      <c r="S246" s="220">
        <f t="shared" si="290"/>
        <v>2000</v>
      </c>
      <c r="T246" s="220">
        <f t="shared" si="290"/>
        <v>2000</v>
      </c>
      <c r="U246" s="220">
        <f t="shared" si="291"/>
        <v>305</v>
      </c>
      <c r="V246" s="220">
        <f t="shared" si="291"/>
        <v>185</v>
      </c>
      <c r="W246" s="220">
        <f t="shared" si="291"/>
        <v>80</v>
      </c>
      <c r="X246" s="220">
        <f t="shared" si="291"/>
        <v>26</v>
      </c>
      <c r="Y246" s="220">
        <f t="shared" si="291"/>
        <v>273</v>
      </c>
      <c r="Z246" s="220">
        <v>2</v>
      </c>
      <c r="AA246" s="220">
        <v>6</v>
      </c>
      <c r="AB246" s="220">
        <v>5</v>
      </c>
      <c r="AC246" s="220">
        <v>5</v>
      </c>
      <c r="AD246" s="220">
        <v>6</v>
      </c>
      <c r="AE246" s="220">
        <f t="shared" si="292"/>
        <v>-304</v>
      </c>
      <c r="AF246" s="220">
        <f t="shared" si="292"/>
        <v>-394</v>
      </c>
      <c r="AG246" s="220">
        <f t="shared" si="292"/>
        <v>-519</v>
      </c>
      <c r="AH246" s="220">
        <f t="shared" si="292"/>
        <v>-523</v>
      </c>
      <c r="AI246" s="220">
        <f t="shared" si="292"/>
        <v>-376</v>
      </c>
      <c r="AJ246" s="50">
        <f t="shared" si="284"/>
        <v>1.2800000000000131</v>
      </c>
      <c r="AK246" s="257"/>
      <c r="AL246" s="257">
        <f t="shared" si="285"/>
        <v>1.2</v>
      </c>
      <c r="AM246" s="52"/>
      <c r="AN246" s="88"/>
    </row>
    <row r="247" spans="1:40" s="29" customFormat="1" ht="17.25" customHeight="1">
      <c r="A247" s="48">
        <v>237</v>
      </c>
      <c r="B247" s="49">
        <f t="shared" si="278"/>
        <v>45789</v>
      </c>
      <c r="C247" s="220">
        <f t="shared" si="279"/>
        <v>1049</v>
      </c>
      <c r="D247" s="220">
        <f>D246+26</f>
        <v>2218</v>
      </c>
      <c r="E247" s="220">
        <f t="shared" si="280"/>
        <v>3267</v>
      </c>
      <c r="F247" s="220">
        <f t="shared" si="273"/>
        <v>965</v>
      </c>
      <c r="G247" s="220">
        <f t="shared" si="274"/>
        <v>1086</v>
      </c>
      <c r="H247" s="220">
        <f t="shared" si="275"/>
        <v>1193</v>
      </c>
      <c r="I247" s="220">
        <f t="shared" si="276"/>
        <v>1246</v>
      </c>
      <c r="J247" s="220">
        <f t="shared" si="277"/>
        <v>997</v>
      </c>
      <c r="K247" s="220">
        <f t="shared" si="286"/>
        <v>2302</v>
      </c>
      <c r="L247" s="220">
        <f t="shared" si="286"/>
        <v>2181</v>
      </c>
      <c r="M247" s="220">
        <f t="shared" si="286"/>
        <v>2074</v>
      </c>
      <c r="N247" s="220">
        <f t="shared" si="286"/>
        <v>2021</v>
      </c>
      <c r="O247" s="220">
        <f t="shared" si="286"/>
        <v>2270</v>
      </c>
      <c r="P247" s="220">
        <f t="shared" si="290"/>
        <v>2000</v>
      </c>
      <c r="Q247" s="220">
        <f t="shared" si="290"/>
        <v>2000</v>
      </c>
      <c r="R247" s="220">
        <f t="shared" si="290"/>
        <v>2000</v>
      </c>
      <c r="S247" s="220">
        <f t="shared" si="290"/>
        <v>2000</v>
      </c>
      <c r="T247" s="220">
        <f t="shared" si="290"/>
        <v>2000</v>
      </c>
      <c r="U247" s="220">
        <f t="shared" si="291"/>
        <v>302</v>
      </c>
      <c r="V247" s="220">
        <f t="shared" si="291"/>
        <v>181</v>
      </c>
      <c r="W247" s="220">
        <f t="shared" si="291"/>
        <v>74</v>
      </c>
      <c r="X247" s="220">
        <f t="shared" si="291"/>
        <v>21</v>
      </c>
      <c r="Y247" s="220">
        <f t="shared" si="291"/>
        <v>270</v>
      </c>
      <c r="Z247" s="220">
        <v>3</v>
      </c>
      <c r="AA247" s="220">
        <v>4</v>
      </c>
      <c r="AB247" s="220">
        <v>6</v>
      </c>
      <c r="AC247" s="220">
        <v>5</v>
      </c>
      <c r="AD247" s="220">
        <v>3</v>
      </c>
      <c r="AE247" s="220">
        <f t="shared" si="292"/>
        <v>-307</v>
      </c>
      <c r="AF247" s="220">
        <f t="shared" si="292"/>
        <v>-398</v>
      </c>
      <c r="AG247" s="220">
        <f t="shared" si="292"/>
        <v>-525</v>
      </c>
      <c r="AH247" s="220">
        <f t="shared" si="292"/>
        <v>-528</v>
      </c>
      <c r="AI247" s="220">
        <f t="shared" si="292"/>
        <v>-379</v>
      </c>
      <c r="AJ247" s="50">
        <f t="shared" si="284"/>
        <v>1.2740000000000131</v>
      </c>
      <c r="AK247" s="257"/>
      <c r="AL247" s="257">
        <f t="shared" si="285"/>
        <v>1.2</v>
      </c>
      <c r="AM247" s="52"/>
      <c r="AN247" s="88"/>
    </row>
    <row r="248" spans="1:40" s="29" customFormat="1" ht="17.25" customHeight="1">
      <c r="A248" s="48">
        <v>238</v>
      </c>
      <c r="B248" s="49">
        <f t="shared" si="278"/>
        <v>45790</v>
      </c>
      <c r="C248" s="220">
        <f t="shared" si="279"/>
        <v>1049</v>
      </c>
      <c r="D248" s="220">
        <f>D247+26</f>
        <v>2244</v>
      </c>
      <c r="E248" s="220">
        <f t="shared" ref="E248" si="295">+C248+D248</f>
        <v>3293</v>
      </c>
      <c r="F248" s="220">
        <f t="shared" ref="F248" si="296">E248-K248</f>
        <v>993</v>
      </c>
      <c r="G248" s="220">
        <f t="shared" ref="G248" si="297">E248-L248</f>
        <v>1114</v>
      </c>
      <c r="H248" s="220">
        <f t="shared" ref="H248" si="298">E248-M248</f>
        <v>1225</v>
      </c>
      <c r="I248" s="220">
        <f t="shared" ref="I248" si="299">E248-N248</f>
        <v>1276</v>
      </c>
      <c r="J248" s="220">
        <f t="shared" ref="J248" si="300">E248-O248</f>
        <v>1026</v>
      </c>
      <c r="K248" s="220">
        <f t="shared" ref="K248" si="301">P248+U248</f>
        <v>2300</v>
      </c>
      <c r="L248" s="220">
        <f t="shared" ref="L248" si="302">Q248+V248</f>
        <v>2179</v>
      </c>
      <c r="M248" s="220">
        <f t="shared" ref="M248" si="303">R248+W248</f>
        <v>2068</v>
      </c>
      <c r="N248" s="220">
        <f t="shared" ref="N248" si="304">S248+X248</f>
        <v>2017</v>
      </c>
      <c r="O248" s="220">
        <f t="shared" ref="O248" si="305">T248+Y248</f>
        <v>2267</v>
      </c>
      <c r="P248" s="220">
        <f t="shared" si="290"/>
        <v>2000</v>
      </c>
      <c r="Q248" s="220">
        <f t="shared" si="290"/>
        <v>2000</v>
      </c>
      <c r="R248" s="220">
        <f t="shared" si="290"/>
        <v>2000</v>
      </c>
      <c r="S248" s="220">
        <f t="shared" si="290"/>
        <v>2000</v>
      </c>
      <c r="T248" s="220">
        <f t="shared" si="290"/>
        <v>2000</v>
      </c>
      <c r="U248" s="220">
        <f t="shared" ref="U248" si="306">U247-Z248</f>
        <v>300</v>
      </c>
      <c r="V248" s="220">
        <f t="shared" ref="V248" si="307">V247-AA248</f>
        <v>179</v>
      </c>
      <c r="W248" s="220">
        <f t="shared" ref="W248" si="308">W247-AB248</f>
        <v>68</v>
      </c>
      <c r="X248" s="220">
        <f t="shared" ref="X248" si="309">X247-AC248</f>
        <v>17</v>
      </c>
      <c r="Y248" s="220">
        <f t="shared" ref="Y248" si="310">Y247-AD248</f>
        <v>267</v>
      </c>
      <c r="Z248" s="220">
        <v>2</v>
      </c>
      <c r="AA248" s="220">
        <v>2</v>
      </c>
      <c r="AB248" s="220">
        <v>6</v>
      </c>
      <c r="AC248" s="220">
        <v>4</v>
      </c>
      <c r="AD248" s="220">
        <v>3</v>
      </c>
      <c r="AE248" s="220">
        <f t="shared" ref="AE248" si="311">AE247-Z248</f>
        <v>-309</v>
      </c>
      <c r="AF248" s="220">
        <f t="shared" ref="AF248" si="312">AF247-AA248</f>
        <v>-400</v>
      </c>
      <c r="AG248" s="220">
        <f t="shared" ref="AG248" si="313">AG247-AB248</f>
        <v>-531</v>
      </c>
      <c r="AH248" s="220">
        <f t="shared" ref="AH248" si="314">AH247-AC248</f>
        <v>-532</v>
      </c>
      <c r="AI248" s="220">
        <f t="shared" ref="AI248" si="315">AI247-AD248</f>
        <v>-382</v>
      </c>
      <c r="AJ248" s="50">
        <f t="shared" ref="AJ248" si="316">AJ247-AB248/1000+AK248</f>
        <v>1.2680000000000131</v>
      </c>
      <c r="AK248" s="257"/>
      <c r="AL248" s="257">
        <f t="shared" ref="AL248" si="317">AL247+AK248</f>
        <v>1.2</v>
      </c>
      <c r="AM248" s="52"/>
      <c r="AN248" s="88"/>
    </row>
    <row r="249" spans="1:40" s="29" customFormat="1" ht="17.25" customHeight="1">
      <c r="A249" s="48"/>
      <c r="B249" s="49">
        <f t="shared" si="278"/>
        <v>45791</v>
      </c>
      <c r="C249" s="220">
        <f t="shared" si="279"/>
        <v>1049</v>
      </c>
      <c r="D249" s="220">
        <f t="shared" ref="D249:D266" si="318">D248+26</f>
        <v>2270</v>
      </c>
      <c r="E249" s="220">
        <f t="shared" ref="E249:E266" si="319">+C249+D249</f>
        <v>3319</v>
      </c>
      <c r="F249" s="220">
        <f t="shared" ref="F249:F266" si="320">E249-K249</f>
        <v>1022</v>
      </c>
      <c r="G249" s="220">
        <f t="shared" ref="G249:G266" si="321">E249-L249</f>
        <v>1142</v>
      </c>
      <c r="H249" s="220">
        <f t="shared" ref="H249:H266" si="322">E249-M249</f>
        <v>1256</v>
      </c>
      <c r="I249" s="220">
        <f t="shared" ref="I249:I266" si="323">E249-N249</f>
        <v>1306</v>
      </c>
      <c r="J249" s="220">
        <f t="shared" ref="J249:J266" si="324">E249-O249</f>
        <v>1055</v>
      </c>
      <c r="K249" s="220">
        <f t="shared" ref="K249:K266" si="325">P249+U249</f>
        <v>2297</v>
      </c>
      <c r="L249" s="220">
        <f t="shared" ref="L249:L266" si="326">Q249+V249</f>
        <v>2177</v>
      </c>
      <c r="M249" s="220">
        <f t="shared" ref="M249:M266" si="327">R249+W249</f>
        <v>2063</v>
      </c>
      <c r="N249" s="220">
        <f t="shared" ref="N249:N266" si="328">S249+X249</f>
        <v>2013</v>
      </c>
      <c r="O249" s="220">
        <f t="shared" ref="O249:O266" si="329">T249+Y249</f>
        <v>2264</v>
      </c>
      <c r="P249" s="220">
        <f t="shared" ref="P249:T249" si="330">+P248</f>
        <v>2000</v>
      </c>
      <c r="Q249" s="220">
        <f t="shared" si="330"/>
        <v>2000</v>
      </c>
      <c r="R249" s="220">
        <f t="shared" si="330"/>
        <v>2000</v>
      </c>
      <c r="S249" s="220">
        <f t="shared" si="330"/>
        <v>2000</v>
      </c>
      <c r="T249" s="220">
        <f t="shared" si="330"/>
        <v>2000</v>
      </c>
      <c r="U249" s="220">
        <f t="shared" ref="U249:U266" si="331">U248-Z249</f>
        <v>297</v>
      </c>
      <c r="V249" s="220">
        <f t="shared" ref="V249:V266" si="332">V248-AA249</f>
        <v>177</v>
      </c>
      <c r="W249" s="220">
        <f t="shared" ref="W249:W266" si="333">W248-AB249</f>
        <v>63</v>
      </c>
      <c r="X249" s="220">
        <f t="shared" ref="X249:X266" si="334">X248-AC249</f>
        <v>13</v>
      </c>
      <c r="Y249" s="220">
        <f t="shared" ref="Y249:Y266" si="335">Y248-AD249</f>
        <v>264</v>
      </c>
      <c r="Z249" s="220">
        <v>3</v>
      </c>
      <c r="AA249" s="220">
        <v>2</v>
      </c>
      <c r="AB249" s="220">
        <v>5</v>
      </c>
      <c r="AC249" s="220">
        <v>4</v>
      </c>
      <c r="AD249" s="220">
        <v>3</v>
      </c>
      <c r="AE249" s="220">
        <f t="shared" ref="AE249:AE266" si="336">AE248-Z249</f>
        <v>-312</v>
      </c>
      <c r="AF249" s="220">
        <f t="shared" ref="AF249:AF266" si="337">AF248-AA249</f>
        <v>-402</v>
      </c>
      <c r="AG249" s="220">
        <f t="shared" ref="AG249:AG266" si="338">AG248-AB249</f>
        <v>-536</v>
      </c>
      <c r="AH249" s="220">
        <f t="shared" ref="AH249:AH266" si="339">AH248-AC249</f>
        <v>-536</v>
      </c>
      <c r="AI249" s="220">
        <f t="shared" ref="AI249:AI266" si="340">AI248-AD249</f>
        <v>-385</v>
      </c>
      <c r="AJ249" s="50">
        <f t="shared" ref="AJ249:AJ266" si="341">AJ248-AB249/1000+AK249</f>
        <v>1.2630000000000132</v>
      </c>
      <c r="AK249" s="257"/>
      <c r="AL249" s="257">
        <f t="shared" ref="AL249:AL266" si="342">AL248+AK249</f>
        <v>1.2</v>
      </c>
      <c r="AM249" s="52"/>
      <c r="AN249" s="88"/>
    </row>
    <row r="250" spans="1:40" s="29" customFormat="1" ht="17.25" customHeight="1">
      <c r="A250" s="48"/>
      <c r="B250" s="49">
        <f t="shared" si="278"/>
        <v>45792</v>
      </c>
      <c r="C250" s="220">
        <f t="shared" si="279"/>
        <v>1049</v>
      </c>
      <c r="D250" s="220">
        <f t="shared" si="318"/>
        <v>2296</v>
      </c>
      <c r="E250" s="220">
        <f t="shared" si="319"/>
        <v>3345</v>
      </c>
      <c r="F250" s="220">
        <f t="shared" si="320"/>
        <v>1050</v>
      </c>
      <c r="G250" s="220">
        <f t="shared" si="321"/>
        <v>1170</v>
      </c>
      <c r="H250" s="220">
        <f t="shared" si="322"/>
        <v>1288</v>
      </c>
      <c r="I250" s="220">
        <f t="shared" si="323"/>
        <v>1336</v>
      </c>
      <c r="J250" s="220">
        <f t="shared" si="324"/>
        <v>1083</v>
      </c>
      <c r="K250" s="220">
        <f t="shared" si="325"/>
        <v>2295</v>
      </c>
      <c r="L250" s="220">
        <f t="shared" si="326"/>
        <v>2175</v>
      </c>
      <c r="M250" s="220">
        <f t="shared" si="327"/>
        <v>2057</v>
      </c>
      <c r="N250" s="220">
        <f t="shared" si="328"/>
        <v>2009</v>
      </c>
      <c r="O250" s="220">
        <f t="shared" si="329"/>
        <v>2262</v>
      </c>
      <c r="P250" s="220">
        <f t="shared" ref="P250:T250" si="343">+P249</f>
        <v>2000</v>
      </c>
      <c r="Q250" s="220">
        <f t="shared" si="343"/>
        <v>2000</v>
      </c>
      <c r="R250" s="220">
        <f t="shared" si="343"/>
        <v>2000</v>
      </c>
      <c r="S250" s="220">
        <f t="shared" si="343"/>
        <v>2000</v>
      </c>
      <c r="T250" s="220">
        <f t="shared" si="343"/>
        <v>2000</v>
      </c>
      <c r="U250" s="220">
        <f t="shared" si="331"/>
        <v>295</v>
      </c>
      <c r="V250" s="220">
        <f t="shared" si="332"/>
        <v>175</v>
      </c>
      <c r="W250" s="220">
        <f t="shared" si="333"/>
        <v>57</v>
      </c>
      <c r="X250" s="220">
        <f t="shared" si="334"/>
        <v>9</v>
      </c>
      <c r="Y250" s="220">
        <f t="shared" si="335"/>
        <v>262</v>
      </c>
      <c r="Z250" s="220">
        <v>2</v>
      </c>
      <c r="AA250" s="220">
        <v>2</v>
      </c>
      <c r="AB250" s="220">
        <v>6</v>
      </c>
      <c r="AC250" s="220">
        <v>4</v>
      </c>
      <c r="AD250" s="220">
        <v>2</v>
      </c>
      <c r="AE250" s="220">
        <f t="shared" si="336"/>
        <v>-314</v>
      </c>
      <c r="AF250" s="220">
        <f t="shared" si="337"/>
        <v>-404</v>
      </c>
      <c r="AG250" s="220">
        <f t="shared" si="338"/>
        <v>-542</v>
      </c>
      <c r="AH250" s="220">
        <f t="shared" si="339"/>
        <v>-540</v>
      </c>
      <c r="AI250" s="220">
        <f t="shared" si="340"/>
        <v>-387</v>
      </c>
      <c r="AJ250" s="50">
        <f t="shared" si="341"/>
        <v>1.2570000000000132</v>
      </c>
      <c r="AK250" s="257"/>
      <c r="AL250" s="257">
        <f t="shared" si="342"/>
        <v>1.2</v>
      </c>
      <c r="AM250" s="52"/>
      <c r="AN250" s="88"/>
    </row>
    <row r="251" spans="1:40" s="29" customFormat="1" ht="17.25" customHeight="1">
      <c r="A251" s="48"/>
      <c r="B251" s="49">
        <f t="shared" si="278"/>
        <v>45793</v>
      </c>
      <c r="C251" s="220">
        <f t="shared" si="279"/>
        <v>1049</v>
      </c>
      <c r="D251" s="220">
        <f t="shared" si="318"/>
        <v>2322</v>
      </c>
      <c r="E251" s="220">
        <f t="shared" si="319"/>
        <v>3371</v>
      </c>
      <c r="F251" s="220">
        <f t="shared" si="320"/>
        <v>1079</v>
      </c>
      <c r="G251" s="220">
        <f t="shared" si="321"/>
        <v>1199</v>
      </c>
      <c r="H251" s="220">
        <f t="shared" si="322"/>
        <v>1319</v>
      </c>
      <c r="I251" s="220">
        <f t="shared" si="323"/>
        <v>1365</v>
      </c>
      <c r="J251" s="220">
        <f t="shared" si="324"/>
        <v>1111</v>
      </c>
      <c r="K251" s="220">
        <f t="shared" si="325"/>
        <v>2292</v>
      </c>
      <c r="L251" s="220">
        <f t="shared" si="326"/>
        <v>2172</v>
      </c>
      <c r="M251" s="220">
        <f t="shared" si="327"/>
        <v>2052</v>
      </c>
      <c r="N251" s="220">
        <f t="shared" si="328"/>
        <v>2006</v>
      </c>
      <c r="O251" s="220">
        <f t="shared" si="329"/>
        <v>2260</v>
      </c>
      <c r="P251" s="220">
        <f t="shared" ref="P251:T251" si="344">+P250</f>
        <v>2000</v>
      </c>
      <c r="Q251" s="220">
        <f t="shared" si="344"/>
        <v>2000</v>
      </c>
      <c r="R251" s="220">
        <f t="shared" si="344"/>
        <v>2000</v>
      </c>
      <c r="S251" s="220">
        <f t="shared" si="344"/>
        <v>2000</v>
      </c>
      <c r="T251" s="220">
        <f t="shared" si="344"/>
        <v>2000</v>
      </c>
      <c r="U251" s="220">
        <f t="shared" si="331"/>
        <v>292</v>
      </c>
      <c r="V251" s="220">
        <f t="shared" si="332"/>
        <v>172</v>
      </c>
      <c r="W251" s="220">
        <f t="shared" si="333"/>
        <v>52</v>
      </c>
      <c r="X251" s="220">
        <f t="shared" si="334"/>
        <v>6</v>
      </c>
      <c r="Y251" s="220">
        <f t="shared" si="335"/>
        <v>260</v>
      </c>
      <c r="Z251" s="220">
        <v>3</v>
      </c>
      <c r="AA251" s="220">
        <v>3</v>
      </c>
      <c r="AB251" s="220">
        <v>5</v>
      </c>
      <c r="AC251" s="220">
        <v>3</v>
      </c>
      <c r="AD251" s="220">
        <v>2</v>
      </c>
      <c r="AE251" s="220">
        <f t="shared" si="336"/>
        <v>-317</v>
      </c>
      <c r="AF251" s="220">
        <f t="shared" si="337"/>
        <v>-407</v>
      </c>
      <c r="AG251" s="220">
        <f t="shared" si="338"/>
        <v>-547</v>
      </c>
      <c r="AH251" s="220">
        <f t="shared" si="339"/>
        <v>-543</v>
      </c>
      <c r="AI251" s="220">
        <f t="shared" si="340"/>
        <v>-389</v>
      </c>
      <c r="AJ251" s="50">
        <f t="shared" si="341"/>
        <v>1.2520000000000133</v>
      </c>
      <c r="AK251" s="257"/>
      <c r="AL251" s="257">
        <f t="shared" si="342"/>
        <v>1.2</v>
      </c>
      <c r="AM251" s="52"/>
      <c r="AN251" s="88"/>
    </row>
    <row r="252" spans="1:40" s="29" customFormat="1" ht="17.25" customHeight="1">
      <c r="A252" s="48"/>
      <c r="B252" s="49">
        <f t="shared" si="278"/>
        <v>45794</v>
      </c>
      <c r="C252" s="220">
        <f t="shared" si="279"/>
        <v>1049</v>
      </c>
      <c r="D252" s="220">
        <f t="shared" si="318"/>
        <v>2348</v>
      </c>
      <c r="E252" s="220">
        <f t="shared" si="319"/>
        <v>3397</v>
      </c>
      <c r="F252" s="220">
        <f t="shared" si="320"/>
        <v>1107</v>
      </c>
      <c r="G252" s="220">
        <f t="shared" si="321"/>
        <v>1227</v>
      </c>
      <c r="H252" s="220">
        <f t="shared" si="322"/>
        <v>1350</v>
      </c>
      <c r="I252" s="220">
        <f t="shared" si="323"/>
        <v>1394</v>
      </c>
      <c r="J252" s="220">
        <f t="shared" si="324"/>
        <v>1140</v>
      </c>
      <c r="K252" s="220">
        <f t="shared" si="325"/>
        <v>2290</v>
      </c>
      <c r="L252" s="220">
        <f t="shared" si="326"/>
        <v>2170</v>
      </c>
      <c r="M252" s="220">
        <f t="shared" si="327"/>
        <v>2047</v>
      </c>
      <c r="N252" s="220">
        <f t="shared" si="328"/>
        <v>2003</v>
      </c>
      <c r="O252" s="220">
        <f t="shared" si="329"/>
        <v>2257</v>
      </c>
      <c r="P252" s="220">
        <f t="shared" ref="P252:T252" si="345">+P251</f>
        <v>2000</v>
      </c>
      <c r="Q252" s="220">
        <f t="shared" si="345"/>
        <v>2000</v>
      </c>
      <c r="R252" s="220">
        <f t="shared" si="345"/>
        <v>2000</v>
      </c>
      <c r="S252" s="220">
        <f t="shared" si="345"/>
        <v>2000</v>
      </c>
      <c r="T252" s="220">
        <f t="shared" si="345"/>
        <v>2000</v>
      </c>
      <c r="U252" s="220">
        <f t="shared" si="331"/>
        <v>290</v>
      </c>
      <c r="V252" s="220">
        <f t="shared" si="332"/>
        <v>170</v>
      </c>
      <c r="W252" s="220">
        <f t="shared" si="333"/>
        <v>47</v>
      </c>
      <c r="X252" s="220">
        <f t="shared" si="334"/>
        <v>3</v>
      </c>
      <c r="Y252" s="220">
        <f t="shared" si="335"/>
        <v>257</v>
      </c>
      <c r="Z252" s="220">
        <v>2</v>
      </c>
      <c r="AA252" s="220">
        <v>2</v>
      </c>
      <c r="AB252" s="220">
        <v>5</v>
      </c>
      <c r="AC252" s="220">
        <v>3</v>
      </c>
      <c r="AD252" s="220">
        <v>3</v>
      </c>
      <c r="AE252" s="220">
        <f t="shared" si="336"/>
        <v>-319</v>
      </c>
      <c r="AF252" s="220">
        <f t="shared" si="337"/>
        <v>-409</v>
      </c>
      <c r="AG252" s="220">
        <f t="shared" si="338"/>
        <v>-552</v>
      </c>
      <c r="AH252" s="220">
        <f t="shared" si="339"/>
        <v>-546</v>
      </c>
      <c r="AI252" s="220">
        <f t="shared" si="340"/>
        <v>-392</v>
      </c>
      <c r="AJ252" s="50">
        <f t="shared" si="341"/>
        <v>1.2470000000000134</v>
      </c>
      <c r="AK252" s="257"/>
      <c r="AL252" s="257">
        <f t="shared" si="342"/>
        <v>1.2</v>
      </c>
      <c r="AM252" s="52"/>
      <c r="AN252" s="88"/>
    </row>
    <row r="253" spans="1:40" s="29" customFormat="1" ht="17.25" customHeight="1">
      <c r="A253" s="48"/>
      <c r="B253" s="49">
        <f t="shared" si="278"/>
        <v>45795</v>
      </c>
      <c r="C253" s="220">
        <f t="shared" si="279"/>
        <v>1049</v>
      </c>
      <c r="D253" s="220">
        <f t="shared" si="318"/>
        <v>2374</v>
      </c>
      <c r="E253" s="220">
        <f t="shared" si="319"/>
        <v>3423</v>
      </c>
      <c r="F253" s="220">
        <f t="shared" si="320"/>
        <v>1136</v>
      </c>
      <c r="G253" s="220">
        <f t="shared" si="321"/>
        <v>1255</v>
      </c>
      <c r="H253" s="220">
        <f t="shared" si="322"/>
        <v>1382</v>
      </c>
      <c r="I253" s="220">
        <f t="shared" si="323"/>
        <v>1423</v>
      </c>
      <c r="J253" s="220">
        <f t="shared" si="324"/>
        <v>1168</v>
      </c>
      <c r="K253" s="220">
        <f t="shared" si="325"/>
        <v>2287</v>
      </c>
      <c r="L253" s="220">
        <f t="shared" si="326"/>
        <v>2168</v>
      </c>
      <c r="M253" s="220">
        <f t="shared" si="327"/>
        <v>2041</v>
      </c>
      <c r="N253" s="220">
        <f t="shared" si="328"/>
        <v>2000</v>
      </c>
      <c r="O253" s="220">
        <f t="shared" si="329"/>
        <v>2255</v>
      </c>
      <c r="P253" s="220">
        <f t="shared" ref="P253:T253" si="346">+P252</f>
        <v>2000</v>
      </c>
      <c r="Q253" s="220">
        <f t="shared" si="346"/>
        <v>2000</v>
      </c>
      <c r="R253" s="220">
        <f t="shared" si="346"/>
        <v>2000</v>
      </c>
      <c r="S253" s="220">
        <f t="shared" si="346"/>
        <v>2000</v>
      </c>
      <c r="T253" s="220">
        <f t="shared" si="346"/>
        <v>2000</v>
      </c>
      <c r="U253" s="220">
        <f t="shared" si="331"/>
        <v>287</v>
      </c>
      <c r="V253" s="220">
        <f t="shared" si="332"/>
        <v>168</v>
      </c>
      <c r="W253" s="220">
        <f t="shared" si="333"/>
        <v>41</v>
      </c>
      <c r="X253" s="220">
        <f t="shared" si="334"/>
        <v>0</v>
      </c>
      <c r="Y253" s="220">
        <f t="shared" si="335"/>
        <v>255</v>
      </c>
      <c r="Z253" s="220">
        <v>3</v>
      </c>
      <c r="AA253" s="220">
        <v>2</v>
      </c>
      <c r="AB253" s="220">
        <v>6</v>
      </c>
      <c r="AC253" s="220">
        <v>3</v>
      </c>
      <c r="AD253" s="220">
        <v>2</v>
      </c>
      <c r="AE253" s="220">
        <f t="shared" si="336"/>
        <v>-322</v>
      </c>
      <c r="AF253" s="220">
        <f t="shared" si="337"/>
        <v>-411</v>
      </c>
      <c r="AG253" s="220">
        <f t="shared" si="338"/>
        <v>-558</v>
      </c>
      <c r="AH253" s="220">
        <f t="shared" si="339"/>
        <v>-549</v>
      </c>
      <c r="AI253" s="220">
        <f t="shared" si="340"/>
        <v>-394</v>
      </c>
      <c r="AJ253" s="50">
        <f t="shared" si="341"/>
        <v>1.2410000000000134</v>
      </c>
      <c r="AK253" s="257"/>
      <c r="AL253" s="257">
        <f t="shared" si="342"/>
        <v>1.2</v>
      </c>
      <c r="AM253" s="52"/>
      <c r="AN253" s="88"/>
    </row>
    <row r="254" spans="1:40" s="29" customFormat="1" ht="17.25" customHeight="1">
      <c r="A254" s="48"/>
      <c r="B254" s="49">
        <f t="shared" si="278"/>
        <v>45796</v>
      </c>
      <c r="C254" s="220">
        <f t="shared" si="279"/>
        <v>1049</v>
      </c>
      <c r="D254" s="220">
        <f t="shared" si="318"/>
        <v>2400</v>
      </c>
      <c r="E254" s="220">
        <f t="shared" si="319"/>
        <v>3449</v>
      </c>
      <c r="F254" s="220">
        <f t="shared" si="320"/>
        <v>1165</v>
      </c>
      <c r="G254" s="220">
        <f t="shared" si="321"/>
        <v>1284</v>
      </c>
      <c r="H254" s="220">
        <f t="shared" si="322"/>
        <v>1413</v>
      </c>
      <c r="I254" s="220">
        <f t="shared" si="323"/>
        <v>1452</v>
      </c>
      <c r="J254" s="220">
        <f t="shared" si="324"/>
        <v>1195</v>
      </c>
      <c r="K254" s="220">
        <f t="shared" si="325"/>
        <v>2284</v>
      </c>
      <c r="L254" s="220">
        <f t="shared" si="326"/>
        <v>2165</v>
      </c>
      <c r="M254" s="220">
        <f t="shared" si="327"/>
        <v>2036</v>
      </c>
      <c r="N254" s="220">
        <f t="shared" si="328"/>
        <v>1997</v>
      </c>
      <c r="O254" s="220">
        <f t="shared" si="329"/>
        <v>2254</v>
      </c>
      <c r="P254" s="220">
        <f t="shared" ref="P254:T254" si="347">+P253</f>
        <v>2000</v>
      </c>
      <c r="Q254" s="220">
        <f t="shared" si="347"/>
        <v>2000</v>
      </c>
      <c r="R254" s="220">
        <f t="shared" si="347"/>
        <v>2000</v>
      </c>
      <c r="S254" s="220">
        <f t="shared" si="347"/>
        <v>2000</v>
      </c>
      <c r="T254" s="220">
        <f t="shared" si="347"/>
        <v>2000</v>
      </c>
      <c r="U254" s="220">
        <f t="shared" si="331"/>
        <v>284</v>
      </c>
      <c r="V254" s="220">
        <f t="shared" si="332"/>
        <v>165</v>
      </c>
      <c r="W254" s="220">
        <f t="shared" si="333"/>
        <v>36</v>
      </c>
      <c r="X254" s="220">
        <f t="shared" si="334"/>
        <v>-3</v>
      </c>
      <c r="Y254" s="220">
        <f t="shared" si="335"/>
        <v>254</v>
      </c>
      <c r="Z254" s="220">
        <v>3</v>
      </c>
      <c r="AA254" s="220">
        <v>3</v>
      </c>
      <c r="AB254" s="220">
        <v>5</v>
      </c>
      <c r="AC254" s="220">
        <v>3</v>
      </c>
      <c r="AD254" s="220">
        <v>1</v>
      </c>
      <c r="AE254" s="220">
        <f t="shared" si="336"/>
        <v>-325</v>
      </c>
      <c r="AF254" s="220">
        <f t="shared" si="337"/>
        <v>-414</v>
      </c>
      <c r="AG254" s="220">
        <f t="shared" si="338"/>
        <v>-563</v>
      </c>
      <c r="AH254" s="220">
        <f t="shared" si="339"/>
        <v>-552</v>
      </c>
      <c r="AI254" s="220">
        <f t="shared" si="340"/>
        <v>-395</v>
      </c>
      <c r="AJ254" s="50">
        <f t="shared" si="341"/>
        <v>1.2360000000000135</v>
      </c>
      <c r="AK254" s="257"/>
      <c r="AL254" s="257">
        <f t="shared" si="342"/>
        <v>1.2</v>
      </c>
      <c r="AM254" s="52"/>
      <c r="AN254" s="88"/>
    </row>
    <row r="255" spans="1:40" s="29" customFormat="1" ht="17.25" customHeight="1">
      <c r="A255" s="48"/>
      <c r="B255" s="49">
        <f t="shared" si="278"/>
        <v>45797</v>
      </c>
      <c r="C255" s="220">
        <f t="shared" si="279"/>
        <v>1049</v>
      </c>
      <c r="D255" s="220">
        <f t="shared" si="318"/>
        <v>2426</v>
      </c>
      <c r="E255" s="220">
        <f t="shared" si="319"/>
        <v>3475</v>
      </c>
      <c r="F255" s="220">
        <f t="shared" si="320"/>
        <v>1194</v>
      </c>
      <c r="G255" s="220">
        <f t="shared" si="321"/>
        <v>1312</v>
      </c>
      <c r="H255" s="220">
        <f t="shared" si="322"/>
        <v>1444</v>
      </c>
      <c r="I255" s="220">
        <f t="shared" si="323"/>
        <v>1483</v>
      </c>
      <c r="J255" s="220">
        <f t="shared" si="324"/>
        <v>1223</v>
      </c>
      <c r="K255" s="220">
        <f t="shared" si="325"/>
        <v>2281</v>
      </c>
      <c r="L255" s="220">
        <f t="shared" si="326"/>
        <v>2163</v>
      </c>
      <c r="M255" s="220">
        <f t="shared" si="327"/>
        <v>2031</v>
      </c>
      <c r="N255" s="220">
        <f t="shared" si="328"/>
        <v>1992</v>
      </c>
      <c r="O255" s="220">
        <f t="shared" si="329"/>
        <v>2252</v>
      </c>
      <c r="P255" s="220">
        <f t="shared" ref="P255:T255" si="348">+P254</f>
        <v>2000</v>
      </c>
      <c r="Q255" s="220">
        <f t="shared" si="348"/>
        <v>2000</v>
      </c>
      <c r="R255" s="220">
        <f t="shared" si="348"/>
        <v>2000</v>
      </c>
      <c r="S255" s="220">
        <f t="shared" si="348"/>
        <v>2000</v>
      </c>
      <c r="T255" s="220">
        <f t="shared" si="348"/>
        <v>2000</v>
      </c>
      <c r="U255" s="220">
        <f t="shared" si="331"/>
        <v>281</v>
      </c>
      <c r="V255" s="220">
        <f t="shared" si="332"/>
        <v>163</v>
      </c>
      <c r="W255" s="220">
        <f t="shared" si="333"/>
        <v>31</v>
      </c>
      <c r="X255" s="220">
        <f t="shared" si="334"/>
        <v>-8</v>
      </c>
      <c r="Y255" s="220">
        <f t="shared" si="335"/>
        <v>252</v>
      </c>
      <c r="Z255" s="220">
        <v>3</v>
      </c>
      <c r="AA255" s="220">
        <v>2</v>
      </c>
      <c r="AB255" s="220">
        <v>5</v>
      </c>
      <c r="AC255" s="220">
        <v>5</v>
      </c>
      <c r="AD255" s="220">
        <v>2</v>
      </c>
      <c r="AE255" s="220">
        <f t="shared" si="336"/>
        <v>-328</v>
      </c>
      <c r="AF255" s="220">
        <f t="shared" si="337"/>
        <v>-416</v>
      </c>
      <c r="AG255" s="220">
        <f t="shared" si="338"/>
        <v>-568</v>
      </c>
      <c r="AH255" s="220">
        <f t="shared" si="339"/>
        <v>-557</v>
      </c>
      <c r="AI255" s="220">
        <f t="shared" si="340"/>
        <v>-397</v>
      </c>
      <c r="AJ255" s="50">
        <f t="shared" si="341"/>
        <v>1.2310000000000136</v>
      </c>
      <c r="AK255" s="257"/>
      <c r="AL255" s="257">
        <f t="shared" si="342"/>
        <v>1.2</v>
      </c>
      <c r="AM255" s="52"/>
      <c r="AN255" s="88"/>
    </row>
    <row r="256" spans="1:40" s="29" customFormat="1" ht="17.25" customHeight="1">
      <c r="A256" s="48"/>
      <c r="B256" s="49">
        <f t="shared" si="278"/>
        <v>45798</v>
      </c>
      <c r="C256" s="220">
        <f t="shared" si="279"/>
        <v>1049</v>
      </c>
      <c r="D256" s="220">
        <f t="shared" si="318"/>
        <v>2452</v>
      </c>
      <c r="E256" s="220">
        <f t="shared" si="319"/>
        <v>3501</v>
      </c>
      <c r="F256" s="220">
        <f t="shared" si="320"/>
        <v>1222</v>
      </c>
      <c r="G256" s="220">
        <f t="shared" si="321"/>
        <v>1341</v>
      </c>
      <c r="H256" s="220">
        <f t="shared" si="322"/>
        <v>1475</v>
      </c>
      <c r="I256" s="220">
        <f t="shared" si="323"/>
        <v>1511</v>
      </c>
      <c r="J256" s="220">
        <f t="shared" si="324"/>
        <v>1251</v>
      </c>
      <c r="K256" s="220">
        <f t="shared" si="325"/>
        <v>2279</v>
      </c>
      <c r="L256" s="220">
        <f t="shared" si="326"/>
        <v>2160</v>
      </c>
      <c r="M256" s="220">
        <f t="shared" si="327"/>
        <v>2026</v>
      </c>
      <c r="N256" s="220">
        <f t="shared" si="328"/>
        <v>1990</v>
      </c>
      <c r="O256" s="220">
        <f t="shared" si="329"/>
        <v>2250</v>
      </c>
      <c r="P256" s="220">
        <f t="shared" ref="P256:T256" si="349">+P255</f>
        <v>2000</v>
      </c>
      <c r="Q256" s="220">
        <f t="shared" si="349"/>
        <v>2000</v>
      </c>
      <c r="R256" s="220">
        <f t="shared" si="349"/>
        <v>2000</v>
      </c>
      <c r="S256" s="220">
        <f t="shared" si="349"/>
        <v>2000</v>
      </c>
      <c r="T256" s="220">
        <f t="shared" si="349"/>
        <v>2000</v>
      </c>
      <c r="U256" s="220">
        <f t="shared" si="331"/>
        <v>279</v>
      </c>
      <c r="V256" s="220">
        <f t="shared" si="332"/>
        <v>160</v>
      </c>
      <c r="W256" s="220">
        <f t="shared" si="333"/>
        <v>26</v>
      </c>
      <c r="X256" s="220">
        <f t="shared" si="334"/>
        <v>-10</v>
      </c>
      <c r="Y256" s="220">
        <f t="shared" si="335"/>
        <v>250</v>
      </c>
      <c r="Z256" s="220">
        <v>2</v>
      </c>
      <c r="AA256" s="220">
        <v>3</v>
      </c>
      <c r="AB256" s="220">
        <v>5</v>
      </c>
      <c r="AC256" s="220">
        <v>2</v>
      </c>
      <c r="AD256" s="220">
        <v>2</v>
      </c>
      <c r="AE256" s="220">
        <f t="shared" si="336"/>
        <v>-330</v>
      </c>
      <c r="AF256" s="220">
        <f t="shared" si="337"/>
        <v>-419</v>
      </c>
      <c r="AG256" s="220">
        <f t="shared" si="338"/>
        <v>-573</v>
      </c>
      <c r="AH256" s="220">
        <f t="shared" si="339"/>
        <v>-559</v>
      </c>
      <c r="AI256" s="220">
        <f t="shared" si="340"/>
        <v>-399</v>
      </c>
      <c r="AJ256" s="50">
        <f t="shared" si="341"/>
        <v>1.2260000000000137</v>
      </c>
      <c r="AK256" s="257"/>
      <c r="AL256" s="257">
        <f t="shared" si="342"/>
        <v>1.2</v>
      </c>
      <c r="AM256" s="52"/>
      <c r="AN256" s="88"/>
    </row>
    <row r="257" spans="1:40" s="29" customFormat="1" ht="17.25" customHeight="1">
      <c r="A257" s="48"/>
      <c r="B257" s="49">
        <f t="shared" si="278"/>
        <v>45799</v>
      </c>
      <c r="C257" s="220">
        <f t="shared" si="279"/>
        <v>1049</v>
      </c>
      <c r="D257" s="220">
        <f t="shared" si="318"/>
        <v>2478</v>
      </c>
      <c r="E257" s="220">
        <f t="shared" si="319"/>
        <v>3527</v>
      </c>
      <c r="F257" s="220">
        <f t="shared" si="320"/>
        <v>1249</v>
      </c>
      <c r="G257" s="220">
        <f t="shared" si="321"/>
        <v>1370</v>
      </c>
      <c r="H257" s="220">
        <f t="shared" si="322"/>
        <v>1506</v>
      </c>
      <c r="I257" s="220">
        <f t="shared" si="323"/>
        <v>1540</v>
      </c>
      <c r="J257" s="220">
        <f t="shared" si="324"/>
        <v>1278</v>
      </c>
      <c r="K257" s="220">
        <f t="shared" si="325"/>
        <v>2278</v>
      </c>
      <c r="L257" s="220">
        <f t="shared" si="326"/>
        <v>2157</v>
      </c>
      <c r="M257" s="220">
        <f t="shared" si="327"/>
        <v>2021</v>
      </c>
      <c r="N257" s="220">
        <f t="shared" si="328"/>
        <v>1987</v>
      </c>
      <c r="O257" s="220">
        <f t="shared" si="329"/>
        <v>2249</v>
      </c>
      <c r="P257" s="220">
        <f t="shared" ref="P257:T257" si="350">+P256</f>
        <v>2000</v>
      </c>
      <c r="Q257" s="220">
        <f t="shared" si="350"/>
        <v>2000</v>
      </c>
      <c r="R257" s="220">
        <f t="shared" si="350"/>
        <v>2000</v>
      </c>
      <c r="S257" s="220">
        <f t="shared" si="350"/>
        <v>2000</v>
      </c>
      <c r="T257" s="220">
        <f t="shared" si="350"/>
        <v>2000</v>
      </c>
      <c r="U257" s="220">
        <f t="shared" si="331"/>
        <v>278</v>
      </c>
      <c r="V257" s="220">
        <f t="shared" si="332"/>
        <v>157</v>
      </c>
      <c r="W257" s="220">
        <f t="shared" si="333"/>
        <v>21</v>
      </c>
      <c r="X257" s="220">
        <f t="shared" si="334"/>
        <v>-13</v>
      </c>
      <c r="Y257" s="220">
        <f t="shared" si="335"/>
        <v>249</v>
      </c>
      <c r="Z257" s="220">
        <v>1</v>
      </c>
      <c r="AA257" s="220">
        <v>3</v>
      </c>
      <c r="AB257" s="220">
        <v>5</v>
      </c>
      <c r="AC257" s="220">
        <v>3</v>
      </c>
      <c r="AD257" s="220">
        <v>1</v>
      </c>
      <c r="AE257" s="220">
        <f t="shared" si="336"/>
        <v>-331</v>
      </c>
      <c r="AF257" s="220">
        <f t="shared" si="337"/>
        <v>-422</v>
      </c>
      <c r="AG257" s="220">
        <f t="shared" si="338"/>
        <v>-578</v>
      </c>
      <c r="AH257" s="220">
        <f t="shared" si="339"/>
        <v>-562</v>
      </c>
      <c r="AI257" s="220">
        <f t="shared" si="340"/>
        <v>-400</v>
      </c>
      <c r="AJ257" s="50">
        <f t="shared" si="341"/>
        <v>1.2210000000000139</v>
      </c>
      <c r="AK257" s="257"/>
      <c r="AL257" s="257">
        <f t="shared" si="342"/>
        <v>1.2</v>
      </c>
      <c r="AM257" s="52"/>
      <c r="AN257" s="88"/>
    </row>
    <row r="258" spans="1:40" s="29" customFormat="1" ht="17.25" customHeight="1">
      <c r="A258" s="48"/>
      <c r="B258" s="49">
        <f t="shared" si="278"/>
        <v>45800</v>
      </c>
      <c r="C258" s="220">
        <f t="shared" si="279"/>
        <v>1049</v>
      </c>
      <c r="D258" s="220">
        <f t="shared" si="318"/>
        <v>2504</v>
      </c>
      <c r="E258" s="220">
        <f t="shared" si="319"/>
        <v>3553</v>
      </c>
      <c r="F258" s="220">
        <f t="shared" si="320"/>
        <v>1278</v>
      </c>
      <c r="G258" s="220">
        <f t="shared" si="321"/>
        <v>1398</v>
      </c>
      <c r="H258" s="220">
        <f t="shared" si="322"/>
        <v>1536</v>
      </c>
      <c r="I258" s="220">
        <f t="shared" si="323"/>
        <v>1569</v>
      </c>
      <c r="J258" s="220">
        <f t="shared" si="324"/>
        <v>1306</v>
      </c>
      <c r="K258" s="220">
        <f t="shared" si="325"/>
        <v>2275</v>
      </c>
      <c r="L258" s="220">
        <f t="shared" si="326"/>
        <v>2155</v>
      </c>
      <c r="M258" s="220">
        <f t="shared" si="327"/>
        <v>2017</v>
      </c>
      <c r="N258" s="220">
        <f t="shared" si="328"/>
        <v>1984</v>
      </c>
      <c r="O258" s="220">
        <f t="shared" si="329"/>
        <v>2247</v>
      </c>
      <c r="P258" s="220">
        <f t="shared" ref="P258:T258" si="351">+P257</f>
        <v>2000</v>
      </c>
      <c r="Q258" s="220">
        <f t="shared" si="351"/>
        <v>2000</v>
      </c>
      <c r="R258" s="220">
        <f t="shared" si="351"/>
        <v>2000</v>
      </c>
      <c r="S258" s="220">
        <f t="shared" si="351"/>
        <v>2000</v>
      </c>
      <c r="T258" s="220">
        <f t="shared" si="351"/>
        <v>2000</v>
      </c>
      <c r="U258" s="220">
        <f t="shared" si="331"/>
        <v>275</v>
      </c>
      <c r="V258" s="220">
        <f t="shared" si="332"/>
        <v>155</v>
      </c>
      <c r="W258" s="220">
        <f t="shared" si="333"/>
        <v>17</v>
      </c>
      <c r="X258" s="220">
        <f t="shared" si="334"/>
        <v>-16</v>
      </c>
      <c r="Y258" s="220">
        <f t="shared" si="335"/>
        <v>247</v>
      </c>
      <c r="Z258" s="220">
        <v>3</v>
      </c>
      <c r="AA258" s="220">
        <v>2</v>
      </c>
      <c r="AB258" s="220">
        <v>4</v>
      </c>
      <c r="AC258" s="220">
        <v>3</v>
      </c>
      <c r="AD258" s="220">
        <v>2</v>
      </c>
      <c r="AE258" s="220">
        <f t="shared" si="336"/>
        <v>-334</v>
      </c>
      <c r="AF258" s="220">
        <f t="shared" si="337"/>
        <v>-424</v>
      </c>
      <c r="AG258" s="220">
        <f t="shared" si="338"/>
        <v>-582</v>
      </c>
      <c r="AH258" s="220">
        <f t="shared" si="339"/>
        <v>-565</v>
      </c>
      <c r="AI258" s="220">
        <f t="shared" si="340"/>
        <v>-402</v>
      </c>
      <c r="AJ258" s="50">
        <f t="shared" si="341"/>
        <v>1.2170000000000138</v>
      </c>
      <c r="AK258" s="257"/>
      <c r="AL258" s="257">
        <f t="shared" si="342"/>
        <v>1.2</v>
      </c>
      <c r="AM258" s="52"/>
      <c r="AN258" s="88"/>
    </row>
    <row r="259" spans="1:40" s="29" customFormat="1" ht="17.25" customHeight="1">
      <c r="A259" s="48"/>
      <c r="B259" s="49">
        <f t="shared" si="278"/>
        <v>45801</v>
      </c>
      <c r="C259" s="220">
        <f t="shared" si="279"/>
        <v>1049</v>
      </c>
      <c r="D259" s="220">
        <f t="shared" si="318"/>
        <v>2530</v>
      </c>
      <c r="E259" s="220">
        <f t="shared" si="319"/>
        <v>3579</v>
      </c>
      <c r="F259" s="220">
        <f t="shared" si="320"/>
        <v>1305</v>
      </c>
      <c r="G259" s="220">
        <f t="shared" si="321"/>
        <v>1427</v>
      </c>
      <c r="H259" s="220">
        <f t="shared" si="322"/>
        <v>1566</v>
      </c>
      <c r="I259" s="220">
        <f t="shared" si="323"/>
        <v>1597</v>
      </c>
      <c r="J259" s="220">
        <f t="shared" si="324"/>
        <v>1334</v>
      </c>
      <c r="K259" s="220">
        <f t="shared" si="325"/>
        <v>2274</v>
      </c>
      <c r="L259" s="220">
        <f t="shared" si="326"/>
        <v>2152</v>
      </c>
      <c r="M259" s="220">
        <f t="shared" si="327"/>
        <v>2013</v>
      </c>
      <c r="N259" s="220">
        <f t="shared" si="328"/>
        <v>1982</v>
      </c>
      <c r="O259" s="220">
        <f t="shared" si="329"/>
        <v>2245</v>
      </c>
      <c r="P259" s="220">
        <f t="shared" ref="P259:T259" si="352">+P258</f>
        <v>2000</v>
      </c>
      <c r="Q259" s="220">
        <f t="shared" si="352"/>
        <v>2000</v>
      </c>
      <c r="R259" s="220">
        <f t="shared" si="352"/>
        <v>2000</v>
      </c>
      <c r="S259" s="220">
        <f t="shared" si="352"/>
        <v>2000</v>
      </c>
      <c r="T259" s="220">
        <f t="shared" si="352"/>
        <v>2000</v>
      </c>
      <c r="U259" s="220">
        <f t="shared" si="331"/>
        <v>274</v>
      </c>
      <c r="V259" s="220">
        <f t="shared" si="332"/>
        <v>152</v>
      </c>
      <c r="W259" s="220">
        <f t="shared" si="333"/>
        <v>13</v>
      </c>
      <c r="X259" s="220">
        <f t="shared" si="334"/>
        <v>-18</v>
      </c>
      <c r="Y259" s="220">
        <f t="shared" si="335"/>
        <v>245</v>
      </c>
      <c r="Z259" s="220">
        <v>1</v>
      </c>
      <c r="AA259" s="220">
        <v>3</v>
      </c>
      <c r="AB259" s="220">
        <v>4</v>
      </c>
      <c r="AC259" s="220">
        <v>2</v>
      </c>
      <c r="AD259" s="220">
        <v>2</v>
      </c>
      <c r="AE259" s="220">
        <f t="shared" si="336"/>
        <v>-335</v>
      </c>
      <c r="AF259" s="220">
        <f t="shared" si="337"/>
        <v>-427</v>
      </c>
      <c r="AG259" s="220">
        <f t="shared" si="338"/>
        <v>-586</v>
      </c>
      <c r="AH259" s="220">
        <f t="shared" si="339"/>
        <v>-567</v>
      </c>
      <c r="AI259" s="220">
        <f t="shared" si="340"/>
        <v>-404</v>
      </c>
      <c r="AJ259" s="50">
        <f t="shared" si="341"/>
        <v>1.2130000000000138</v>
      </c>
      <c r="AK259" s="257"/>
      <c r="AL259" s="257">
        <f t="shared" si="342"/>
        <v>1.2</v>
      </c>
      <c r="AM259" s="52"/>
      <c r="AN259" s="88"/>
    </row>
    <row r="260" spans="1:40" s="29" customFormat="1" ht="17.25" customHeight="1">
      <c r="A260" s="48"/>
      <c r="B260" s="49">
        <f t="shared" si="278"/>
        <v>45802</v>
      </c>
      <c r="C260" s="220">
        <f t="shared" si="279"/>
        <v>1049</v>
      </c>
      <c r="D260" s="220">
        <f t="shared" si="318"/>
        <v>2556</v>
      </c>
      <c r="E260" s="220">
        <f t="shared" si="319"/>
        <v>3605</v>
      </c>
      <c r="F260" s="220">
        <f t="shared" si="320"/>
        <v>1334</v>
      </c>
      <c r="G260" s="220">
        <f t="shared" si="321"/>
        <v>1455</v>
      </c>
      <c r="H260" s="220">
        <f t="shared" si="322"/>
        <v>1596</v>
      </c>
      <c r="I260" s="220">
        <f t="shared" si="323"/>
        <v>1626</v>
      </c>
      <c r="J260" s="220">
        <f t="shared" si="324"/>
        <v>1362</v>
      </c>
      <c r="K260" s="220">
        <f t="shared" si="325"/>
        <v>2271</v>
      </c>
      <c r="L260" s="220">
        <f t="shared" si="326"/>
        <v>2150</v>
      </c>
      <c r="M260" s="220">
        <f t="shared" si="327"/>
        <v>2009</v>
      </c>
      <c r="N260" s="220">
        <f t="shared" si="328"/>
        <v>1979</v>
      </c>
      <c r="O260" s="220">
        <f t="shared" si="329"/>
        <v>2243</v>
      </c>
      <c r="P260" s="220">
        <f t="shared" ref="P260:T260" si="353">+P259</f>
        <v>2000</v>
      </c>
      <c r="Q260" s="220">
        <f t="shared" si="353"/>
        <v>2000</v>
      </c>
      <c r="R260" s="220">
        <f t="shared" si="353"/>
        <v>2000</v>
      </c>
      <c r="S260" s="220">
        <f t="shared" si="353"/>
        <v>2000</v>
      </c>
      <c r="T260" s="220">
        <f t="shared" si="353"/>
        <v>2000</v>
      </c>
      <c r="U260" s="220">
        <f t="shared" si="331"/>
        <v>271</v>
      </c>
      <c r="V260" s="220">
        <f t="shared" si="332"/>
        <v>150</v>
      </c>
      <c r="W260" s="220">
        <f t="shared" si="333"/>
        <v>9</v>
      </c>
      <c r="X260" s="220">
        <f t="shared" si="334"/>
        <v>-21</v>
      </c>
      <c r="Y260" s="220">
        <f t="shared" si="335"/>
        <v>243</v>
      </c>
      <c r="Z260" s="220">
        <v>3</v>
      </c>
      <c r="AA260" s="220">
        <v>2</v>
      </c>
      <c r="AB260" s="220">
        <v>4</v>
      </c>
      <c r="AC260" s="220">
        <v>3</v>
      </c>
      <c r="AD260" s="220">
        <v>2</v>
      </c>
      <c r="AE260" s="220">
        <f t="shared" si="336"/>
        <v>-338</v>
      </c>
      <c r="AF260" s="220">
        <f t="shared" si="337"/>
        <v>-429</v>
      </c>
      <c r="AG260" s="220">
        <f t="shared" si="338"/>
        <v>-590</v>
      </c>
      <c r="AH260" s="220">
        <f t="shared" si="339"/>
        <v>-570</v>
      </c>
      <c r="AI260" s="220">
        <f t="shared" si="340"/>
        <v>-406</v>
      </c>
      <c r="AJ260" s="50">
        <f t="shared" si="341"/>
        <v>1.2090000000000138</v>
      </c>
      <c r="AK260" s="257"/>
      <c r="AL260" s="257">
        <f t="shared" si="342"/>
        <v>1.2</v>
      </c>
      <c r="AM260" s="52"/>
      <c r="AN260" s="88"/>
    </row>
    <row r="261" spans="1:40" s="29" customFormat="1" ht="17.25" customHeight="1">
      <c r="A261" s="48"/>
      <c r="B261" s="49">
        <f t="shared" si="278"/>
        <v>45803</v>
      </c>
      <c r="C261" s="220">
        <f t="shared" si="279"/>
        <v>1049</v>
      </c>
      <c r="D261" s="220">
        <f t="shared" si="318"/>
        <v>2582</v>
      </c>
      <c r="E261" s="220">
        <f t="shared" si="319"/>
        <v>3631</v>
      </c>
      <c r="F261" s="220">
        <f t="shared" si="320"/>
        <v>1362</v>
      </c>
      <c r="G261" s="220">
        <f t="shared" si="321"/>
        <v>1483</v>
      </c>
      <c r="H261" s="220">
        <f t="shared" si="322"/>
        <v>1625</v>
      </c>
      <c r="I261" s="220">
        <f t="shared" si="323"/>
        <v>1655</v>
      </c>
      <c r="J261" s="220">
        <f t="shared" si="324"/>
        <v>1390</v>
      </c>
      <c r="K261" s="220">
        <f t="shared" si="325"/>
        <v>2269</v>
      </c>
      <c r="L261" s="220">
        <f t="shared" si="326"/>
        <v>2148</v>
      </c>
      <c r="M261" s="220">
        <f t="shared" si="327"/>
        <v>2006</v>
      </c>
      <c r="N261" s="220">
        <f t="shared" si="328"/>
        <v>1976</v>
      </c>
      <c r="O261" s="220">
        <f t="shared" si="329"/>
        <v>2241</v>
      </c>
      <c r="P261" s="220">
        <f t="shared" ref="P261:T261" si="354">+P260</f>
        <v>2000</v>
      </c>
      <c r="Q261" s="220">
        <f t="shared" si="354"/>
        <v>2000</v>
      </c>
      <c r="R261" s="220">
        <f t="shared" si="354"/>
        <v>2000</v>
      </c>
      <c r="S261" s="220">
        <f t="shared" si="354"/>
        <v>2000</v>
      </c>
      <c r="T261" s="220">
        <f t="shared" si="354"/>
        <v>2000</v>
      </c>
      <c r="U261" s="220">
        <f t="shared" si="331"/>
        <v>269</v>
      </c>
      <c r="V261" s="220">
        <f t="shared" si="332"/>
        <v>148</v>
      </c>
      <c r="W261" s="220">
        <f t="shared" si="333"/>
        <v>6</v>
      </c>
      <c r="X261" s="220">
        <f t="shared" si="334"/>
        <v>-24</v>
      </c>
      <c r="Y261" s="220">
        <f t="shared" si="335"/>
        <v>241</v>
      </c>
      <c r="Z261" s="220">
        <v>2</v>
      </c>
      <c r="AA261" s="220">
        <v>2</v>
      </c>
      <c r="AB261" s="220">
        <v>3</v>
      </c>
      <c r="AC261" s="220">
        <v>3</v>
      </c>
      <c r="AD261" s="220">
        <v>2</v>
      </c>
      <c r="AE261" s="220">
        <f t="shared" si="336"/>
        <v>-340</v>
      </c>
      <c r="AF261" s="220">
        <f t="shared" si="337"/>
        <v>-431</v>
      </c>
      <c r="AG261" s="220">
        <f t="shared" si="338"/>
        <v>-593</v>
      </c>
      <c r="AH261" s="220">
        <f t="shared" si="339"/>
        <v>-573</v>
      </c>
      <c r="AI261" s="220">
        <f t="shared" si="340"/>
        <v>-408</v>
      </c>
      <c r="AJ261" s="50">
        <f t="shared" si="341"/>
        <v>1.2060000000000139</v>
      </c>
      <c r="AK261" s="257"/>
      <c r="AL261" s="257">
        <f t="shared" si="342"/>
        <v>1.2</v>
      </c>
      <c r="AM261" s="52"/>
      <c r="AN261" s="88"/>
    </row>
    <row r="262" spans="1:40" s="29" customFormat="1" ht="17.25" customHeight="1">
      <c r="A262" s="48"/>
      <c r="B262" s="49">
        <f t="shared" si="278"/>
        <v>45804</v>
      </c>
      <c r="C262" s="220">
        <f t="shared" si="279"/>
        <v>1049</v>
      </c>
      <c r="D262" s="220">
        <f t="shared" si="318"/>
        <v>2608</v>
      </c>
      <c r="E262" s="220">
        <f t="shared" si="319"/>
        <v>3657</v>
      </c>
      <c r="F262" s="220">
        <f t="shared" si="320"/>
        <v>1391</v>
      </c>
      <c r="G262" s="220">
        <f t="shared" si="321"/>
        <v>1512</v>
      </c>
      <c r="H262" s="220">
        <f t="shared" si="322"/>
        <v>1654</v>
      </c>
      <c r="I262" s="220">
        <f t="shared" si="323"/>
        <v>1683</v>
      </c>
      <c r="J262" s="220">
        <f t="shared" si="324"/>
        <v>1417</v>
      </c>
      <c r="K262" s="220">
        <f t="shared" si="325"/>
        <v>2266</v>
      </c>
      <c r="L262" s="220">
        <f t="shared" si="326"/>
        <v>2145</v>
      </c>
      <c r="M262" s="220">
        <f t="shared" si="327"/>
        <v>2003</v>
      </c>
      <c r="N262" s="220">
        <f t="shared" si="328"/>
        <v>1974</v>
      </c>
      <c r="O262" s="220">
        <f t="shared" si="329"/>
        <v>2240</v>
      </c>
      <c r="P262" s="220">
        <f t="shared" ref="P262:T262" si="355">+P261</f>
        <v>2000</v>
      </c>
      <c r="Q262" s="220">
        <f t="shared" si="355"/>
        <v>2000</v>
      </c>
      <c r="R262" s="220">
        <f t="shared" si="355"/>
        <v>2000</v>
      </c>
      <c r="S262" s="220">
        <f t="shared" si="355"/>
        <v>2000</v>
      </c>
      <c r="T262" s="220">
        <f t="shared" si="355"/>
        <v>2000</v>
      </c>
      <c r="U262" s="220">
        <f t="shared" si="331"/>
        <v>266</v>
      </c>
      <c r="V262" s="220">
        <f t="shared" si="332"/>
        <v>145</v>
      </c>
      <c r="W262" s="220">
        <f t="shared" si="333"/>
        <v>3</v>
      </c>
      <c r="X262" s="220">
        <f t="shared" si="334"/>
        <v>-26</v>
      </c>
      <c r="Y262" s="220">
        <f t="shared" si="335"/>
        <v>240</v>
      </c>
      <c r="Z262" s="220">
        <v>3</v>
      </c>
      <c r="AA262" s="220">
        <v>3</v>
      </c>
      <c r="AB262" s="220">
        <v>3</v>
      </c>
      <c r="AC262" s="220">
        <v>2</v>
      </c>
      <c r="AD262" s="220">
        <v>1</v>
      </c>
      <c r="AE262" s="220">
        <f t="shared" si="336"/>
        <v>-343</v>
      </c>
      <c r="AF262" s="220">
        <f t="shared" si="337"/>
        <v>-434</v>
      </c>
      <c r="AG262" s="220">
        <f t="shared" si="338"/>
        <v>-596</v>
      </c>
      <c r="AH262" s="220">
        <f t="shared" si="339"/>
        <v>-575</v>
      </c>
      <c r="AI262" s="220">
        <f t="shared" si="340"/>
        <v>-409</v>
      </c>
      <c r="AJ262" s="50">
        <f t="shared" si="341"/>
        <v>1.2030000000000141</v>
      </c>
      <c r="AK262" s="257"/>
      <c r="AL262" s="257">
        <f t="shared" si="342"/>
        <v>1.2</v>
      </c>
      <c r="AM262" s="52"/>
      <c r="AN262" s="88"/>
    </row>
    <row r="263" spans="1:40" s="29" customFormat="1" ht="17.25" customHeight="1">
      <c r="A263" s="48"/>
      <c r="B263" s="49">
        <f t="shared" si="278"/>
        <v>45805</v>
      </c>
      <c r="C263" s="220">
        <f t="shared" si="279"/>
        <v>1049</v>
      </c>
      <c r="D263" s="220">
        <f t="shared" si="318"/>
        <v>2634</v>
      </c>
      <c r="E263" s="220">
        <f t="shared" si="319"/>
        <v>3683</v>
      </c>
      <c r="F263" s="220">
        <f t="shared" si="320"/>
        <v>1419</v>
      </c>
      <c r="G263" s="220">
        <f t="shared" si="321"/>
        <v>1540</v>
      </c>
      <c r="H263" s="220">
        <f t="shared" si="322"/>
        <v>1683</v>
      </c>
      <c r="I263" s="220">
        <f t="shared" si="323"/>
        <v>1711</v>
      </c>
      <c r="J263" s="220">
        <f t="shared" si="324"/>
        <v>1445</v>
      </c>
      <c r="K263" s="220">
        <f t="shared" si="325"/>
        <v>2264</v>
      </c>
      <c r="L263" s="220">
        <f t="shared" si="326"/>
        <v>2143</v>
      </c>
      <c r="M263" s="220">
        <f t="shared" si="327"/>
        <v>2000</v>
      </c>
      <c r="N263" s="220">
        <f t="shared" si="328"/>
        <v>1972</v>
      </c>
      <c r="O263" s="220">
        <f t="shared" si="329"/>
        <v>2238</v>
      </c>
      <c r="P263" s="220">
        <f t="shared" ref="P263:T263" si="356">+P262</f>
        <v>2000</v>
      </c>
      <c r="Q263" s="220">
        <f t="shared" si="356"/>
        <v>2000</v>
      </c>
      <c r="R263" s="220">
        <f t="shared" si="356"/>
        <v>2000</v>
      </c>
      <c r="S263" s="220">
        <f t="shared" si="356"/>
        <v>2000</v>
      </c>
      <c r="T263" s="220">
        <f t="shared" si="356"/>
        <v>2000</v>
      </c>
      <c r="U263" s="220">
        <f t="shared" si="331"/>
        <v>264</v>
      </c>
      <c r="V263" s="220">
        <f t="shared" si="332"/>
        <v>143</v>
      </c>
      <c r="W263" s="220">
        <f t="shared" si="333"/>
        <v>0</v>
      </c>
      <c r="X263" s="220">
        <f t="shared" si="334"/>
        <v>-28</v>
      </c>
      <c r="Y263" s="220">
        <f t="shared" si="335"/>
        <v>238</v>
      </c>
      <c r="Z263" s="220">
        <v>2</v>
      </c>
      <c r="AA263" s="220">
        <v>2</v>
      </c>
      <c r="AB263" s="220">
        <v>3</v>
      </c>
      <c r="AC263" s="220">
        <v>2</v>
      </c>
      <c r="AD263" s="220">
        <v>2</v>
      </c>
      <c r="AE263" s="220">
        <f t="shared" si="336"/>
        <v>-345</v>
      </c>
      <c r="AF263" s="220">
        <f t="shared" si="337"/>
        <v>-436</v>
      </c>
      <c r="AG263" s="220">
        <f t="shared" si="338"/>
        <v>-599</v>
      </c>
      <c r="AH263" s="220">
        <f t="shared" si="339"/>
        <v>-577</v>
      </c>
      <c r="AI263" s="220">
        <f t="shared" si="340"/>
        <v>-411</v>
      </c>
      <c r="AJ263" s="50">
        <f t="shared" si="341"/>
        <v>1.2000000000000142</v>
      </c>
      <c r="AK263" s="257"/>
      <c r="AL263" s="257">
        <f t="shared" si="342"/>
        <v>1.2</v>
      </c>
      <c r="AM263" s="52"/>
      <c r="AN263" s="88"/>
    </row>
    <row r="264" spans="1:40" s="29" customFormat="1" ht="17.25" customHeight="1">
      <c r="A264" s="48"/>
      <c r="B264" s="49">
        <f t="shared" si="278"/>
        <v>45806</v>
      </c>
      <c r="C264" s="220">
        <f t="shared" si="279"/>
        <v>1049</v>
      </c>
      <c r="D264" s="220">
        <f t="shared" si="318"/>
        <v>2660</v>
      </c>
      <c r="E264" s="220">
        <f t="shared" si="319"/>
        <v>3709</v>
      </c>
      <c r="F264" s="220">
        <f t="shared" si="320"/>
        <v>1447</v>
      </c>
      <c r="G264" s="220">
        <f t="shared" si="321"/>
        <v>1568</v>
      </c>
      <c r="H264" s="220">
        <f t="shared" si="322"/>
        <v>1711</v>
      </c>
      <c r="I264" s="220">
        <f t="shared" si="323"/>
        <v>1740</v>
      </c>
      <c r="J264" s="220">
        <f t="shared" si="324"/>
        <v>1472</v>
      </c>
      <c r="K264" s="220">
        <f t="shared" si="325"/>
        <v>2262</v>
      </c>
      <c r="L264" s="220">
        <f t="shared" si="326"/>
        <v>2141</v>
      </c>
      <c r="M264" s="220">
        <f t="shared" si="327"/>
        <v>1998</v>
      </c>
      <c r="N264" s="220">
        <f t="shared" si="328"/>
        <v>1969</v>
      </c>
      <c r="O264" s="220">
        <f t="shared" si="329"/>
        <v>2237</v>
      </c>
      <c r="P264" s="220">
        <f t="shared" ref="P264:T264" si="357">+P263</f>
        <v>2000</v>
      </c>
      <c r="Q264" s="220">
        <f t="shared" si="357"/>
        <v>2000</v>
      </c>
      <c r="R264" s="220">
        <f t="shared" si="357"/>
        <v>2000</v>
      </c>
      <c r="S264" s="220">
        <f t="shared" si="357"/>
        <v>2000</v>
      </c>
      <c r="T264" s="220">
        <f t="shared" si="357"/>
        <v>2000</v>
      </c>
      <c r="U264" s="220">
        <f t="shared" si="331"/>
        <v>262</v>
      </c>
      <c r="V264" s="220">
        <f t="shared" si="332"/>
        <v>141</v>
      </c>
      <c r="W264" s="220">
        <f t="shared" si="333"/>
        <v>-2</v>
      </c>
      <c r="X264" s="220">
        <f t="shared" si="334"/>
        <v>-31</v>
      </c>
      <c r="Y264" s="220">
        <f t="shared" si="335"/>
        <v>237</v>
      </c>
      <c r="Z264" s="220">
        <v>2</v>
      </c>
      <c r="AA264" s="220">
        <v>2</v>
      </c>
      <c r="AB264" s="220">
        <v>2</v>
      </c>
      <c r="AC264" s="220">
        <v>3</v>
      </c>
      <c r="AD264" s="220">
        <v>1</v>
      </c>
      <c r="AE264" s="220">
        <f t="shared" si="336"/>
        <v>-347</v>
      </c>
      <c r="AF264" s="220">
        <f t="shared" si="337"/>
        <v>-438</v>
      </c>
      <c r="AG264" s="220">
        <f t="shared" si="338"/>
        <v>-601</v>
      </c>
      <c r="AH264" s="220">
        <f t="shared" si="339"/>
        <v>-580</v>
      </c>
      <c r="AI264" s="220">
        <f t="shared" si="340"/>
        <v>-412</v>
      </c>
      <c r="AJ264" s="50">
        <f t="shared" si="341"/>
        <v>1.1980000000000142</v>
      </c>
      <c r="AK264" s="257"/>
      <c r="AL264" s="257">
        <f t="shared" si="342"/>
        <v>1.2</v>
      </c>
      <c r="AM264" s="52"/>
      <c r="AN264" s="88"/>
    </row>
    <row r="265" spans="1:40" s="29" customFormat="1" ht="17.25" customHeight="1">
      <c r="A265" s="48"/>
      <c r="B265" s="49">
        <f t="shared" si="278"/>
        <v>45807</v>
      </c>
      <c r="C265" s="220">
        <f t="shared" si="279"/>
        <v>1049</v>
      </c>
      <c r="D265" s="220">
        <f t="shared" si="318"/>
        <v>2686</v>
      </c>
      <c r="E265" s="220">
        <f t="shared" si="319"/>
        <v>3735</v>
      </c>
      <c r="F265" s="220">
        <f t="shared" si="320"/>
        <v>1475</v>
      </c>
      <c r="G265" s="220">
        <f t="shared" si="321"/>
        <v>1597</v>
      </c>
      <c r="H265" s="220">
        <f t="shared" si="322"/>
        <v>1739</v>
      </c>
      <c r="I265" s="220">
        <f t="shared" si="323"/>
        <v>1768</v>
      </c>
      <c r="J265" s="220">
        <f t="shared" si="324"/>
        <v>1500</v>
      </c>
      <c r="K265" s="220">
        <f t="shared" si="325"/>
        <v>2260</v>
      </c>
      <c r="L265" s="220">
        <f t="shared" si="326"/>
        <v>2138</v>
      </c>
      <c r="M265" s="220">
        <f t="shared" si="327"/>
        <v>1996</v>
      </c>
      <c r="N265" s="220">
        <f t="shared" si="328"/>
        <v>1967</v>
      </c>
      <c r="O265" s="220">
        <f t="shared" si="329"/>
        <v>2235</v>
      </c>
      <c r="P265" s="220">
        <f t="shared" ref="P265:T265" si="358">+P264</f>
        <v>2000</v>
      </c>
      <c r="Q265" s="220">
        <f t="shared" si="358"/>
        <v>2000</v>
      </c>
      <c r="R265" s="220">
        <f t="shared" si="358"/>
        <v>2000</v>
      </c>
      <c r="S265" s="220">
        <f t="shared" si="358"/>
        <v>2000</v>
      </c>
      <c r="T265" s="220">
        <f t="shared" si="358"/>
        <v>2000</v>
      </c>
      <c r="U265" s="220">
        <f t="shared" si="331"/>
        <v>260</v>
      </c>
      <c r="V265" s="220">
        <f t="shared" si="332"/>
        <v>138</v>
      </c>
      <c r="W265" s="220">
        <f t="shared" si="333"/>
        <v>-4</v>
      </c>
      <c r="X265" s="220">
        <f t="shared" si="334"/>
        <v>-33</v>
      </c>
      <c r="Y265" s="220">
        <f t="shared" si="335"/>
        <v>235</v>
      </c>
      <c r="Z265" s="220">
        <v>2</v>
      </c>
      <c r="AA265" s="220">
        <v>3</v>
      </c>
      <c r="AB265" s="220">
        <v>2</v>
      </c>
      <c r="AC265" s="220">
        <v>2</v>
      </c>
      <c r="AD265" s="220">
        <v>2</v>
      </c>
      <c r="AE265" s="220">
        <f t="shared" si="336"/>
        <v>-349</v>
      </c>
      <c r="AF265" s="220">
        <f t="shared" si="337"/>
        <v>-441</v>
      </c>
      <c r="AG265" s="220">
        <f t="shared" si="338"/>
        <v>-603</v>
      </c>
      <c r="AH265" s="220">
        <f t="shared" si="339"/>
        <v>-582</v>
      </c>
      <c r="AI265" s="220">
        <f t="shared" si="340"/>
        <v>-414</v>
      </c>
      <c r="AJ265" s="50">
        <f t="shared" si="341"/>
        <v>1.1960000000000142</v>
      </c>
      <c r="AK265" s="257"/>
      <c r="AL265" s="257">
        <f t="shared" si="342"/>
        <v>1.2</v>
      </c>
      <c r="AM265" s="52"/>
      <c r="AN265" s="88"/>
    </row>
    <row r="266" spans="1:40" s="29" customFormat="1" ht="17.25" customHeight="1">
      <c r="A266" s="48"/>
      <c r="B266" s="49">
        <f t="shared" si="278"/>
        <v>45808</v>
      </c>
      <c r="C266" s="220">
        <f t="shared" si="279"/>
        <v>1049</v>
      </c>
      <c r="D266" s="220">
        <f t="shared" si="318"/>
        <v>2712</v>
      </c>
      <c r="E266" s="220">
        <f t="shared" si="319"/>
        <v>3761</v>
      </c>
      <c r="F266" s="220">
        <f t="shared" si="320"/>
        <v>1503</v>
      </c>
      <c r="G266" s="220">
        <f t="shared" si="321"/>
        <v>1625</v>
      </c>
      <c r="H266" s="220">
        <f t="shared" si="322"/>
        <v>1767</v>
      </c>
      <c r="I266" s="220">
        <f t="shared" si="323"/>
        <v>1796</v>
      </c>
      <c r="J266" s="220">
        <f t="shared" si="324"/>
        <v>1527</v>
      </c>
      <c r="K266" s="220">
        <f t="shared" si="325"/>
        <v>2258</v>
      </c>
      <c r="L266" s="220">
        <f t="shared" si="326"/>
        <v>2136</v>
      </c>
      <c r="M266" s="220">
        <f t="shared" si="327"/>
        <v>1994</v>
      </c>
      <c r="N266" s="220">
        <f t="shared" si="328"/>
        <v>1965</v>
      </c>
      <c r="O266" s="220">
        <f t="shared" si="329"/>
        <v>2234</v>
      </c>
      <c r="P266" s="220">
        <f t="shared" ref="P266:T266" si="359">+P265</f>
        <v>2000</v>
      </c>
      <c r="Q266" s="220">
        <f t="shared" si="359"/>
        <v>2000</v>
      </c>
      <c r="R266" s="220">
        <f t="shared" si="359"/>
        <v>2000</v>
      </c>
      <c r="S266" s="220">
        <f t="shared" si="359"/>
        <v>2000</v>
      </c>
      <c r="T266" s="220">
        <f t="shared" si="359"/>
        <v>2000</v>
      </c>
      <c r="U266" s="220">
        <f t="shared" si="331"/>
        <v>258</v>
      </c>
      <c r="V266" s="220">
        <f t="shared" si="332"/>
        <v>136</v>
      </c>
      <c r="W266" s="220">
        <f t="shared" si="333"/>
        <v>-6</v>
      </c>
      <c r="X266" s="220">
        <f t="shared" si="334"/>
        <v>-35</v>
      </c>
      <c r="Y266" s="220">
        <f t="shared" si="335"/>
        <v>234</v>
      </c>
      <c r="Z266" s="220">
        <v>2</v>
      </c>
      <c r="AA266" s="220">
        <v>2</v>
      </c>
      <c r="AB266" s="220">
        <v>2</v>
      </c>
      <c r="AC266" s="220">
        <v>2</v>
      </c>
      <c r="AD266" s="220">
        <v>1</v>
      </c>
      <c r="AE266" s="220">
        <f t="shared" si="336"/>
        <v>-351</v>
      </c>
      <c r="AF266" s="220">
        <f t="shared" si="337"/>
        <v>-443</v>
      </c>
      <c r="AG266" s="220">
        <f t="shared" si="338"/>
        <v>-605</v>
      </c>
      <c r="AH266" s="220">
        <f t="shared" si="339"/>
        <v>-584</v>
      </c>
      <c r="AI266" s="220">
        <f t="shared" si="340"/>
        <v>-415</v>
      </c>
      <c r="AJ266" s="50">
        <f t="shared" si="341"/>
        <v>1.1940000000000142</v>
      </c>
      <c r="AK266" s="257"/>
      <c r="AL266" s="257">
        <f t="shared" si="342"/>
        <v>1.2</v>
      </c>
      <c r="AM266" s="52"/>
      <c r="AN266" s="88"/>
    </row>
    <row r="267" spans="1:40" s="29" customFormat="1" ht="16.8" customHeight="1">
      <c r="A267" s="48"/>
      <c r="B267" s="49"/>
      <c r="C267" s="220"/>
      <c r="D267" s="220"/>
      <c r="E267" s="220"/>
      <c r="F267" s="220"/>
      <c r="G267" s="220"/>
      <c r="H267" s="220"/>
      <c r="I267" s="220"/>
      <c r="J267" s="220"/>
      <c r="K267" s="220"/>
      <c r="L267" s="220"/>
      <c r="M267" s="220"/>
      <c r="N267" s="220"/>
      <c r="O267" s="220"/>
      <c r="P267" s="220"/>
      <c r="Q267" s="220"/>
      <c r="R267" s="220"/>
      <c r="S267" s="220"/>
      <c r="T267" s="220"/>
      <c r="U267" s="220"/>
      <c r="V267" s="220"/>
      <c r="W267" s="220"/>
      <c r="X267" s="220"/>
      <c r="Y267" s="220"/>
      <c r="Z267" s="220"/>
      <c r="AA267" s="220"/>
      <c r="AB267" s="220"/>
      <c r="AC267" s="220"/>
      <c r="AD267" s="220"/>
      <c r="AE267" s="220"/>
      <c r="AF267" s="220"/>
      <c r="AG267" s="220"/>
      <c r="AH267" s="220"/>
      <c r="AI267" s="220"/>
      <c r="AJ267" s="50"/>
      <c r="AK267" s="257"/>
      <c r="AL267" s="257"/>
      <c r="AM267" s="52"/>
      <c r="AN267" s="88"/>
    </row>
    <row r="268" spans="1:40" s="29" customFormat="1" ht="17.25" customHeight="1">
      <c r="A268" s="48"/>
      <c r="B268" s="49"/>
      <c r="C268" s="220"/>
      <c r="D268" s="220"/>
      <c r="E268" s="220"/>
      <c r="F268" s="220"/>
      <c r="G268" s="220"/>
      <c r="H268" s="220"/>
      <c r="I268" s="220"/>
      <c r="J268" s="220"/>
      <c r="K268" s="220"/>
      <c r="L268" s="220"/>
      <c r="M268" s="220"/>
      <c r="N268" s="220"/>
      <c r="O268" s="220"/>
      <c r="P268" s="220"/>
      <c r="Q268" s="220"/>
      <c r="R268" s="220"/>
      <c r="S268" s="220"/>
      <c r="T268" s="220"/>
      <c r="U268" s="220"/>
      <c r="V268" s="220"/>
      <c r="W268" s="220"/>
      <c r="X268" s="220"/>
      <c r="Y268" s="220"/>
      <c r="Z268" s="220"/>
      <c r="AA268" s="220"/>
      <c r="AB268" s="220"/>
      <c r="AC268" s="220"/>
      <c r="AD268" s="220"/>
      <c r="AE268" s="220"/>
      <c r="AF268" s="220"/>
      <c r="AG268" s="220"/>
      <c r="AH268" s="220"/>
      <c r="AI268" s="220"/>
      <c r="AJ268" s="50"/>
      <c r="AK268" s="257"/>
      <c r="AL268" s="257"/>
      <c r="AM268" s="52"/>
      <c r="AN268" s="88"/>
    </row>
    <row r="269" spans="1:40" s="29" customFormat="1" ht="17.25" customHeight="1">
      <c r="A269" s="48"/>
      <c r="B269" s="49"/>
      <c r="C269" s="220"/>
      <c r="D269" s="220"/>
      <c r="E269" s="220"/>
      <c r="F269" s="220"/>
      <c r="G269" s="220"/>
      <c r="H269" s="220"/>
      <c r="I269" s="220"/>
      <c r="J269" s="220"/>
      <c r="K269" s="220"/>
      <c r="L269" s="220"/>
      <c r="M269" s="220"/>
      <c r="N269" s="220"/>
      <c r="O269" s="220"/>
      <c r="P269" s="220"/>
      <c r="Q269" s="220"/>
      <c r="R269" s="220"/>
      <c r="S269" s="220"/>
      <c r="T269" s="220"/>
      <c r="U269" s="220"/>
      <c r="V269" s="220"/>
      <c r="W269" s="220"/>
      <c r="X269" s="220"/>
      <c r="Y269" s="220"/>
      <c r="Z269" s="220">
        <f>SUM(Z11:Z268)</f>
        <v>351</v>
      </c>
      <c r="AA269" s="220">
        <f t="shared" ref="AA269:AD269" si="360">SUM(AA11:AA268)</f>
        <v>444</v>
      </c>
      <c r="AB269" s="220">
        <f t="shared" si="360"/>
        <v>605</v>
      </c>
      <c r="AC269" s="220">
        <f t="shared" si="360"/>
        <v>585</v>
      </c>
      <c r="AD269" s="220">
        <f t="shared" si="360"/>
        <v>415</v>
      </c>
      <c r="AE269" s="220"/>
      <c r="AF269" s="220"/>
      <c r="AG269" s="220"/>
      <c r="AH269" s="220"/>
      <c r="AI269" s="220"/>
      <c r="AJ269" s="50"/>
      <c r="AK269" s="257"/>
      <c r="AL269" s="257"/>
      <c r="AM269" s="52"/>
      <c r="AN269" s="88"/>
    </row>
    <row r="270" spans="1:40" s="29" customFormat="1" ht="17.25" customHeight="1">
      <c r="A270" s="48"/>
      <c r="B270" s="49"/>
      <c r="C270" s="220"/>
      <c r="D270" s="220"/>
      <c r="E270" s="220"/>
      <c r="F270" s="220"/>
      <c r="G270" s="220"/>
      <c r="H270" s="220"/>
      <c r="I270" s="220"/>
      <c r="J270" s="220"/>
      <c r="K270" s="220"/>
      <c r="L270" s="220"/>
      <c r="M270" s="220"/>
      <c r="N270" s="220"/>
      <c r="O270" s="220"/>
      <c r="P270" s="220"/>
      <c r="Q270" s="220"/>
      <c r="R270" s="220"/>
      <c r="S270" s="220"/>
      <c r="T270" s="220"/>
      <c r="U270" s="220"/>
      <c r="V270" s="220"/>
      <c r="W270" s="220"/>
      <c r="X270" s="220"/>
      <c r="Y270" s="220"/>
      <c r="Z270" s="220"/>
      <c r="AA270" s="220"/>
      <c r="AB270" s="220"/>
      <c r="AC270" s="220"/>
      <c r="AD270" s="220"/>
      <c r="AE270" s="220"/>
      <c r="AF270" s="220"/>
      <c r="AG270" s="220"/>
      <c r="AH270" s="220"/>
      <c r="AI270" s="220"/>
      <c r="AJ270" s="50"/>
      <c r="AK270" s="257"/>
      <c r="AL270" s="257"/>
      <c r="AM270" s="52"/>
      <c r="AN270" s="88"/>
    </row>
    <row r="271" spans="1:40" s="29" customFormat="1" ht="17.25" customHeight="1">
      <c r="A271" s="48"/>
      <c r="B271" s="49"/>
      <c r="C271" s="220"/>
      <c r="D271" s="220"/>
      <c r="E271" s="220"/>
      <c r="F271" s="220"/>
      <c r="G271" s="220"/>
      <c r="H271" s="220"/>
      <c r="I271" s="220"/>
      <c r="J271" s="220"/>
      <c r="K271" s="220"/>
      <c r="L271" s="220"/>
      <c r="M271" s="220"/>
      <c r="N271" s="220"/>
      <c r="O271" s="220"/>
      <c r="P271" s="220"/>
      <c r="Q271" s="220"/>
      <c r="R271" s="220"/>
      <c r="S271" s="220"/>
      <c r="T271" s="220"/>
      <c r="U271" s="220"/>
      <c r="V271" s="220"/>
      <c r="W271" s="220"/>
      <c r="X271" s="220"/>
      <c r="Y271" s="220"/>
      <c r="Z271" s="220">
        <v>351</v>
      </c>
      <c r="AA271" s="220">
        <v>444</v>
      </c>
      <c r="AB271" s="220">
        <v>605</v>
      </c>
      <c r="AC271" s="220">
        <v>585</v>
      </c>
      <c r="AD271" s="220">
        <v>415</v>
      </c>
      <c r="AE271" s="220"/>
      <c r="AF271" s="220"/>
      <c r="AG271" s="220"/>
      <c r="AH271" s="220"/>
      <c r="AI271" s="220"/>
      <c r="AJ271" s="50"/>
      <c r="AK271" s="257"/>
      <c r="AL271" s="257"/>
      <c r="AM271" s="52"/>
      <c r="AN271" s="88"/>
    </row>
    <row r="272" spans="1:40" s="29" customFormat="1" ht="17.25" customHeight="1">
      <c r="A272" s="48"/>
      <c r="B272" s="49"/>
      <c r="C272" s="220"/>
      <c r="D272" s="220"/>
      <c r="E272" s="220"/>
      <c r="F272" s="220"/>
      <c r="G272" s="220"/>
      <c r="H272" s="220"/>
      <c r="I272" s="220"/>
      <c r="J272" s="220"/>
      <c r="K272" s="220"/>
      <c r="L272" s="220"/>
      <c r="M272" s="220"/>
      <c r="N272" s="220"/>
      <c r="O272" s="220"/>
      <c r="P272" s="220"/>
      <c r="Q272" s="220"/>
      <c r="R272" s="220"/>
      <c r="S272" s="220"/>
      <c r="T272" s="220"/>
      <c r="U272" s="220"/>
      <c r="V272" s="220"/>
      <c r="W272" s="220"/>
      <c r="X272" s="220"/>
      <c r="Y272" s="220"/>
      <c r="Z272" s="220"/>
      <c r="AA272" s="220"/>
      <c r="AB272" s="220"/>
      <c r="AC272" s="220"/>
      <c r="AD272" s="220"/>
      <c r="AE272" s="220"/>
      <c r="AF272" s="220"/>
      <c r="AG272" s="220"/>
      <c r="AH272" s="220"/>
      <c r="AI272" s="220"/>
      <c r="AJ272" s="50"/>
      <c r="AK272" s="257"/>
      <c r="AL272" s="257"/>
      <c r="AM272" s="52"/>
      <c r="AN272" s="88"/>
    </row>
    <row r="273" spans="1:40" s="29" customFormat="1" ht="17.25" customHeight="1">
      <c r="A273" s="48"/>
      <c r="B273" s="49"/>
      <c r="C273" s="220"/>
      <c r="D273" s="220"/>
      <c r="E273" s="220"/>
      <c r="F273" s="220"/>
      <c r="G273" s="220"/>
      <c r="H273" s="220"/>
      <c r="I273" s="220"/>
      <c r="J273" s="220"/>
      <c r="K273" s="220"/>
      <c r="L273" s="220"/>
      <c r="M273" s="220"/>
      <c r="N273" s="220"/>
      <c r="O273" s="220"/>
      <c r="P273" s="220"/>
      <c r="Q273" s="220"/>
      <c r="R273" s="220"/>
      <c r="S273" s="220"/>
      <c r="T273" s="220"/>
      <c r="U273" s="220"/>
      <c r="V273" s="220"/>
      <c r="W273" s="220"/>
      <c r="X273" s="220"/>
      <c r="Y273" s="220"/>
      <c r="Z273" s="220">
        <f>Z269-Z271</f>
        <v>0</v>
      </c>
      <c r="AA273" s="220">
        <f t="shared" ref="AA273:AD273" si="361">AA269-AA271</f>
        <v>0</v>
      </c>
      <c r="AB273" s="220">
        <f t="shared" si="361"/>
        <v>0</v>
      </c>
      <c r="AC273" s="220">
        <f t="shared" si="361"/>
        <v>0</v>
      </c>
      <c r="AD273" s="220">
        <f t="shared" si="361"/>
        <v>0</v>
      </c>
      <c r="AE273" s="220"/>
      <c r="AF273" s="220"/>
      <c r="AG273" s="220"/>
      <c r="AH273" s="220"/>
      <c r="AI273" s="220"/>
      <c r="AJ273" s="50"/>
      <c r="AK273" s="257"/>
      <c r="AL273" s="257"/>
      <c r="AM273" s="52"/>
      <c r="AN273" s="88"/>
    </row>
    <row r="274" spans="1:40" s="29" customFormat="1" ht="17.25" customHeight="1">
      <c r="A274" s="48"/>
      <c r="B274" s="49"/>
      <c r="C274" s="220"/>
      <c r="D274" s="220"/>
      <c r="E274" s="220"/>
      <c r="F274" s="220"/>
      <c r="G274" s="220"/>
      <c r="H274" s="220"/>
      <c r="I274" s="220"/>
      <c r="J274" s="220"/>
      <c r="K274" s="220"/>
      <c r="L274" s="220"/>
      <c r="M274" s="220"/>
      <c r="N274" s="220"/>
      <c r="O274" s="220"/>
      <c r="P274" s="220"/>
      <c r="Q274" s="220"/>
      <c r="R274" s="220"/>
      <c r="S274" s="220"/>
      <c r="T274" s="220"/>
      <c r="U274" s="220"/>
      <c r="V274" s="220"/>
      <c r="W274" s="220"/>
      <c r="X274" s="220"/>
      <c r="Y274" s="220"/>
      <c r="Z274" s="220"/>
      <c r="AA274" s="220"/>
      <c r="AB274" s="220"/>
      <c r="AC274" s="220"/>
      <c r="AD274" s="220"/>
      <c r="AE274" s="220"/>
      <c r="AF274" s="220"/>
      <c r="AG274" s="220"/>
      <c r="AH274" s="220"/>
      <c r="AI274" s="220"/>
      <c r="AJ274" s="50"/>
      <c r="AK274" s="257"/>
      <c r="AL274" s="257"/>
      <c r="AM274" s="52"/>
      <c r="AN274" s="88"/>
    </row>
    <row r="275" spans="1:40" s="29" customFormat="1" ht="17.25" customHeight="1">
      <c r="A275" s="48"/>
      <c r="B275" s="49"/>
      <c r="C275" s="220"/>
      <c r="D275" s="220"/>
      <c r="E275" s="220"/>
      <c r="F275" s="220"/>
      <c r="G275" s="220"/>
      <c r="H275" s="220"/>
      <c r="I275" s="220"/>
      <c r="J275" s="220"/>
      <c r="K275" s="220"/>
      <c r="L275" s="220"/>
      <c r="M275" s="220"/>
      <c r="N275" s="220"/>
      <c r="O275" s="220"/>
      <c r="P275" s="220"/>
      <c r="Q275" s="220"/>
      <c r="R275" s="220"/>
      <c r="S275" s="220"/>
      <c r="T275" s="220"/>
      <c r="U275" s="220"/>
      <c r="V275" s="220"/>
      <c r="W275" s="220"/>
      <c r="X275" s="220"/>
      <c r="Y275" s="220"/>
      <c r="Z275" s="220"/>
      <c r="AA275" s="220"/>
      <c r="AB275" s="220"/>
      <c r="AC275" s="220"/>
      <c r="AD275" s="220"/>
      <c r="AE275" s="220"/>
      <c r="AF275" s="220"/>
      <c r="AG275" s="220"/>
      <c r="AH275" s="220"/>
      <c r="AI275" s="220"/>
      <c r="AJ275" s="50"/>
      <c r="AK275" s="257"/>
      <c r="AL275" s="257"/>
      <c r="AM275" s="52"/>
      <c r="AN275" s="88"/>
    </row>
    <row r="276" spans="1:40" s="29" customFormat="1" ht="17.25" customHeight="1">
      <c r="A276" s="48"/>
      <c r="B276" s="49"/>
      <c r="C276" s="220"/>
      <c r="D276" s="220"/>
      <c r="E276" s="220"/>
      <c r="F276" s="220"/>
      <c r="G276" s="220"/>
      <c r="H276" s="220"/>
      <c r="I276" s="220"/>
      <c r="J276" s="220"/>
      <c r="K276" s="220"/>
      <c r="L276" s="220"/>
      <c r="M276" s="220"/>
      <c r="N276" s="220"/>
      <c r="O276" s="220"/>
      <c r="P276" s="220"/>
      <c r="Q276" s="220"/>
      <c r="R276" s="220"/>
      <c r="S276" s="220"/>
      <c r="T276" s="220"/>
      <c r="U276" s="220"/>
      <c r="V276" s="220"/>
      <c r="W276" s="220"/>
      <c r="X276" s="220"/>
      <c r="Y276" s="220"/>
      <c r="Z276" s="220"/>
      <c r="AA276" s="220"/>
      <c r="AB276" s="220"/>
      <c r="AC276" s="220"/>
      <c r="AD276" s="220"/>
      <c r="AE276" s="220"/>
      <c r="AF276" s="220"/>
      <c r="AG276" s="220"/>
      <c r="AH276" s="220"/>
      <c r="AI276" s="220"/>
      <c r="AJ276" s="50"/>
      <c r="AK276" s="257"/>
      <c r="AL276" s="257"/>
      <c r="AM276" s="52"/>
      <c r="AN276" s="88"/>
    </row>
    <row r="277" spans="1:40" s="29" customFormat="1" ht="17.25" customHeight="1">
      <c r="A277" s="48"/>
      <c r="B277" s="49"/>
      <c r="C277" s="220"/>
      <c r="D277" s="220"/>
      <c r="E277" s="220"/>
      <c r="F277" s="220"/>
      <c r="G277" s="220"/>
      <c r="H277" s="220"/>
      <c r="I277" s="220"/>
      <c r="J277" s="220"/>
      <c r="K277" s="220"/>
      <c r="L277" s="220"/>
      <c r="M277" s="220"/>
      <c r="N277" s="220"/>
      <c r="O277" s="220"/>
      <c r="P277" s="220"/>
      <c r="Q277" s="220"/>
      <c r="R277" s="220"/>
      <c r="S277" s="220"/>
      <c r="T277" s="220"/>
      <c r="U277" s="220"/>
      <c r="V277" s="220"/>
      <c r="W277" s="220"/>
      <c r="X277" s="220"/>
      <c r="Y277" s="220"/>
      <c r="Z277" s="220"/>
      <c r="AA277" s="220"/>
      <c r="AB277" s="220"/>
      <c r="AC277" s="220"/>
      <c r="AD277" s="220"/>
      <c r="AE277" s="220"/>
      <c r="AF277" s="220"/>
      <c r="AG277" s="220"/>
      <c r="AH277" s="220"/>
      <c r="AI277" s="220"/>
      <c r="AJ277" s="50"/>
      <c r="AK277" s="257"/>
      <c r="AL277" s="257"/>
      <c r="AM277" s="52"/>
      <c r="AN277" s="88"/>
    </row>
    <row r="278" spans="1:40" s="29" customFormat="1" ht="17.25" customHeight="1">
      <c r="A278" s="48"/>
      <c r="B278" s="49"/>
      <c r="C278" s="220"/>
      <c r="D278" s="220"/>
      <c r="E278" s="220"/>
      <c r="F278" s="220"/>
      <c r="G278" s="220"/>
      <c r="H278" s="220"/>
      <c r="I278" s="220"/>
      <c r="J278" s="220"/>
      <c r="K278" s="220"/>
      <c r="L278" s="220"/>
      <c r="M278" s="220"/>
      <c r="N278" s="220"/>
      <c r="O278" s="220"/>
      <c r="P278" s="220"/>
      <c r="Q278" s="220"/>
      <c r="R278" s="220"/>
      <c r="S278" s="220"/>
      <c r="T278" s="220"/>
      <c r="U278" s="220"/>
      <c r="V278" s="220"/>
      <c r="W278" s="220"/>
      <c r="X278" s="220"/>
      <c r="Y278" s="220"/>
      <c r="Z278" s="220"/>
      <c r="AA278" s="220"/>
      <c r="AB278" s="220"/>
      <c r="AC278" s="220"/>
      <c r="AD278" s="220"/>
      <c r="AE278" s="220"/>
      <c r="AF278" s="220"/>
      <c r="AG278" s="220"/>
      <c r="AH278" s="220"/>
      <c r="AI278" s="220"/>
      <c r="AJ278" s="50"/>
      <c r="AK278" s="257"/>
      <c r="AL278" s="257"/>
      <c r="AM278" s="52"/>
      <c r="AN278" s="88"/>
    </row>
    <row r="279" spans="1:40" s="29" customFormat="1" ht="17.25" customHeight="1">
      <c r="A279" s="48"/>
      <c r="B279" s="49"/>
      <c r="C279" s="220"/>
      <c r="D279" s="220"/>
      <c r="E279" s="220"/>
      <c r="F279" s="220"/>
      <c r="G279" s="220"/>
      <c r="H279" s="220"/>
      <c r="I279" s="220"/>
      <c r="J279" s="220"/>
      <c r="K279" s="220"/>
      <c r="L279" s="220"/>
      <c r="M279" s="220"/>
      <c r="N279" s="220"/>
      <c r="O279" s="220"/>
      <c r="P279" s="220"/>
      <c r="Q279" s="220"/>
      <c r="R279" s="220"/>
      <c r="S279" s="220"/>
      <c r="T279" s="220"/>
      <c r="U279" s="220"/>
      <c r="V279" s="220"/>
      <c r="W279" s="220"/>
      <c r="X279" s="220"/>
      <c r="Y279" s="220"/>
      <c r="Z279" s="220"/>
      <c r="AA279" s="220"/>
      <c r="AB279" s="220"/>
      <c r="AC279" s="220"/>
      <c r="AD279" s="220"/>
      <c r="AE279" s="220"/>
      <c r="AF279" s="220"/>
      <c r="AG279" s="220"/>
      <c r="AH279" s="220"/>
      <c r="AI279" s="220"/>
      <c r="AJ279" s="50"/>
      <c r="AK279" s="257"/>
      <c r="AL279" s="257"/>
      <c r="AM279" s="52"/>
      <c r="AN279" s="88"/>
    </row>
    <row r="280" spans="1:40" s="29" customFormat="1" ht="17.25" customHeight="1">
      <c r="A280" s="48"/>
      <c r="B280" s="49"/>
      <c r="C280" s="220"/>
      <c r="D280" s="220"/>
      <c r="E280" s="220"/>
      <c r="F280" s="220"/>
      <c r="G280" s="220"/>
      <c r="H280" s="220"/>
      <c r="I280" s="220"/>
      <c r="J280" s="220"/>
      <c r="K280" s="220"/>
      <c r="L280" s="220"/>
      <c r="M280" s="220"/>
      <c r="N280" s="220"/>
      <c r="O280" s="220"/>
      <c r="P280" s="220"/>
      <c r="Q280" s="220"/>
      <c r="R280" s="220"/>
      <c r="S280" s="220"/>
      <c r="T280" s="220"/>
      <c r="U280" s="220"/>
      <c r="V280" s="220"/>
      <c r="W280" s="220"/>
      <c r="X280" s="220"/>
      <c r="Y280" s="220"/>
      <c r="Z280" s="220"/>
      <c r="AA280" s="220"/>
      <c r="AB280" s="220"/>
      <c r="AC280" s="220"/>
      <c r="AD280" s="220"/>
      <c r="AE280" s="220"/>
      <c r="AF280" s="220"/>
      <c r="AG280" s="220"/>
      <c r="AH280" s="220"/>
      <c r="AI280" s="220"/>
      <c r="AJ280" s="50"/>
      <c r="AK280" s="257"/>
      <c r="AL280" s="257"/>
      <c r="AM280" s="52"/>
      <c r="AN280" s="88"/>
    </row>
    <row r="281" spans="1:40" s="29" customFormat="1" ht="17.25" customHeight="1">
      <c r="A281" s="48"/>
      <c r="B281" s="49"/>
      <c r="C281" s="220"/>
      <c r="D281" s="220"/>
      <c r="E281" s="220"/>
      <c r="F281" s="220"/>
      <c r="G281" s="220"/>
      <c r="H281" s="220"/>
      <c r="I281" s="220"/>
      <c r="J281" s="220"/>
      <c r="K281" s="220"/>
      <c r="L281" s="220"/>
      <c r="M281" s="220"/>
      <c r="N281" s="220"/>
      <c r="O281" s="220"/>
      <c r="P281" s="220"/>
      <c r="Q281" s="220"/>
      <c r="R281" s="220"/>
      <c r="S281" s="220"/>
      <c r="T281" s="220"/>
      <c r="U281" s="220"/>
      <c r="V281" s="220"/>
      <c r="W281" s="220"/>
      <c r="X281" s="220"/>
      <c r="Y281" s="220"/>
      <c r="Z281" s="220"/>
      <c r="AA281" s="220"/>
      <c r="AB281" s="220"/>
      <c r="AC281" s="220"/>
      <c r="AD281" s="220"/>
      <c r="AE281" s="220"/>
      <c r="AF281" s="220"/>
      <c r="AG281" s="220"/>
      <c r="AH281" s="220"/>
      <c r="AI281" s="220"/>
      <c r="AJ281" s="50"/>
      <c r="AK281" s="257"/>
      <c r="AL281" s="257"/>
      <c r="AM281" s="52"/>
      <c r="AN281" s="88"/>
    </row>
    <row r="282" spans="1:40" s="29" customFormat="1" ht="17.25" customHeight="1">
      <c r="A282" s="48"/>
      <c r="B282" s="49"/>
      <c r="C282" s="220"/>
      <c r="D282" s="220"/>
      <c r="E282" s="220"/>
      <c r="F282" s="220"/>
      <c r="G282" s="220"/>
      <c r="H282" s="220"/>
      <c r="I282" s="220"/>
      <c r="J282" s="220"/>
      <c r="K282" s="220"/>
      <c r="L282" s="220"/>
      <c r="M282" s="220"/>
      <c r="N282" s="220"/>
      <c r="O282" s="220"/>
      <c r="P282" s="220"/>
      <c r="Q282" s="220"/>
      <c r="R282" s="220"/>
      <c r="S282" s="220"/>
      <c r="T282" s="220"/>
      <c r="U282" s="220"/>
      <c r="V282" s="220"/>
      <c r="W282" s="220"/>
      <c r="X282" s="220"/>
      <c r="Y282" s="220"/>
      <c r="Z282" s="220"/>
      <c r="AA282" s="220"/>
      <c r="AB282" s="220"/>
      <c r="AC282" s="220"/>
      <c r="AD282" s="220"/>
      <c r="AE282" s="220"/>
      <c r="AF282" s="220"/>
      <c r="AG282" s="220"/>
      <c r="AH282" s="220"/>
      <c r="AI282" s="220"/>
      <c r="AJ282" s="50"/>
      <c r="AK282" s="257"/>
      <c r="AL282" s="257"/>
      <c r="AM282" s="52"/>
      <c r="AN282" s="88"/>
    </row>
    <row r="283" spans="1:40" s="29" customFormat="1" ht="17.25" customHeight="1">
      <c r="A283" s="48"/>
      <c r="B283" s="49"/>
      <c r="C283" s="220"/>
      <c r="D283" s="220"/>
      <c r="E283" s="220"/>
      <c r="F283" s="220"/>
      <c r="G283" s="220"/>
      <c r="H283" s="220"/>
      <c r="I283" s="220"/>
      <c r="J283" s="220"/>
      <c r="K283" s="220"/>
      <c r="L283" s="220"/>
      <c r="M283" s="220"/>
      <c r="N283" s="220"/>
      <c r="O283" s="220"/>
      <c r="P283" s="220"/>
      <c r="Q283" s="220"/>
      <c r="R283" s="220"/>
      <c r="S283" s="220"/>
      <c r="T283" s="220"/>
      <c r="U283" s="220"/>
      <c r="V283" s="220"/>
      <c r="W283" s="220"/>
      <c r="X283" s="220"/>
      <c r="Y283" s="220"/>
      <c r="Z283" s="220"/>
      <c r="AA283" s="220"/>
      <c r="AB283" s="220"/>
      <c r="AC283" s="220"/>
      <c r="AD283" s="220"/>
      <c r="AE283" s="220"/>
      <c r="AF283" s="220"/>
      <c r="AG283" s="220"/>
      <c r="AH283" s="220"/>
      <c r="AI283" s="220"/>
      <c r="AJ283" s="50"/>
      <c r="AK283" s="257"/>
      <c r="AL283" s="257"/>
      <c r="AM283" s="52"/>
      <c r="AN283" s="88"/>
    </row>
    <row r="284" spans="1:40" s="29" customFormat="1" ht="17.25" customHeight="1">
      <c r="A284" s="48"/>
      <c r="B284" s="49"/>
      <c r="C284" s="220"/>
      <c r="D284" s="220"/>
      <c r="E284" s="220"/>
      <c r="F284" s="220"/>
      <c r="G284" s="220"/>
      <c r="H284" s="220"/>
      <c r="I284" s="220"/>
      <c r="J284" s="220"/>
      <c r="K284" s="220"/>
      <c r="L284" s="220"/>
      <c r="M284" s="220"/>
      <c r="N284" s="220"/>
      <c r="O284" s="220"/>
      <c r="P284" s="220"/>
      <c r="Q284" s="220"/>
      <c r="R284" s="220"/>
      <c r="S284" s="220"/>
      <c r="T284" s="220"/>
      <c r="U284" s="220"/>
      <c r="V284" s="220"/>
      <c r="W284" s="220"/>
      <c r="X284" s="220"/>
      <c r="Y284" s="220"/>
      <c r="Z284" s="220"/>
      <c r="AA284" s="220"/>
      <c r="AB284" s="220"/>
      <c r="AC284" s="220"/>
      <c r="AD284" s="220"/>
      <c r="AE284" s="220"/>
      <c r="AF284" s="220"/>
      <c r="AG284" s="220"/>
      <c r="AH284" s="220"/>
      <c r="AI284" s="220"/>
      <c r="AJ284" s="50"/>
      <c r="AK284" s="257"/>
      <c r="AL284" s="257"/>
      <c r="AM284" s="52"/>
      <c r="AN284" s="88"/>
    </row>
    <row r="285" spans="1:40" s="29" customFormat="1" ht="17.25" customHeight="1">
      <c r="A285" s="48"/>
      <c r="B285" s="49"/>
      <c r="C285" s="220"/>
      <c r="D285" s="220"/>
      <c r="E285" s="220"/>
      <c r="F285" s="220"/>
      <c r="G285" s="220"/>
      <c r="H285" s="220"/>
      <c r="I285" s="220"/>
      <c r="J285" s="220"/>
      <c r="K285" s="220"/>
      <c r="L285" s="220"/>
      <c r="M285" s="220"/>
      <c r="N285" s="220"/>
      <c r="O285" s="220"/>
      <c r="P285" s="220"/>
      <c r="Q285" s="220"/>
      <c r="R285" s="220"/>
      <c r="S285" s="220"/>
      <c r="T285" s="220"/>
      <c r="U285" s="220"/>
      <c r="V285" s="220"/>
      <c r="W285" s="220"/>
      <c r="X285" s="220"/>
      <c r="Y285" s="220"/>
      <c r="Z285" s="220"/>
      <c r="AA285" s="220"/>
      <c r="AB285" s="220"/>
      <c r="AC285" s="220"/>
      <c r="AD285" s="220"/>
      <c r="AE285" s="220"/>
      <c r="AF285" s="220"/>
      <c r="AG285" s="220"/>
      <c r="AH285" s="220"/>
      <c r="AI285" s="220"/>
      <c r="AJ285" s="50"/>
      <c r="AK285" s="257"/>
      <c r="AL285" s="257"/>
      <c r="AM285" s="52"/>
      <c r="AN285" s="88"/>
    </row>
    <row r="286" spans="1:40" s="29" customFormat="1" ht="17.25" customHeight="1">
      <c r="A286" s="48"/>
      <c r="B286" s="49"/>
      <c r="C286" s="220"/>
      <c r="D286" s="220"/>
      <c r="E286" s="220"/>
      <c r="F286" s="220"/>
      <c r="G286" s="220"/>
      <c r="H286" s="220"/>
      <c r="I286" s="220"/>
      <c r="J286" s="220"/>
      <c r="K286" s="220"/>
      <c r="L286" s="220"/>
      <c r="M286" s="220"/>
      <c r="N286" s="220"/>
      <c r="O286" s="220"/>
      <c r="P286" s="220"/>
      <c r="Q286" s="220"/>
      <c r="R286" s="220"/>
      <c r="S286" s="220"/>
      <c r="T286" s="220"/>
      <c r="U286" s="220"/>
      <c r="V286" s="220"/>
      <c r="W286" s="220"/>
      <c r="X286" s="220"/>
      <c r="Y286" s="220"/>
      <c r="Z286" s="220"/>
      <c r="AA286" s="220"/>
      <c r="AB286" s="220"/>
      <c r="AC286" s="220"/>
      <c r="AD286" s="220"/>
      <c r="AE286" s="220"/>
      <c r="AF286" s="220"/>
      <c r="AG286" s="220"/>
      <c r="AH286" s="220"/>
      <c r="AI286" s="220"/>
      <c r="AJ286" s="50"/>
      <c r="AK286" s="257"/>
      <c r="AL286" s="257"/>
      <c r="AM286" s="52"/>
      <c r="AN286" s="88"/>
    </row>
    <row r="287" spans="1:40" s="29" customFormat="1" ht="17.25" customHeight="1">
      <c r="A287" s="48"/>
      <c r="B287" s="49"/>
      <c r="C287" s="220"/>
      <c r="D287" s="220"/>
      <c r="E287" s="220"/>
      <c r="F287" s="220"/>
      <c r="G287" s="220"/>
      <c r="H287" s="220"/>
      <c r="I287" s="220"/>
      <c r="J287" s="220"/>
      <c r="K287" s="220"/>
      <c r="L287" s="220"/>
      <c r="M287" s="220"/>
      <c r="N287" s="220"/>
      <c r="O287" s="220"/>
      <c r="P287" s="220"/>
      <c r="Q287" s="220"/>
      <c r="R287" s="220"/>
      <c r="S287" s="220"/>
      <c r="T287" s="220"/>
      <c r="U287" s="220"/>
      <c r="V287" s="220"/>
      <c r="W287" s="220"/>
      <c r="X287" s="220"/>
      <c r="Y287" s="220"/>
      <c r="Z287" s="220"/>
      <c r="AA287" s="220"/>
      <c r="AB287" s="220"/>
      <c r="AC287" s="220"/>
      <c r="AD287" s="220"/>
      <c r="AE287" s="220"/>
      <c r="AF287" s="220"/>
      <c r="AG287" s="220"/>
      <c r="AH287" s="220"/>
      <c r="AI287" s="220"/>
      <c r="AJ287" s="50"/>
      <c r="AK287" s="257"/>
      <c r="AL287" s="257"/>
      <c r="AM287" s="52"/>
      <c r="AN287" s="88"/>
    </row>
    <row r="288" spans="1:40" s="29" customFormat="1" ht="17.25" customHeight="1">
      <c r="A288" s="48"/>
      <c r="B288" s="49"/>
      <c r="C288" s="220"/>
      <c r="D288" s="220"/>
      <c r="E288" s="220"/>
      <c r="F288" s="220"/>
      <c r="G288" s="220"/>
      <c r="H288" s="220"/>
      <c r="I288" s="220"/>
      <c r="J288" s="220"/>
      <c r="K288" s="220"/>
      <c r="L288" s="220"/>
      <c r="M288" s="220"/>
      <c r="N288" s="220"/>
      <c r="O288" s="220"/>
      <c r="P288" s="220"/>
      <c r="Q288" s="220"/>
      <c r="R288" s="220"/>
      <c r="S288" s="220"/>
      <c r="T288" s="220"/>
      <c r="U288" s="220"/>
      <c r="V288" s="220"/>
      <c r="W288" s="220"/>
      <c r="X288" s="220"/>
      <c r="Y288" s="220"/>
      <c r="Z288" s="220"/>
      <c r="AA288" s="220"/>
      <c r="AB288" s="220"/>
      <c r="AC288" s="220"/>
      <c r="AD288" s="220"/>
      <c r="AE288" s="220"/>
      <c r="AF288" s="220"/>
      <c r="AG288" s="220"/>
      <c r="AH288" s="220"/>
      <c r="AI288" s="220"/>
      <c r="AJ288" s="50"/>
      <c r="AK288" s="257"/>
      <c r="AL288" s="257"/>
      <c r="AM288" s="52"/>
      <c r="AN288" s="88"/>
    </row>
    <row r="289" spans="1:40" s="29" customFormat="1" ht="17.25" customHeight="1">
      <c r="A289" s="48"/>
      <c r="B289" s="49"/>
      <c r="C289" s="220"/>
      <c r="D289" s="220"/>
      <c r="E289" s="220"/>
      <c r="F289" s="220"/>
      <c r="G289" s="220"/>
      <c r="H289" s="220"/>
      <c r="I289" s="220"/>
      <c r="J289" s="220"/>
      <c r="K289" s="220"/>
      <c r="L289" s="220"/>
      <c r="M289" s="220"/>
      <c r="N289" s="220"/>
      <c r="O289" s="220"/>
      <c r="P289" s="220"/>
      <c r="Q289" s="220"/>
      <c r="R289" s="220"/>
      <c r="S289" s="220"/>
      <c r="T289" s="220"/>
      <c r="U289" s="220"/>
      <c r="V289" s="220"/>
      <c r="W289" s="220"/>
      <c r="X289" s="220"/>
      <c r="Y289" s="220"/>
      <c r="Z289" s="220"/>
      <c r="AA289" s="220"/>
      <c r="AB289" s="220"/>
      <c r="AC289" s="220"/>
      <c r="AD289" s="220"/>
      <c r="AE289" s="220"/>
      <c r="AF289" s="220"/>
      <c r="AG289" s="220"/>
      <c r="AH289" s="220"/>
      <c r="AI289" s="220"/>
      <c r="AJ289" s="50"/>
      <c r="AK289" s="257"/>
      <c r="AL289" s="257"/>
      <c r="AM289" s="52"/>
      <c r="AN289" s="88"/>
    </row>
    <row r="290" spans="1:40" s="29" customFormat="1" ht="17.25" customHeight="1">
      <c r="A290" s="48"/>
      <c r="B290" s="49"/>
      <c r="C290" s="220"/>
      <c r="D290" s="220"/>
      <c r="E290" s="220"/>
      <c r="F290" s="220"/>
      <c r="G290" s="220"/>
      <c r="H290" s="220"/>
      <c r="I290" s="220"/>
      <c r="J290" s="220"/>
      <c r="K290" s="220"/>
      <c r="L290" s="220"/>
      <c r="M290" s="220"/>
      <c r="N290" s="220"/>
      <c r="O290" s="220"/>
      <c r="P290" s="220"/>
      <c r="Q290" s="220"/>
      <c r="R290" s="220"/>
      <c r="S290" s="220"/>
      <c r="T290" s="220"/>
      <c r="U290" s="220"/>
      <c r="V290" s="220"/>
      <c r="W290" s="220"/>
      <c r="X290" s="220"/>
      <c r="Y290" s="220"/>
      <c r="Z290" s="220"/>
      <c r="AA290" s="220"/>
      <c r="AB290" s="220"/>
      <c r="AC290" s="220"/>
      <c r="AD290" s="220"/>
      <c r="AE290" s="220"/>
      <c r="AF290" s="220"/>
      <c r="AG290" s="220"/>
      <c r="AH290" s="220"/>
      <c r="AI290" s="220"/>
      <c r="AJ290" s="50"/>
      <c r="AK290" s="257"/>
      <c r="AL290" s="257"/>
      <c r="AM290" s="52"/>
      <c r="AN290" s="88"/>
    </row>
    <row r="291" spans="1:40" s="29" customFormat="1" ht="17.25" customHeight="1">
      <c r="A291" s="48"/>
      <c r="B291" s="49"/>
      <c r="C291" s="220"/>
      <c r="D291" s="220"/>
      <c r="E291" s="220"/>
      <c r="F291" s="220"/>
      <c r="G291" s="220"/>
      <c r="H291" s="220"/>
      <c r="I291" s="220"/>
      <c r="J291" s="220"/>
      <c r="K291" s="220"/>
      <c r="L291" s="220"/>
      <c r="M291" s="220"/>
      <c r="N291" s="220"/>
      <c r="O291" s="220"/>
      <c r="P291" s="220"/>
      <c r="Q291" s="220"/>
      <c r="R291" s="220"/>
      <c r="S291" s="220"/>
      <c r="T291" s="220"/>
      <c r="U291" s="220"/>
      <c r="V291" s="220"/>
      <c r="W291" s="220"/>
      <c r="X291" s="220"/>
      <c r="Y291" s="220"/>
      <c r="Z291" s="220"/>
      <c r="AA291" s="220"/>
      <c r="AB291" s="220"/>
      <c r="AC291" s="220"/>
      <c r="AD291" s="220"/>
      <c r="AE291" s="220"/>
      <c r="AF291" s="220"/>
      <c r="AG291" s="220"/>
      <c r="AH291" s="220"/>
      <c r="AI291" s="220"/>
      <c r="AJ291" s="50"/>
      <c r="AK291" s="257"/>
      <c r="AL291" s="257"/>
      <c r="AM291" s="52"/>
      <c r="AN291" s="88"/>
    </row>
    <row r="292" spans="1:40" s="29" customFormat="1" ht="17.25" customHeight="1">
      <c r="A292" s="48"/>
      <c r="B292" s="49"/>
      <c r="C292" s="220"/>
      <c r="D292" s="220"/>
      <c r="E292" s="220"/>
      <c r="F292" s="220"/>
      <c r="G292" s="220"/>
      <c r="H292" s="220"/>
      <c r="I292" s="220"/>
      <c r="J292" s="220"/>
      <c r="K292" s="220"/>
      <c r="L292" s="220"/>
      <c r="M292" s="220"/>
      <c r="N292" s="220"/>
      <c r="O292" s="220"/>
      <c r="P292" s="220"/>
      <c r="Q292" s="220"/>
      <c r="R292" s="220"/>
      <c r="S292" s="220"/>
      <c r="T292" s="220"/>
      <c r="U292" s="220"/>
      <c r="V292" s="220"/>
      <c r="W292" s="220"/>
      <c r="X292" s="220"/>
      <c r="Y292" s="220"/>
      <c r="Z292" s="220"/>
      <c r="AA292" s="220"/>
      <c r="AB292" s="220"/>
      <c r="AC292" s="220"/>
      <c r="AD292" s="220"/>
      <c r="AE292" s="220"/>
      <c r="AF292" s="220"/>
      <c r="AG292" s="220"/>
      <c r="AH292" s="220"/>
      <c r="AI292" s="220"/>
      <c r="AJ292" s="50"/>
      <c r="AK292" s="257"/>
      <c r="AL292" s="257"/>
      <c r="AM292" s="52"/>
      <c r="AN292" s="88"/>
    </row>
    <row r="293" spans="1:40" s="29" customFormat="1" ht="17.25" customHeight="1">
      <c r="A293" s="48"/>
      <c r="B293" s="49"/>
      <c r="C293" s="220"/>
      <c r="D293" s="220"/>
      <c r="E293" s="220"/>
      <c r="F293" s="220"/>
      <c r="G293" s="220"/>
      <c r="H293" s="220"/>
      <c r="I293" s="220"/>
      <c r="J293" s="220"/>
      <c r="K293" s="220"/>
      <c r="L293" s="220"/>
      <c r="M293" s="220"/>
      <c r="N293" s="220"/>
      <c r="O293" s="220"/>
      <c r="P293" s="220"/>
      <c r="Q293" s="220"/>
      <c r="R293" s="220"/>
      <c r="S293" s="220"/>
      <c r="T293" s="220"/>
      <c r="U293" s="220"/>
      <c r="V293" s="220"/>
      <c r="W293" s="220"/>
      <c r="X293" s="220"/>
      <c r="Y293" s="220"/>
      <c r="Z293" s="220"/>
      <c r="AA293" s="220"/>
      <c r="AB293" s="220"/>
      <c r="AC293" s="220"/>
      <c r="AD293" s="220"/>
      <c r="AE293" s="220"/>
      <c r="AF293" s="220"/>
      <c r="AG293" s="220"/>
      <c r="AH293" s="220"/>
      <c r="AI293" s="220"/>
      <c r="AJ293" s="50"/>
      <c r="AK293" s="257"/>
      <c r="AL293" s="257"/>
      <c r="AM293" s="52"/>
      <c r="AN293" s="88"/>
    </row>
    <row r="294" spans="1:40" s="29" customFormat="1" ht="17.25" customHeight="1">
      <c r="A294" s="48"/>
      <c r="B294" s="49"/>
      <c r="C294" s="220"/>
      <c r="D294" s="220"/>
      <c r="E294" s="220"/>
      <c r="F294" s="220"/>
      <c r="G294" s="220"/>
      <c r="H294" s="220"/>
      <c r="I294" s="220"/>
      <c r="J294" s="220"/>
      <c r="K294" s="220"/>
      <c r="L294" s="220"/>
      <c r="M294" s="220"/>
      <c r="N294" s="220"/>
      <c r="O294" s="220"/>
      <c r="P294" s="220"/>
      <c r="Q294" s="220"/>
      <c r="R294" s="220"/>
      <c r="S294" s="220"/>
      <c r="T294" s="220"/>
      <c r="U294" s="220"/>
      <c r="V294" s="220"/>
      <c r="W294" s="220"/>
      <c r="X294" s="220"/>
      <c r="Y294" s="220"/>
      <c r="Z294" s="220"/>
      <c r="AA294" s="220"/>
      <c r="AB294" s="220"/>
      <c r="AC294" s="220"/>
      <c r="AD294" s="220"/>
      <c r="AE294" s="220"/>
      <c r="AF294" s="220"/>
      <c r="AG294" s="220"/>
      <c r="AH294" s="220"/>
      <c r="AI294" s="220"/>
      <c r="AJ294" s="50"/>
      <c r="AK294" s="257"/>
      <c r="AL294" s="257"/>
      <c r="AM294" s="52"/>
      <c r="AN294" s="88"/>
    </row>
    <row r="295" spans="1:40" s="29" customFormat="1" ht="17.25" customHeight="1">
      <c r="A295" s="48"/>
      <c r="B295" s="49"/>
      <c r="C295" s="220"/>
      <c r="D295" s="220"/>
      <c r="E295" s="220"/>
      <c r="F295" s="220"/>
      <c r="G295" s="220"/>
      <c r="H295" s="220"/>
      <c r="I295" s="220"/>
      <c r="J295" s="220"/>
      <c r="K295" s="220"/>
      <c r="L295" s="220"/>
      <c r="M295" s="220"/>
      <c r="N295" s="220"/>
      <c r="O295" s="220"/>
      <c r="P295" s="220"/>
      <c r="Q295" s="220"/>
      <c r="R295" s="220"/>
      <c r="S295" s="220"/>
      <c r="T295" s="220"/>
      <c r="U295" s="220"/>
      <c r="V295" s="220"/>
      <c r="W295" s="220"/>
      <c r="X295" s="220"/>
      <c r="Y295" s="220"/>
      <c r="Z295" s="220"/>
      <c r="AA295" s="220"/>
      <c r="AB295" s="220"/>
      <c r="AC295" s="220"/>
      <c r="AD295" s="220"/>
      <c r="AE295" s="220"/>
      <c r="AF295" s="220"/>
      <c r="AG295" s="220"/>
      <c r="AH295" s="220"/>
      <c r="AI295" s="220"/>
      <c r="AJ295" s="50"/>
      <c r="AK295" s="257"/>
      <c r="AL295" s="257"/>
      <c r="AM295" s="52"/>
      <c r="AN295" s="88"/>
    </row>
    <row r="296" spans="1:40" s="29" customFormat="1" ht="17.25" customHeight="1">
      <c r="A296" s="48"/>
      <c r="B296" s="49"/>
      <c r="C296" s="220"/>
      <c r="D296" s="220"/>
      <c r="E296" s="220"/>
      <c r="F296" s="220"/>
      <c r="G296" s="220"/>
      <c r="H296" s="220"/>
      <c r="I296" s="220"/>
      <c r="J296" s="220"/>
      <c r="K296" s="220"/>
      <c r="L296" s="220"/>
      <c r="M296" s="220"/>
      <c r="N296" s="220"/>
      <c r="O296" s="220"/>
      <c r="P296" s="220"/>
      <c r="Q296" s="220"/>
      <c r="R296" s="220"/>
      <c r="S296" s="220"/>
      <c r="T296" s="220"/>
      <c r="U296" s="220"/>
      <c r="V296" s="220"/>
      <c r="W296" s="220"/>
      <c r="X296" s="220"/>
      <c r="Y296" s="220"/>
      <c r="Z296" s="220"/>
      <c r="AA296" s="220"/>
      <c r="AB296" s="220"/>
      <c r="AC296" s="220"/>
      <c r="AD296" s="220"/>
      <c r="AE296" s="220"/>
      <c r="AF296" s="220"/>
      <c r="AG296" s="220"/>
      <c r="AH296" s="220"/>
      <c r="AI296" s="220"/>
      <c r="AJ296" s="50"/>
      <c r="AK296" s="257"/>
      <c r="AL296" s="257"/>
      <c r="AM296" s="52"/>
      <c r="AN296" s="88"/>
    </row>
    <row r="297" spans="1:40" s="29" customFormat="1" ht="17.25" customHeight="1">
      <c r="A297" s="48"/>
      <c r="B297" s="49"/>
      <c r="C297" s="220"/>
      <c r="D297" s="220"/>
      <c r="E297" s="220"/>
      <c r="F297" s="220"/>
      <c r="G297" s="220"/>
      <c r="H297" s="220"/>
      <c r="I297" s="220"/>
      <c r="J297" s="220"/>
      <c r="K297" s="220"/>
      <c r="L297" s="220"/>
      <c r="M297" s="220"/>
      <c r="N297" s="220"/>
      <c r="O297" s="220"/>
      <c r="P297" s="220"/>
      <c r="Q297" s="220"/>
      <c r="R297" s="220"/>
      <c r="S297" s="220"/>
      <c r="T297" s="220"/>
      <c r="U297" s="220"/>
      <c r="V297" s="220"/>
      <c r="W297" s="220"/>
      <c r="X297" s="220"/>
      <c r="Y297" s="220"/>
      <c r="Z297" s="220"/>
      <c r="AA297" s="220"/>
      <c r="AB297" s="220"/>
      <c r="AC297" s="220"/>
      <c r="AD297" s="220"/>
      <c r="AE297" s="220"/>
      <c r="AF297" s="220"/>
      <c r="AG297" s="220"/>
      <c r="AH297" s="220"/>
      <c r="AI297" s="220"/>
      <c r="AJ297" s="50"/>
      <c r="AK297" s="257"/>
      <c r="AL297" s="257"/>
      <c r="AM297" s="52"/>
      <c r="AN297" s="88"/>
    </row>
    <row r="298" spans="1:40" s="29" customFormat="1" ht="17.25" customHeight="1">
      <c r="A298" s="48"/>
      <c r="B298" s="49"/>
      <c r="C298" s="220"/>
      <c r="D298" s="220"/>
      <c r="E298" s="220"/>
      <c r="F298" s="220"/>
      <c r="G298" s="220"/>
      <c r="H298" s="220"/>
      <c r="I298" s="220"/>
      <c r="J298" s="220"/>
      <c r="K298" s="220"/>
      <c r="L298" s="220"/>
      <c r="M298" s="220"/>
      <c r="N298" s="220"/>
      <c r="O298" s="220"/>
      <c r="P298" s="220"/>
      <c r="Q298" s="220"/>
      <c r="R298" s="220"/>
      <c r="S298" s="220"/>
      <c r="T298" s="220"/>
      <c r="U298" s="220"/>
      <c r="V298" s="220"/>
      <c r="W298" s="220"/>
      <c r="X298" s="220"/>
      <c r="Y298" s="220"/>
      <c r="Z298" s="220"/>
      <c r="AA298" s="220"/>
      <c r="AB298" s="220"/>
      <c r="AC298" s="220"/>
      <c r="AD298" s="220"/>
      <c r="AE298" s="220"/>
      <c r="AF298" s="220"/>
      <c r="AG298" s="220"/>
      <c r="AH298" s="220"/>
      <c r="AI298" s="220"/>
      <c r="AJ298" s="50"/>
      <c r="AK298" s="257"/>
      <c r="AL298" s="257"/>
      <c r="AM298" s="52"/>
      <c r="AN298" s="88"/>
    </row>
    <row r="299" spans="1:40" s="29" customFormat="1" ht="17.25" customHeight="1">
      <c r="A299" s="48"/>
      <c r="B299" s="49"/>
      <c r="C299" s="220"/>
      <c r="D299" s="220"/>
      <c r="E299" s="220"/>
      <c r="F299" s="220"/>
      <c r="G299" s="220"/>
      <c r="H299" s="220"/>
      <c r="I299" s="220"/>
      <c r="J299" s="220"/>
      <c r="K299" s="220"/>
      <c r="L299" s="220"/>
      <c r="M299" s="220"/>
      <c r="N299" s="220"/>
      <c r="O299" s="220"/>
      <c r="P299" s="220"/>
      <c r="Q299" s="220"/>
      <c r="R299" s="220"/>
      <c r="S299" s="220"/>
      <c r="T299" s="220"/>
      <c r="U299" s="220"/>
      <c r="V299" s="220"/>
      <c r="W299" s="220"/>
      <c r="X299" s="220"/>
      <c r="Y299" s="220"/>
      <c r="Z299" s="220"/>
      <c r="AA299" s="220"/>
      <c r="AB299" s="220"/>
      <c r="AC299" s="220"/>
      <c r="AD299" s="220"/>
      <c r="AE299" s="220"/>
      <c r="AF299" s="220"/>
      <c r="AG299" s="220"/>
      <c r="AH299" s="220"/>
      <c r="AI299" s="220"/>
      <c r="AJ299" s="50"/>
      <c r="AK299" s="257"/>
      <c r="AL299" s="257"/>
      <c r="AM299" s="52"/>
      <c r="AN299" s="88"/>
    </row>
    <row r="300" spans="1:40" s="29" customFormat="1" ht="17.25" customHeight="1">
      <c r="A300" s="48"/>
      <c r="B300" s="49"/>
      <c r="C300" s="220"/>
      <c r="D300" s="220"/>
      <c r="E300" s="220"/>
      <c r="F300" s="220"/>
      <c r="G300" s="220"/>
      <c r="H300" s="220"/>
      <c r="I300" s="220"/>
      <c r="J300" s="220"/>
      <c r="K300" s="220"/>
      <c r="L300" s="220"/>
      <c r="M300" s="220"/>
      <c r="N300" s="220"/>
      <c r="O300" s="220"/>
      <c r="P300" s="220"/>
      <c r="Q300" s="220"/>
      <c r="R300" s="220"/>
      <c r="S300" s="220"/>
      <c r="T300" s="220"/>
      <c r="U300" s="220"/>
      <c r="V300" s="220"/>
      <c r="W300" s="220"/>
      <c r="X300" s="220"/>
      <c r="Y300" s="220"/>
      <c r="Z300" s="220"/>
      <c r="AA300" s="220"/>
      <c r="AB300" s="220"/>
      <c r="AC300" s="220"/>
      <c r="AD300" s="220"/>
      <c r="AE300" s="220"/>
      <c r="AF300" s="220"/>
      <c r="AG300" s="220"/>
      <c r="AH300" s="220"/>
      <c r="AI300" s="220"/>
      <c r="AJ300" s="50"/>
      <c r="AK300" s="257"/>
      <c r="AL300" s="257"/>
      <c r="AM300" s="52"/>
      <c r="AN300" s="88"/>
    </row>
    <row r="301" spans="1:40" s="29" customFormat="1" ht="17.25" customHeight="1">
      <c r="A301" s="48"/>
      <c r="B301" s="49"/>
      <c r="C301" s="220"/>
      <c r="D301" s="220"/>
      <c r="E301" s="220"/>
      <c r="F301" s="220"/>
      <c r="G301" s="220"/>
      <c r="H301" s="220"/>
      <c r="I301" s="220"/>
      <c r="J301" s="220"/>
      <c r="K301" s="220"/>
      <c r="L301" s="220"/>
      <c r="M301" s="220"/>
      <c r="N301" s="220"/>
      <c r="O301" s="220"/>
      <c r="P301" s="220"/>
      <c r="Q301" s="220"/>
      <c r="R301" s="220"/>
      <c r="S301" s="220"/>
      <c r="T301" s="220"/>
      <c r="U301" s="220"/>
      <c r="V301" s="220"/>
      <c r="W301" s="220"/>
      <c r="X301" s="220"/>
      <c r="Y301" s="220"/>
      <c r="Z301" s="220"/>
      <c r="AA301" s="220"/>
      <c r="AB301" s="220"/>
      <c r="AC301" s="220"/>
      <c r="AD301" s="220"/>
      <c r="AE301" s="220"/>
      <c r="AF301" s="220"/>
      <c r="AG301" s="220"/>
      <c r="AH301" s="220"/>
      <c r="AI301" s="220"/>
      <c r="AJ301" s="50"/>
      <c r="AK301" s="257"/>
      <c r="AL301" s="257"/>
      <c r="AM301" s="52"/>
      <c r="AN301" s="88"/>
    </row>
    <row r="302" spans="1:40" s="29" customFormat="1" ht="17.25" customHeight="1">
      <c r="A302" s="48"/>
      <c r="B302" s="49"/>
      <c r="C302" s="220"/>
      <c r="D302" s="220"/>
      <c r="E302" s="220"/>
      <c r="F302" s="220"/>
      <c r="G302" s="220"/>
      <c r="H302" s="220"/>
      <c r="I302" s="220"/>
      <c r="J302" s="220"/>
      <c r="K302" s="220"/>
      <c r="L302" s="220"/>
      <c r="M302" s="220"/>
      <c r="N302" s="220"/>
      <c r="O302" s="220"/>
      <c r="P302" s="220"/>
      <c r="Q302" s="220"/>
      <c r="R302" s="220"/>
      <c r="S302" s="220"/>
      <c r="T302" s="220"/>
      <c r="U302" s="220"/>
      <c r="V302" s="220"/>
      <c r="W302" s="220"/>
      <c r="X302" s="220"/>
      <c r="Y302" s="220"/>
      <c r="Z302" s="220"/>
      <c r="AA302" s="220"/>
      <c r="AB302" s="220"/>
      <c r="AC302" s="220"/>
      <c r="AD302" s="220"/>
      <c r="AE302" s="220"/>
      <c r="AF302" s="220"/>
      <c r="AG302" s="220"/>
      <c r="AH302" s="220"/>
      <c r="AI302" s="220"/>
      <c r="AJ302" s="50"/>
      <c r="AK302" s="257"/>
      <c r="AL302" s="257"/>
      <c r="AM302" s="52"/>
      <c r="AN302" s="88"/>
    </row>
    <row r="303" spans="1:40" s="29" customFormat="1" ht="17.25" customHeight="1">
      <c r="A303" s="48"/>
      <c r="B303" s="49"/>
      <c r="C303" s="220"/>
      <c r="D303" s="220"/>
      <c r="E303" s="220"/>
      <c r="F303" s="220"/>
      <c r="G303" s="220"/>
      <c r="H303" s="220"/>
      <c r="I303" s="220"/>
      <c r="J303" s="220"/>
      <c r="K303" s="220"/>
      <c r="L303" s="220"/>
      <c r="M303" s="220"/>
      <c r="N303" s="220"/>
      <c r="O303" s="220"/>
      <c r="P303" s="220"/>
      <c r="Q303" s="220"/>
      <c r="R303" s="220"/>
      <c r="S303" s="220"/>
      <c r="T303" s="220"/>
      <c r="U303" s="220"/>
      <c r="V303" s="220"/>
      <c r="W303" s="220"/>
      <c r="X303" s="220"/>
      <c r="Y303" s="220"/>
      <c r="Z303" s="220"/>
      <c r="AA303" s="220"/>
      <c r="AB303" s="220"/>
      <c r="AC303" s="220"/>
      <c r="AD303" s="220"/>
      <c r="AE303" s="220"/>
      <c r="AF303" s="220"/>
      <c r="AG303" s="220"/>
      <c r="AH303" s="220"/>
      <c r="AI303" s="220"/>
      <c r="AJ303" s="50"/>
      <c r="AK303" s="257"/>
      <c r="AL303" s="257"/>
      <c r="AM303" s="52"/>
      <c r="AN303" s="88"/>
    </row>
    <row r="304" spans="1:40" s="29" customFormat="1" ht="17.25" customHeight="1">
      <c r="A304" s="48"/>
      <c r="B304" s="49"/>
      <c r="C304" s="220"/>
      <c r="D304" s="220"/>
      <c r="E304" s="220"/>
      <c r="F304" s="220"/>
      <c r="G304" s="220"/>
      <c r="H304" s="220"/>
      <c r="I304" s="220"/>
      <c r="J304" s="220"/>
      <c r="K304" s="220"/>
      <c r="L304" s="220"/>
      <c r="M304" s="220"/>
      <c r="N304" s="220"/>
      <c r="O304" s="220"/>
      <c r="P304" s="220"/>
      <c r="Q304" s="220"/>
      <c r="R304" s="220"/>
      <c r="S304" s="220"/>
      <c r="T304" s="220"/>
      <c r="U304" s="220"/>
      <c r="V304" s="220"/>
      <c r="W304" s="220"/>
      <c r="X304" s="220"/>
      <c r="Y304" s="220"/>
      <c r="Z304" s="220"/>
      <c r="AA304" s="220"/>
      <c r="AB304" s="220"/>
      <c r="AC304" s="220"/>
      <c r="AD304" s="220"/>
      <c r="AE304" s="220"/>
      <c r="AF304" s="220"/>
      <c r="AG304" s="220"/>
      <c r="AH304" s="220"/>
      <c r="AI304" s="220"/>
      <c r="AJ304" s="50"/>
      <c r="AK304" s="257"/>
      <c r="AL304" s="257"/>
      <c r="AM304" s="52"/>
      <c r="AN304" s="88"/>
    </row>
    <row r="305" spans="1:40" s="29" customFormat="1" ht="17.25" customHeight="1">
      <c r="A305" s="48"/>
      <c r="B305" s="49"/>
      <c r="C305" s="220"/>
      <c r="D305" s="220"/>
      <c r="E305" s="220"/>
      <c r="F305" s="220"/>
      <c r="G305" s="220"/>
      <c r="H305" s="220"/>
      <c r="I305" s="220"/>
      <c r="J305" s="220"/>
      <c r="K305" s="220"/>
      <c r="L305" s="220"/>
      <c r="M305" s="220"/>
      <c r="N305" s="220"/>
      <c r="O305" s="220"/>
      <c r="P305" s="220"/>
      <c r="Q305" s="220"/>
      <c r="R305" s="220"/>
      <c r="S305" s="220"/>
      <c r="T305" s="220"/>
      <c r="U305" s="220"/>
      <c r="V305" s="220"/>
      <c r="W305" s="220"/>
      <c r="X305" s="220"/>
      <c r="Y305" s="220"/>
      <c r="Z305" s="220"/>
      <c r="AA305" s="220"/>
      <c r="AB305" s="220"/>
      <c r="AC305" s="220"/>
      <c r="AD305" s="220"/>
      <c r="AE305" s="220"/>
      <c r="AF305" s="220"/>
      <c r="AG305" s="220"/>
      <c r="AH305" s="220"/>
      <c r="AI305" s="220"/>
      <c r="AJ305" s="50"/>
      <c r="AK305" s="257"/>
      <c r="AL305" s="257"/>
      <c r="AM305" s="52"/>
      <c r="AN305" s="88"/>
    </row>
    <row r="306" spans="1:40" s="29" customFormat="1" ht="17.25" customHeight="1">
      <c r="A306" s="48"/>
      <c r="B306" s="49"/>
      <c r="C306" s="220"/>
      <c r="D306" s="220"/>
      <c r="E306" s="220"/>
      <c r="F306" s="220"/>
      <c r="G306" s="220"/>
      <c r="H306" s="220"/>
      <c r="I306" s="220"/>
      <c r="J306" s="220"/>
      <c r="K306" s="220"/>
      <c r="L306" s="220"/>
      <c r="M306" s="220"/>
      <c r="N306" s="220"/>
      <c r="O306" s="220"/>
      <c r="P306" s="220"/>
      <c r="Q306" s="220"/>
      <c r="R306" s="220"/>
      <c r="S306" s="220"/>
      <c r="T306" s="220"/>
      <c r="U306" s="220"/>
      <c r="V306" s="220"/>
      <c r="W306" s="220"/>
      <c r="X306" s="220"/>
      <c r="Y306" s="220"/>
      <c r="Z306" s="220"/>
      <c r="AA306" s="220"/>
      <c r="AB306" s="220"/>
      <c r="AC306" s="220"/>
      <c r="AD306" s="220"/>
      <c r="AE306" s="220"/>
      <c r="AF306" s="220"/>
      <c r="AG306" s="220"/>
      <c r="AH306" s="220"/>
      <c r="AI306" s="220"/>
      <c r="AJ306" s="50"/>
      <c r="AK306" s="257"/>
      <c r="AL306" s="257"/>
      <c r="AM306" s="52"/>
      <c r="AN306" s="88"/>
    </row>
    <row r="307" spans="1:40" s="29" customFormat="1" ht="17.25" customHeight="1">
      <c r="A307" s="48"/>
      <c r="B307" s="49"/>
      <c r="C307" s="220"/>
      <c r="D307" s="220"/>
      <c r="E307" s="220"/>
      <c r="F307" s="220"/>
      <c r="G307" s="220"/>
      <c r="H307" s="220"/>
      <c r="I307" s="220"/>
      <c r="J307" s="220"/>
      <c r="K307" s="220"/>
      <c r="L307" s="220"/>
      <c r="M307" s="220"/>
      <c r="N307" s="220"/>
      <c r="O307" s="220"/>
      <c r="P307" s="220"/>
      <c r="Q307" s="220"/>
      <c r="R307" s="220"/>
      <c r="S307" s="220"/>
      <c r="T307" s="220"/>
      <c r="U307" s="220"/>
      <c r="V307" s="220"/>
      <c r="W307" s="220"/>
      <c r="X307" s="220"/>
      <c r="Y307" s="220"/>
      <c r="Z307" s="220"/>
      <c r="AA307" s="220"/>
      <c r="AB307" s="220"/>
      <c r="AC307" s="220"/>
      <c r="AD307" s="220"/>
      <c r="AE307" s="220"/>
      <c r="AF307" s="220"/>
      <c r="AG307" s="220"/>
      <c r="AH307" s="220"/>
      <c r="AI307" s="220"/>
      <c r="AJ307" s="50"/>
      <c r="AK307" s="257"/>
      <c r="AL307" s="257"/>
      <c r="AM307" s="52"/>
      <c r="AN307" s="88"/>
    </row>
    <row r="308" spans="1:40" s="29" customFormat="1" ht="17.25" customHeight="1">
      <c r="A308" s="48"/>
      <c r="B308" s="49"/>
      <c r="C308" s="220"/>
      <c r="D308" s="220"/>
      <c r="E308" s="220"/>
      <c r="F308" s="220"/>
      <c r="G308" s="220"/>
      <c r="H308" s="220"/>
      <c r="I308" s="220"/>
      <c r="J308" s="220"/>
      <c r="K308" s="220"/>
      <c r="L308" s="220"/>
      <c r="M308" s="220"/>
      <c r="N308" s="220"/>
      <c r="O308" s="220"/>
      <c r="P308" s="220"/>
      <c r="Q308" s="220"/>
      <c r="R308" s="220"/>
      <c r="S308" s="220"/>
      <c r="T308" s="220"/>
      <c r="U308" s="220"/>
      <c r="V308" s="220"/>
      <c r="W308" s="220"/>
      <c r="X308" s="220"/>
      <c r="Y308" s="220"/>
      <c r="Z308" s="220"/>
      <c r="AA308" s="220"/>
      <c r="AB308" s="220"/>
      <c r="AC308" s="220"/>
      <c r="AD308" s="220"/>
      <c r="AE308" s="220"/>
      <c r="AF308" s="220"/>
      <c r="AG308" s="220"/>
      <c r="AH308" s="220"/>
      <c r="AI308" s="220"/>
      <c r="AJ308" s="50"/>
      <c r="AK308" s="257"/>
      <c r="AL308" s="257"/>
      <c r="AM308" s="52"/>
      <c r="AN308" s="88"/>
    </row>
    <row r="309" spans="1:40" s="29" customFormat="1" ht="17.25" customHeight="1">
      <c r="A309" s="48"/>
      <c r="B309" s="49"/>
      <c r="C309" s="220"/>
      <c r="D309" s="220"/>
      <c r="E309" s="220"/>
      <c r="F309" s="220"/>
      <c r="G309" s="220"/>
      <c r="H309" s="220"/>
      <c r="I309" s="220"/>
      <c r="J309" s="220"/>
      <c r="K309" s="220"/>
      <c r="L309" s="220"/>
      <c r="M309" s="220"/>
      <c r="N309" s="220"/>
      <c r="O309" s="220"/>
      <c r="P309" s="220"/>
      <c r="Q309" s="220"/>
      <c r="R309" s="220"/>
      <c r="S309" s="220"/>
      <c r="T309" s="220"/>
      <c r="U309" s="220"/>
      <c r="V309" s="220"/>
      <c r="W309" s="220"/>
      <c r="X309" s="220"/>
      <c r="Y309" s="220"/>
      <c r="Z309" s="220"/>
      <c r="AA309" s="220"/>
      <c r="AB309" s="220"/>
      <c r="AC309" s="220"/>
      <c r="AD309" s="220"/>
      <c r="AE309" s="220"/>
      <c r="AF309" s="220"/>
      <c r="AG309" s="220"/>
      <c r="AH309" s="220"/>
      <c r="AI309" s="220"/>
      <c r="AJ309" s="50"/>
      <c r="AK309" s="257"/>
      <c r="AL309" s="257"/>
      <c r="AM309" s="52"/>
      <c r="AN309" s="88"/>
    </row>
    <row r="310" spans="1:40" s="29" customFormat="1" ht="17.25" customHeight="1">
      <c r="A310" s="48"/>
      <c r="B310" s="49"/>
      <c r="C310" s="220"/>
      <c r="D310" s="220"/>
      <c r="E310" s="220"/>
      <c r="F310" s="220"/>
      <c r="G310" s="220"/>
      <c r="H310" s="220"/>
      <c r="I310" s="220"/>
      <c r="J310" s="220"/>
      <c r="K310" s="220"/>
      <c r="L310" s="220"/>
      <c r="M310" s="220"/>
      <c r="N310" s="220"/>
      <c r="O310" s="220"/>
      <c r="P310" s="220"/>
      <c r="Q310" s="220"/>
      <c r="R310" s="220"/>
      <c r="S310" s="220"/>
      <c r="T310" s="220"/>
      <c r="U310" s="220"/>
      <c r="V310" s="220"/>
      <c r="W310" s="220"/>
      <c r="X310" s="220"/>
      <c r="Y310" s="220"/>
      <c r="Z310" s="220"/>
      <c r="AA310" s="220"/>
      <c r="AB310" s="220"/>
      <c r="AC310" s="220"/>
      <c r="AD310" s="220"/>
      <c r="AE310" s="220"/>
      <c r="AF310" s="220"/>
      <c r="AG310" s="220"/>
      <c r="AH310" s="220"/>
      <c r="AI310" s="220"/>
      <c r="AJ310" s="50"/>
      <c r="AK310" s="257"/>
      <c r="AL310" s="257"/>
      <c r="AM310" s="52"/>
      <c r="AN310" s="88"/>
    </row>
    <row r="311" spans="1:40" s="29" customFormat="1" ht="17.25" customHeight="1">
      <c r="A311" s="48"/>
      <c r="B311" s="49"/>
      <c r="C311" s="220"/>
      <c r="D311" s="220"/>
      <c r="E311" s="220"/>
      <c r="F311" s="220"/>
      <c r="G311" s="220"/>
      <c r="H311" s="220"/>
      <c r="I311" s="220"/>
      <c r="J311" s="220"/>
      <c r="K311" s="220"/>
      <c r="L311" s="220"/>
      <c r="M311" s="220"/>
      <c r="N311" s="220"/>
      <c r="O311" s="220"/>
      <c r="P311" s="220"/>
      <c r="Q311" s="220"/>
      <c r="R311" s="220"/>
      <c r="S311" s="220"/>
      <c r="T311" s="220"/>
      <c r="U311" s="220"/>
      <c r="V311" s="220"/>
      <c r="W311" s="220"/>
      <c r="X311" s="220"/>
      <c r="Y311" s="220"/>
      <c r="Z311" s="220"/>
      <c r="AA311" s="220"/>
      <c r="AB311" s="220"/>
      <c r="AC311" s="220"/>
      <c r="AD311" s="220"/>
      <c r="AE311" s="220"/>
      <c r="AF311" s="220"/>
      <c r="AG311" s="220"/>
      <c r="AH311" s="220"/>
      <c r="AI311" s="220"/>
      <c r="AJ311" s="50"/>
      <c r="AK311" s="257"/>
      <c r="AL311" s="257"/>
      <c r="AM311" s="52"/>
      <c r="AN311" s="88"/>
    </row>
    <row r="312" spans="1:40" s="29" customFormat="1" ht="17.25" customHeight="1">
      <c r="A312" s="48"/>
      <c r="B312" s="49"/>
      <c r="C312" s="220"/>
      <c r="D312" s="220"/>
      <c r="E312" s="220"/>
      <c r="F312" s="220"/>
      <c r="G312" s="220"/>
      <c r="H312" s="220"/>
      <c r="I312" s="220"/>
      <c r="J312" s="220"/>
      <c r="K312" s="220"/>
      <c r="L312" s="220"/>
      <c r="M312" s="220"/>
      <c r="N312" s="220"/>
      <c r="O312" s="220"/>
      <c r="P312" s="220"/>
      <c r="Q312" s="220"/>
      <c r="R312" s="220"/>
      <c r="S312" s="220"/>
      <c r="T312" s="220"/>
      <c r="U312" s="220"/>
      <c r="V312" s="220"/>
      <c r="W312" s="220"/>
      <c r="X312" s="220"/>
      <c r="Y312" s="220"/>
      <c r="Z312" s="220"/>
      <c r="AA312" s="220"/>
      <c r="AB312" s="220"/>
      <c r="AC312" s="220"/>
      <c r="AD312" s="220"/>
      <c r="AE312" s="220"/>
      <c r="AF312" s="220"/>
      <c r="AG312" s="220"/>
      <c r="AH312" s="220"/>
      <c r="AI312" s="220"/>
      <c r="AJ312" s="50"/>
      <c r="AK312" s="257"/>
      <c r="AL312" s="257"/>
      <c r="AM312" s="52"/>
      <c r="AN312" s="88"/>
    </row>
    <row r="313" spans="1:40" s="29" customFormat="1" ht="17.25" customHeight="1">
      <c r="A313" s="48"/>
      <c r="B313" s="49"/>
      <c r="C313" s="220"/>
      <c r="D313" s="220"/>
      <c r="E313" s="220"/>
      <c r="F313" s="220"/>
      <c r="G313" s="220"/>
      <c r="H313" s="220"/>
      <c r="I313" s="220"/>
      <c r="J313" s="220"/>
      <c r="K313" s="220"/>
      <c r="L313" s="220"/>
      <c r="M313" s="220"/>
      <c r="N313" s="220"/>
      <c r="O313" s="220"/>
      <c r="P313" s="220"/>
      <c r="Q313" s="220"/>
      <c r="R313" s="220"/>
      <c r="S313" s="220"/>
      <c r="T313" s="220"/>
      <c r="U313" s="220"/>
      <c r="V313" s="220"/>
      <c r="W313" s="220"/>
      <c r="X313" s="220"/>
      <c r="Y313" s="220"/>
      <c r="Z313" s="220"/>
      <c r="AA313" s="220"/>
      <c r="AB313" s="220"/>
      <c r="AC313" s="220"/>
      <c r="AD313" s="220"/>
      <c r="AE313" s="220"/>
      <c r="AF313" s="220"/>
      <c r="AG313" s="220"/>
      <c r="AH313" s="220"/>
      <c r="AI313" s="220"/>
      <c r="AJ313" s="50"/>
      <c r="AK313" s="257"/>
      <c r="AL313" s="257"/>
      <c r="AM313" s="52"/>
      <c r="AN313" s="88"/>
    </row>
    <row r="314" spans="1:40" s="29" customFormat="1" ht="17.25" customHeight="1">
      <c r="A314" s="48"/>
      <c r="B314" s="49"/>
      <c r="C314" s="220"/>
      <c r="D314" s="220"/>
      <c r="E314" s="220"/>
      <c r="F314" s="220"/>
      <c r="G314" s="220"/>
      <c r="H314" s="220"/>
      <c r="I314" s="220"/>
      <c r="J314" s="220"/>
      <c r="K314" s="220"/>
      <c r="L314" s="220"/>
      <c r="M314" s="220"/>
      <c r="N314" s="220"/>
      <c r="O314" s="220"/>
      <c r="P314" s="220"/>
      <c r="Q314" s="220"/>
      <c r="R314" s="220"/>
      <c r="S314" s="220"/>
      <c r="T314" s="220"/>
      <c r="U314" s="220"/>
      <c r="V314" s="220"/>
      <c r="W314" s="220"/>
      <c r="X314" s="220"/>
      <c r="Y314" s="220"/>
      <c r="Z314" s="220"/>
      <c r="AA314" s="220"/>
      <c r="AB314" s="220"/>
      <c r="AC314" s="220"/>
      <c r="AD314" s="220"/>
      <c r="AE314" s="220"/>
      <c r="AF314" s="220"/>
      <c r="AG314" s="220"/>
      <c r="AH314" s="220"/>
      <c r="AI314" s="220"/>
      <c r="AJ314" s="50"/>
      <c r="AK314" s="257"/>
      <c r="AL314" s="257"/>
      <c r="AM314" s="52"/>
      <c r="AN314" s="88"/>
    </row>
    <row r="315" spans="1:40" s="29" customFormat="1" ht="17.25" customHeight="1">
      <c r="A315" s="48"/>
      <c r="B315" s="49"/>
      <c r="C315" s="220"/>
      <c r="D315" s="220"/>
      <c r="E315" s="220"/>
      <c r="F315" s="220"/>
      <c r="G315" s="220"/>
      <c r="H315" s="220"/>
      <c r="I315" s="220"/>
      <c r="J315" s="220"/>
      <c r="K315" s="220"/>
      <c r="L315" s="220"/>
      <c r="M315" s="220"/>
      <c r="N315" s="220"/>
      <c r="O315" s="220"/>
      <c r="P315" s="220"/>
      <c r="Q315" s="220"/>
      <c r="R315" s="220"/>
      <c r="S315" s="220"/>
      <c r="T315" s="220"/>
      <c r="U315" s="220"/>
      <c r="V315" s="220"/>
      <c r="W315" s="220"/>
      <c r="X315" s="220"/>
      <c r="Y315" s="220"/>
      <c r="Z315" s="220"/>
      <c r="AA315" s="220"/>
      <c r="AB315" s="220"/>
      <c r="AC315" s="220"/>
      <c r="AD315" s="220"/>
      <c r="AE315" s="220"/>
      <c r="AF315" s="220"/>
      <c r="AG315" s="220"/>
      <c r="AH315" s="220"/>
      <c r="AI315" s="220"/>
      <c r="AJ315" s="50"/>
      <c r="AK315" s="257"/>
      <c r="AL315" s="257"/>
      <c r="AM315" s="52"/>
      <c r="AN315" s="88"/>
    </row>
    <row r="316" spans="1:40" s="29" customFormat="1" ht="17.25" customHeight="1">
      <c r="A316" s="48"/>
      <c r="B316" s="49"/>
      <c r="C316" s="220"/>
      <c r="D316" s="220"/>
      <c r="E316" s="220"/>
      <c r="F316" s="220"/>
      <c r="G316" s="220"/>
      <c r="H316" s="220"/>
      <c r="I316" s="220"/>
      <c r="J316" s="220"/>
      <c r="K316" s="220"/>
      <c r="L316" s="220"/>
      <c r="M316" s="220"/>
      <c r="N316" s="220"/>
      <c r="O316" s="220"/>
      <c r="P316" s="220"/>
      <c r="Q316" s="220"/>
      <c r="R316" s="220"/>
      <c r="S316" s="220"/>
      <c r="T316" s="220"/>
      <c r="U316" s="220"/>
      <c r="V316" s="220"/>
      <c r="W316" s="220"/>
      <c r="X316" s="220"/>
      <c r="Y316" s="220"/>
      <c r="Z316" s="220"/>
      <c r="AA316" s="220"/>
      <c r="AB316" s="220"/>
      <c r="AC316" s="220"/>
      <c r="AD316" s="220"/>
      <c r="AE316" s="220"/>
      <c r="AF316" s="220"/>
      <c r="AG316" s="220"/>
      <c r="AH316" s="220"/>
      <c r="AI316" s="220"/>
      <c r="AJ316" s="50"/>
      <c r="AK316" s="257"/>
      <c r="AL316" s="257"/>
      <c r="AM316" s="52"/>
      <c r="AN316" s="88"/>
    </row>
    <row r="317" spans="1:40" s="29" customFormat="1" ht="17.25" customHeight="1">
      <c r="A317" s="48"/>
      <c r="B317" s="49"/>
      <c r="C317" s="220"/>
      <c r="D317" s="220"/>
      <c r="E317" s="220"/>
      <c r="F317" s="220"/>
      <c r="G317" s="220"/>
      <c r="H317" s="220"/>
      <c r="I317" s="220"/>
      <c r="J317" s="220"/>
      <c r="K317" s="220"/>
      <c r="L317" s="220"/>
      <c r="M317" s="220"/>
      <c r="N317" s="220"/>
      <c r="O317" s="220"/>
      <c r="P317" s="220"/>
      <c r="Q317" s="220"/>
      <c r="R317" s="220"/>
      <c r="S317" s="220"/>
      <c r="T317" s="220"/>
      <c r="U317" s="220"/>
      <c r="V317" s="220"/>
      <c r="W317" s="220"/>
      <c r="X317" s="220"/>
      <c r="Y317" s="220"/>
      <c r="Z317" s="220"/>
      <c r="AA317" s="220"/>
      <c r="AB317" s="220"/>
      <c r="AC317" s="220"/>
      <c r="AD317" s="220"/>
      <c r="AE317" s="220"/>
      <c r="AF317" s="220"/>
      <c r="AG317" s="220"/>
      <c r="AH317" s="220"/>
      <c r="AI317" s="220"/>
      <c r="AJ317" s="50"/>
      <c r="AK317" s="257"/>
      <c r="AL317" s="257"/>
      <c r="AM317" s="52"/>
      <c r="AN317" s="88"/>
    </row>
    <row r="318" spans="1:40" s="29" customFormat="1" ht="17.25" customHeight="1">
      <c r="A318" s="48"/>
      <c r="B318" s="49"/>
      <c r="C318" s="220"/>
      <c r="D318" s="220"/>
      <c r="E318" s="220"/>
      <c r="F318" s="220"/>
      <c r="G318" s="220"/>
      <c r="H318" s="220"/>
      <c r="I318" s="220"/>
      <c r="J318" s="220"/>
      <c r="K318" s="220"/>
      <c r="L318" s="220"/>
      <c r="M318" s="220"/>
      <c r="N318" s="220"/>
      <c r="O318" s="220"/>
      <c r="P318" s="220"/>
      <c r="Q318" s="220"/>
      <c r="R318" s="220"/>
      <c r="S318" s="220"/>
      <c r="T318" s="220"/>
      <c r="U318" s="220"/>
      <c r="V318" s="220"/>
      <c r="W318" s="220"/>
      <c r="X318" s="220"/>
      <c r="Y318" s="220"/>
      <c r="Z318" s="220"/>
      <c r="AA318" s="220"/>
      <c r="AB318" s="220"/>
      <c r="AC318" s="220"/>
      <c r="AD318" s="220"/>
      <c r="AE318" s="220"/>
      <c r="AF318" s="220"/>
      <c r="AG318" s="220"/>
      <c r="AH318" s="220"/>
      <c r="AI318" s="220"/>
      <c r="AJ318" s="50"/>
      <c r="AK318" s="257"/>
      <c r="AL318" s="257"/>
      <c r="AM318" s="52"/>
      <c r="AN318" s="88"/>
    </row>
    <row r="319" spans="1:40" s="29" customFormat="1" ht="17.25" customHeight="1">
      <c r="A319" s="48"/>
      <c r="B319" s="49"/>
      <c r="C319" s="220"/>
      <c r="D319" s="220"/>
      <c r="E319" s="220"/>
      <c r="F319" s="220"/>
      <c r="G319" s="220"/>
      <c r="H319" s="220"/>
      <c r="I319" s="220"/>
      <c r="J319" s="220"/>
      <c r="K319" s="220"/>
      <c r="L319" s="220"/>
      <c r="M319" s="220"/>
      <c r="N319" s="220"/>
      <c r="O319" s="220"/>
      <c r="P319" s="220"/>
      <c r="Q319" s="220"/>
      <c r="R319" s="220"/>
      <c r="S319" s="220"/>
      <c r="T319" s="220"/>
      <c r="U319" s="220"/>
      <c r="V319" s="220"/>
      <c r="W319" s="220"/>
      <c r="X319" s="220"/>
      <c r="Y319" s="220"/>
      <c r="Z319" s="220"/>
      <c r="AA319" s="220"/>
      <c r="AB319" s="220"/>
      <c r="AC319" s="220"/>
      <c r="AD319" s="220"/>
      <c r="AE319" s="220"/>
      <c r="AF319" s="220"/>
      <c r="AG319" s="220"/>
      <c r="AH319" s="220"/>
      <c r="AI319" s="220"/>
      <c r="AJ319" s="50"/>
      <c r="AK319" s="257"/>
      <c r="AL319" s="257"/>
      <c r="AM319" s="52"/>
      <c r="AN319" s="88"/>
    </row>
    <row r="320" spans="1:40" s="29" customFormat="1" ht="17.25" customHeight="1">
      <c r="A320" s="48"/>
      <c r="B320" s="49"/>
      <c r="C320" s="220"/>
      <c r="D320" s="220"/>
      <c r="E320" s="220"/>
      <c r="F320" s="220"/>
      <c r="G320" s="220"/>
      <c r="H320" s="220"/>
      <c r="I320" s="220"/>
      <c r="J320" s="220"/>
      <c r="K320" s="220"/>
      <c r="L320" s="220"/>
      <c r="M320" s="220"/>
      <c r="N320" s="220"/>
      <c r="O320" s="220"/>
      <c r="P320" s="220"/>
      <c r="Q320" s="220"/>
      <c r="R320" s="220"/>
      <c r="S320" s="220"/>
      <c r="T320" s="220"/>
      <c r="U320" s="220"/>
      <c r="V320" s="220"/>
      <c r="W320" s="220"/>
      <c r="X320" s="220"/>
      <c r="Y320" s="220"/>
      <c r="Z320" s="220"/>
      <c r="AA320" s="220"/>
      <c r="AB320" s="220"/>
      <c r="AC320" s="220"/>
      <c r="AD320" s="220"/>
      <c r="AE320" s="220"/>
      <c r="AF320" s="220"/>
      <c r="AG320" s="220"/>
      <c r="AH320" s="220"/>
      <c r="AI320" s="220"/>
      <c r="AJ320" s="50"/>
      <c r="AK320" s="257"/>
      <c r="AL320" s="257"/>
      <c r="AM320" s="52"/>
      <c r="AN320" s="88"/>
    </row>
    <row r="321" spans="1:40" s="29" customFormat="1" ht="17.25" customHeight="1">
      <c r="A321" s="48"/>
      <c r="B321" s="49"/>
      <c r="C321" s="220"/>
      <c r="D321" s="220"/>
      <c r="E321" s="220"/>
      <c r="F321" s="220"/>
      <c r="G321" s="220"/>
      <c r="H321" s="220"/>
      <c r="I321" s="220"/>
      <c r="J321" s="220"/>
      <c r="K321" s="220"/>
      <c r="L321" s="220"/>
      <c r="M321" s="220"/>
      <c r="N321" s="220"/>
      <c r="O321" s="220"/>
      <c r="P321" s="220"/>
      <c r="Q321" s="220"/>
      <c r="R321" s="220"/>
      <c r="S321" s="220"/>
      <c r="T321" s="220"/>
      <c r="U321" s="220"/>
      <c r="V321" s="220"/>
      <c r="W321" s="220"/>
      <c r="X321" s="220"/>
      <c r="Y321" s="220"/>
      <c r="Z321" s="220"/>
      <c r="AA321" s="220"/>
      <c r="AB321" s="220"/>
      <c r="AC321" s="220"/>
      <c r="AD321" s="220"/>
      <c r="AE321" s="220"/>
      <c r="AF321" s="220"/>
      <c r="AG321" s="220"/>
      <c r="AH321" s="220"/>
      <c r="AI321" s="220"/>
      <c r="AJ321" s="50"/>
      <c r="AK321" s="257"/>
      <c r="AL321" s="257"/>
      <c r="AM321" s="52"/>
      <c r="AN321" s="88"/>
    </row>
    <row r="322" spans="1:40" s="29" customFormat="1" ht="17.25" customHeight="1">
      <c r="A322" s="48"/>
      <c r="B322" s="49"/>
      <c r="C322" s="220"/>
      <c r="D322" s="220"/>
      <c r="E322" s="220"/>
      <c r="F322" s="220"/>
      <c r="G322" s="220"/>
      <c r="H322" s="220"/>
      <c r="I322" s="220"/>
      <c r="J322" s="220"/>
      <c r="K322" s="220"/>
      <c r="L322" s="220"/>
      <c r="M322" s="220"/>
      <c r="N322" s="220"/>
      <c r="O322" s="220"/>
      <c r="P322" s="220"/>
      <c r="Q322" s="220"/>
      <c r="R322" s="220"/>
      <c r="S322" s="220"/>
      <c r="T322" s="220"/>
      <c r="U322" s="220"/>
      <c r="V322" s="220"/>
      <c r="W322" s="220"/>
      <c r="X322" s="220"/>
      <c r="Y322" s="220"/>
      <c r="Z322" s="220"/>
      <c r="AA322" s="220"/>
      <c r="AB322" s="220"/>
      <c r="AC322" s="220"/>
      <c r="AD322" s="220"/>
      <c r="AE322" s="220"/>
      <c r="AF322" s="220"/>
      <c r="AG322" s="220"/>
      <c r="AH322" s="220"/>
      <c r="AI322" s="220"/>
      <c r="AJ322" s="50"/>
      <c r="AK322" s="257"/>
      <c r="AL322" s="257"/>
      <c r="AM322" s="52"/>
      <c r="AN322" s="88"/>
    </row>
    <row r="323" spans="1:40" s="29" customFormat="1" ht="17.25" customHeight="1">
      <c r="A323" s="48"/>
      <c r="B323" s="49"/>
      <c r="C323" s="220"/>
      <c r="D323" s="220"/>
      <c r="E323" s="220"/>
      <c r="F323" s="220"/>
      <c r="G323" s="220"/>
      <c r="H323" s="220"/>
      <c r="I323" s="220"/>
      <c r="J323" s="220"/>
      <c r="K323" s="220"/>
      <c r="L323" s="220"/>
      <c r="M323" s="220"/>
      <c r="N323" s="220"/>
      <c r="O323" s="220"/>
      <c r="P323" s="220"/>
      <c r="Q323" s="220"/>
      <c r="R323" s="220"/>
      <c r="S323" s="220"/>
      <c r="T323" s="220"/>
      <c r="U323" s="220"/>
      <c r="V323" s="220"/>
      <c r="W323" s="220"/>
      <c r="X323" s="220"/>
      <c r="Y323" s="220"/>
      <c r="Z323" s="220"/>
      <c r="AA323" s="220"/>
      <c r="AB323" s="220"/>
      <c r="AC323" s="220"/>
      <c r="AD323" s="220"/>
      <c r="AE323" s="220"/>
      <c r="AF323" s="220"/>
      <c r="AG323" s="220"/>
      <c r="AH323" s="220"/>
      <c r="AI323" s="220"/>
      <c r="AJ323" s="50"/>
      <c r="AK323" s="257"/>
      <c r="AL323" s="257"/>
      <c r="AM323" s="52"/>
      <c r="AN323" s="88"/>
    </row>
    <row r="324" spans="1:40" s="29" customFormat="1" ht="17.25" customHeight="1">
      <c r="A324" s="48"/>
      <c r="B324" s="49"/>
      <c r="C324" s="220"/>
      <c r="D324" s="220"/>
      <c r="E324" s="220"/>
      <c r="F324" s="220"/>
      <c r="G324" s="220"/>
      <c r="H324" s="220"/>
      <c r="I324" s="220"/>
      <c r="J324" s="220"/>
      <c r="K324" s="220"/>
      <c r="L324" s="220"/>
      <c r="M324" s="220"/>
      <c r="N324" s="220"/>
      <c r="O324" s="220"/>
      <c r="P324" s="220"/>
      <c r="Q324" s="220"/>
      <c r="R324" s="220"/>
      <c r="S324" s="220"/>
      <c r="T324" s="220"/>
      <c r="U324" s="220"/>
      <c r="V324" s="220"/>
      <c r="W324" s="220"/>
      <c r="X324" s="220"/>
      <c r="Y324" s="220"/>
      <c r="Z324" s="220"/>
      <c r="AA324" s="220"/>
      <c r="AB324" s="220"/>
      <c r="AC324" s="220"/>
      <c r="AD324" s="220"/>
      <c r="AE324" s="220"/>
      <c r="AF324" s="220"/>
      <c r="AG324" s="220"/>
      <c r="AH324" s="220"/>
      <c r="AI324" s="220"/>
      <c r="AJ324" s="50"/>
      <c r="AK324" s="257"/>
      <c r="AL324" s="257"/>
      <c r="AM324" s="52"/>
      <c r="AN324" s="88"/>
    </row>
    <row r="325" spans="1:40" s="29" customFormat="1" ht="17.25" customHeight="1">
      <c r="A325" s="48"/>
      <c r="B325" s="49"/>
      <c r="C325" s="220"/>
      <c r="D325" s="220"/>
      <c r="E325" s="220"/>
      <c r="F325" s="220"/>
      <c r="G325" s="220"/>
      <c r="H325" s="220"/>
      <c r="I325" s="220"/>
      <c r="J325" s="220"/>
      <c r="K325" s="220"/>
      <c r="L325" s="220"/>
      <c r="M325" s="220"/>
      <c r="N325" s="220"/>
      <c r="O325" s="220"/>
      <c r="P325" s="220"/>
      <c r="Q325" s="220"/>
      <c r="R325" s="220"/>
      <c r="S325" s="220"/>
      <c r="T325" s="220"/>
      <c r="U325" s="220"/>
      <c r="V325" s="220"/>
      <c r="W325" s="220"/>
      <c r="X325" s="220"/>
      <c r="Y325" s="220"/>
      <c r="Z325" s="220"/>
      <c r="AA325" s="220"/>
      <c r="AB325" s="220"/>
      <c r="AC325" s="220"/>
      <c r="AD325" s="220"/>
      <c r="AE325" s="220"/>
      <c r="AF325" s="220"/>
      <c r="AG325" s="220"/>
      <c r="AH325" s="220"/>
      <c r="AI325" s="220"/>
      <c r="AJ325" s="50"/>
      <c r="AK325" s="257"/>
      <c r="AL325" s="257"/>
      <c r="AM325" s="52"/>
      <c r="AN325" s="88"/>
    </row>
    <row r="326" spans="1:40" s="29" customFormat="1" ht="17.25" customHeight="1">
      <c r="A326" s="48"/>
      <c r="B326" s="49"/>
      <c r="C326" s="220"/>
      <c r="D326" s="220"/>
      <c r="E326" s="220"/>
      <c r="F326" s="220"/>
      <c r="G326" s="220"/>
      <c r="H326" s="220"/>
      <c r="I326" s="220"/>
      <c r="J326" s="220"/>
      <c r="K326" s="220"/>
      <c r="L326" s="220"/>
      <c r="M326" s="220"/>
      <c r="N326" s="220"/>
      <c r="O326" s="220"/>
      <c r="P326" s="220"/>
      <c r="Q326" s="220"/>
      <c r="R326" s="220"/>
      <c r="S326" s="220"/>
      <c r="T326" s="220"/>
      <c r="U326" s="220"/>
      <c r="V326" s="220"/>
      <c r="W326" s="220"/>
      <c r="X326" s="220"/>
      <c r="Y326" s="220"/>
      <c r="Z326" s="220"/>
      <c r="AA326" s="220"/>
      <c r="AB326" s="220"/>
      <c r="AC326" s="220"/>
      <c r="AD326" s="220"/>
      <c r="AE326" s="220"/>
      <c r="AF326" s="220"/>
      <c r="AG326" s="220"/>
      <c r="AH326" s="220"/>
      <c r="AI326" s="220"/>
      <c r="AJ326" s="50"/>
      <c r="AK326" s="257"/>
      <c r="AL326" s="257"/>
      <c r="AM326" s="52"/>
      <c r="AN326" s="88"/>
    </row>
    <row r="327" spans="1:40" s="29" customFormat="1" ht="17.25" customHeight="1">
      <c r="A327" s="48"/>
      <c r="B327" s="49"/>
      <c r="C327" s="220"/>
      <c r="D327" s="220"/>
      <c r="E327" s="220"/>
      <c r="F327" s="220"/>
      <c r="G327" s="220"/>
      <c r="H327" s="220"/>
      <c r="I327" s="220"/>
      <c r="J327" s="220"/>
      <c r="K327" s="220"/>
      <c r="L327" s="220"/>
      <c r="M327" s="220"/>
      <c r="N327" s="220"/>
      <c r="O327" s="220"/>
      <c r="P327" s="220"/>
      <c r="Q327" s="220"/>
      <c r="R327" s="220"/>
      <c r="S327" s="220"/>
      <c r="T327" s="220"/>
      <c r="U327" s="220"/>
      <c r="V327" s="220"/>
      <c r="W327" s="220"/>
      <c r="X327" s="220"/>
      <c r="Y327" s="220"/>
      <c r="Z327" s="220"/>
      <c r="AA327" s="220"/>
      <c r="AB327" s="220"/>
      <c r="AC327" s="220"/>
      <c r="AD327" s="220"/>
      <c r="AE327" s="220"/>
      <c r="AF327" s="220"/>
      <c r="AG327" s="220"/>
      <c r="AH327" s="220"/>
      <c r="AI327" s="220"/>
      <c r="AJ327" s="50"/>
      <c r="AK327" s="257"/>
      <c r="AL327" s="257"/>
      <c r="AM327" s="52"/>
      <c r="AN327" s="88"/>
    </row>
    <row r="328" spans="1:40" s="29" customFormat="1" ht="17.25" customHeight="1">
      <c r="A328" s="48"/>
      <c r="B328" s="49"/>
      <c r="C328" s="220"/>
      <c r="D328" s="220"/>
      <c r="E328" s="220"/>
      <c r="F328" s="220"/>
      <c r="G328" s="220"/>
      <c r="H328" s="220"/>
      <c r="I328" s="220"/>
      <c r="J328" s="220"/>
      <c r="K328" s="220"/>
      <c r="L328" s="220"/>
      <c r="M328" s="220"/>
      <c r="N328" s="220"/>
      <c r="O328" s="220"/>
      <c r="P328" s="220"/>
      <c r="Q328" s="220"/>
      <c r="R328" s="220"/>
      <c r="S328" s="220"/>
      <c r="T328" s="220"/>
      <c r="U328" s="220"/>
      <c r="V328" s="220"/>
      <c r="W328" s="220"/>
      <c r="X328" s="220"/>
      <c r="Y328" s="220"/>
      <c r="Z328" s="220"/>
      <c r="AA328" s="220"/>
      <c r="AB328" s="220"/>
      <c r="AC328" s="220"/>
      <c r="AD328" s="220"/>
      <c r="AE328" s="220"/>
      <c r="AF328" s="220"/>
      <c r="AG328" s="220"/>
      <c r="AH328" s="220"/>
      <c r="AI328" s="220"/>
      <c r="AJ328" s="50"/>
      <c r="AK328" s="257"/>
      <c r="AL328" s="257"/>
      <c r="AM328" s="52"/>
      <c r="AN328" s="88"/>
    </row>
    <row r="329" spans="1:40" s="29" customFormat="1" ht="17.25" customHeight="1">
      <c r="A329" s="48"/>
      <c r="B329" s="49"/>
      <c r="C329" s="220"/>
      <c r="D329" s="220"/>
      <c r="E329" s="220"/>
      <c r="F329" s="220"/>
      <c r="G329" s="220"/>
      <c r="H329" s="220"/>
      <c r="I329" s="220"/>
      <c r="J329" s="220"/>
      <c r="K329" s="220"/>
      <c r="L329" s="220"/>
      <c r="M329" s="220"/>
      <c r="N329" s="220"/>
      <c r="O329" s="220"/>
      <c r="P329" s="220"/>
      <c r="Q329" s="220"/>
      <c r="R329" s="220"/>
      <c r="S329" s="220"/>
      <c r="T329" s="220"/>
      <c r="U329" s="220"/>
      <c r="V329" s="220"/>
      <c r="W329" s="220"/>
      <c r="X329" s="220"/>
      <c r="Y329" s="220"/>
      <c r="Z329" s="220"/>
      <c r="AA329" s="220"/>
      <c r="AB329" s="220"/>
      <c r="AC329" s="220"/>
      <c r="AD329" s="220"/>
      <c r="AE329" s="220"/>
      <c r="AF329" s="220"/>
      <c r="AG329" s="220"/>
      <c r="AH329" s="220"/>
      <c r="AI329" s="220"/>
      <c r="AJ329" s="50"/>
      <c r="AK329" s="257"/>
      <c r="AL329" s="257"/>
      <c r="AM329" s="52"/>
      <c r="AN329" s="88"/>
    </row>
    <row r="330" spans="1:40" s="29" customFormat="1" ht="17.25" customHeight="1">
      <c r="A330" s="48"/>
      <c r="B330" s="49"/>
      <c r="C330" s="220"/>
      <c r="D330" s="220"/>
      <c r="E330" s="220"/>
      <c r="F330" s="220"/>
      <c r="G330" s="220"/>
      <c r="H330" s="220"/>
      <c r="I330" s="220"/>
      <c r="J330" s="220"/>
      <c r="K330" s="220"/>
      <c r="L330" s="220"/>
      <c r="M330" s="220"/>
      <c r="N330" s="220"/>
      <c r="O330" s="220"/>
      <c r="P330" s="220"/>
      <c r="Q330" s="220"/>
      <c r="R330" s="220"/>
      <c r="S330" s="220"/>
      <c r="T330" s="220"/>
      <c r="U330" s="220"/>
      <c r="V330" s="220"/>
      <c r="W330" s="220"/>
      <c r="X330" s="220"/>
      <c r="Y330" s="220"/>
      <c r="Z330" s="220"/>
      <c r="AA330" s="220"/>
      <c r="AB330" s="220"/>
      <c r="AC330" s="220"/>
      <c r="AD330" s="220"/>
      <c r="AE330" s="220"/>
      <c r="AF330" s="220"/>
      <c r="AG330" s="220"/>
      <c r="AH330" s="220"/>
      <c r="AI330" s="220"/>
      <c r="AJ330" s="50"/>
      <c r="AK330" s="257"/>
      <c r="AL330" s="257"/>
      <c r="AM330" s="52"/>
      <c r="AN330" s="88"/>
    </row>
    <row r="331" spans="1:40" s="29" customFormat="1" ht="17.25" customHeight="1">
      <c r="A331" s="48"/>
      <c r="B331" s="49"/>
      <c r="C331" s="220"/>
      <c r="D331" s="220"/>
      <c r="E331" s="220"/>
      <c r="F331" s="220"/>
      <c r="G331" s="220"/>
      <c r="H331" s="220"/>
      <c r="I331" s="220"/>
      <c r="J331" s="220"/>
      <c r="K331" s="220"/>
      <c r="L331" s="220"/>
      <c r="M331" s="220"/>
      <c r="N331" s="220"/>
      <c r="O331" s="220"/>
      <c r="P331" s="220"/>
      <c r="Q331" s="220"/>
      <c r="R331" s="220"/>
      <c r="S331" s="220"/>
      <c r="T331" s="220"/>
      <c r="U331" s="220"/>
      <c r="V331" s="220"/>
      <c r="W331" s="220"/>
      <c r="X331" s="220"/>
      <c r="Y331" s="220"/>
      <c r="Z331" s="220"/>
      <c r="AA331" s="220"/>
      <c r="AB331" s="220"/>
      <c r="AC331" s="220"/>
      <c r="AD331" s="220"/>
      <c r="AE331" s="220"/>
      <c r="AF331" s="220"/>
      <c r="AG331" s="220"/>
      <c r="AH331" s="220"/>
      <c r="AI331" s="220"/>
      <c r="AJ331" s="50"/>
      <c r="AK331" s="257"/>
      <c r="AL331" s="257"/>
      <c r="AM331" s="52"/>
      <c r="AN331" s="88"/>
    </row>
    <row r="332" spans="1:40" s="29" customFormat="1" ht="17.25" customHeight="1">
      <c r="A332" s="48"/>
      <c r="B332" s="49"/>
      <c r="C332" s="220"/>
      <c r="D332" s="220"/>
      <c r="E332" s="220"/>
      <c r="F332" s="220"/>
      <c r="G332" s="220"/>
      <c r="H332" s="220"/>
      <c r="I332" s="220"/>
      <c r="J332" s="220"/>
      <c r="K332" s="220"/>
      <c r="L332" s="220"/>
      <c r="M332" s="220"/>
      <c r="N332" s="220"/>
      <c r="O332" s="220"/>
      <c r="P332" s="220"/>
      <c r="Q332" s="220"/>
      <c r="R332" s="220"/>
      <c r="S332" s="220"/>
      <c r="T332" s="220"/>
      <c r="U332" s="220"/>
      <c r="V332" s="220"/>
      <c r="W332" s="220"/>
      <c r="X332" s="220"/>
      <c r="Y332" s="220"/>
      <c r="Z332" s="220"/>
      <c r="AA332" s="220"/>
      <c r="AB332" s="220"/>
      <c r="AC332" s="220"/>
      <c r="AD332" s="220"/>
      <c r="AE332" s="220"/>
      <c r="AF332" s="220"/>
      <c r="AG332" s="220"/>
      <c r="AH332" s="220"/>
      <c r="AI332" s="220"/>
      <c r="AJ332" s="50"/>
      <c r="AK332" s="257"/>
      <c r="AL332" s="257"/>
      <c r="AM332" s="52"/>
      <c r="AN332" s="88"/>
    </row>
    <row r="333" spans="1:40" s="29" customFormat="1" ht="17.25" customHeight="1">
      <c r="A333" s="48"/>
      <c r="B333" s="49"/>
      <c r="C333" s="220"/>
      <c r="D333" s="220"/>
      <c r="E333" s="220"/>
      <c r="F333" s="220"/>
      <c r="G333" s="220"/>
      <c r="H333" s="220"/>
      <c r="I333" s="220"/>
      <c r="J333" s="220"/>
      <c r="K333" s="220"/>
      <c r="L333" s="220"/>
      <c r="M333" s="220"/>
      <c r="N333" s="220"/>
      <c r="O333" s="220"/>
      <c r="P333" s="220"/>
      <c r="Q333" s="220"/>
      <c r="R333" s="220"/>
      <c r="S333" s="220"/>
      <c r="T333" s="220"/>
      <c r="U333" s="220"/>
      <c r="V333" s="220"/>
      <c r="W333" s="220"/>
      <c r="X333" s="220"/>
      <c r="Y333" s="220"/>
      <c r="Z333" s="220"/>
      <c r="AA333" s="220"/>
      <c r="AB333" s="220"/>
      <c r="AC333" s="220"/>
      <c r="AD333" s="220"/>
      <c r="AE333" s="220"/>
      <c r="AF333" s="220"/>
      <c r="AG333" s="220"/>
      <c r="AH333" s="220"/>
      <c r="AI333" s="220"/>
      <c r="AJ333" s="50"/>
      <c r="AK333" s="257"/>
      <c r="AL333" s="257"/>
      <c r="AM333" s="52"/>
      <c r="AN333" s="88"/>
    </row>
    <row r="334" spans="1:40" s="29" customFormat="1" ht="17.25" customHeight="1">
      <c r="A334" s="48"/>
      <c r="B334" s="49"/>
      <c r="C334" s="220"/>
      <c r="D334" s="220"/>
      <c r="E334" s="220"/>
      <c r="F334" s="220"/>
      <c r="G334" s="220"/>
      <c r="H334" s="220"/>
      <c r="I334" s="220"/>
      <c r="J334" s="220"/>
      <c r="K334" s="220"/>
      <c r="L334" s="220"/>
      <c r="M334" s="220"/>
      <c r="N334" s="220"/>
      <c r="O334" s="220"/>
      <c r="P334" s="220"/>
      <c r="Q334" s="220"/>
      <c r="R334" s="220"/>
      <c r="S334" s="220"/>
      <c r="T334" s="220"/>
      <c r="U334" s="220"/>
      <c r="V334" s="220"/>
      <c r="W334" s="220"/>
      <c r="X334" s="220"/>
      <c r="Y334" s="220"/>
      <c r="Z334" s="220"/>
      <c r="AA334" s="220"/>
      <c r="AB334" s="220"/>
      <c r="AC334" s="220"/>
      <c r="AD334" s="220"/>
      <c r="AE334" s="220"/>
      <c r="AF334" s="220"/>
      <c r="AG334" s="220"/>
      <c r="AH334" s="220"/>
      <c r="AI334" s="220"/>
      <c r="AJ334" s="50"/>
      <c r="AK334" s="257"/>
      <c r="AL334" s="257"/>
      <c r="AM334" s="52"/>
      <c r="AN334" s="88"/>
    </row>
    <row r="335" spans="1:40" s="29" customFormat="1" ht="17.25" customHeight="1">
      <c r="A335" s="48"/>
      <c r="B335" s="49"/>
      <c r="C335" s="220"/>
      <c r="D335" s="220"/>
      <c r="E335" s="220"/>
      <c r="F335" s="220"/>
      <c r="G335" s="220"/>
      <c r="H335" s="220"/>
      <c r="I335" s="220"/>
      <c r="J335" s="220"/>
      <c r="K335" s="220"/>
      <c r="L335" s="220"/>
      <c r="M335" s="220"/>
      <c r="N335" s="220"/>
      <c r="O335" s="220"/>
      <c r="P335" s="220"/>
      <c r="Q335" s="220"/>
      <c r="R335" s="220"/>
      <c r="S335" s="220"/>
      <c r="T335" s="220"/>
      <c r="U335" s="220"/>
      <c r="V335" s="220"/>
      <c r="W335" s="220"/>
      <c r="X335" s="220"/>
      <c r="Y335" s="220"/>
      <c r="Z335" s="220"/>
      <c r="AA335" s="220"/>
      <c r="AB335" s="220"/>
      <c r="AC335" s="220"/>
      <c r="AD335" s="220"/>
      <c r="AE335" s="220"/>
      <c r="AF335" s="220"/>
      <c r="AG335" s="220"/>
      <c r="AH335" s="220"/>
      <c r="AI335" s="220"/>
      <c r="AJ335" s="50"/>
      <c r="AK335" s="257"/>
      <c r="AL335" s="257"/>
      <c r="AM335" s="52"/>
      <c r="AN335" s="88"/>
    </row>
    <row r="336" spans="1:40" s="29" customFormat="1" ht="17.25" customHeight="1">
      <c r="A336" s="48"/>
      <c r="B336" s="49"/>
      <c r="C336" s="220"/>
      <c r="D336" s="220"/>
      <c r="E336" s="220"/>
      <c r="F336" s="220"/>
      <c r="G336" s="220"/>
      <c r="H336" s="220"/>
      <c r="I336" s="220"/>
      <c r="J336" s="220"/>
      <c r="K336" s="220"/>
      <c r="L336" s="220"/>
      <c r="M336" s="220"/>
      <c r="N336" s="220"/>
      <c r="O336" s="220"/>
      <c r="P336" s="220"/>
      <c r="Q336" s="220"/>
      <c r="R336" s="220"/>
      <c r="S336" s="220"/>
      <c r="T336" s="220"/>
      <c r="U336" s="220"/>
      <c r="V336" s="220"/>
      <c r="W336" s="220"/>
      <c r="X336" s="220"/>
      <c r="Y336" s="220"/>
      <c r="Z336" s="220"/>
      <c r="AA336" s="220"/>
      <c r="AB336" s="220"/>
      <c r="AC336" s="220"/>
      <c r="AD336" s="220"/>
      <c r="AE336" s="220"/>
      <c r="AF336" s="220"/>
      <c r="AG336" s="220"/>
      <c r="AH336" s="220"/>
      <c r="AI336" s="220"/>
      <c r="AJ336" s="50"/>
      <c r="AK336" s="257"/>
      <c r="AL336" s="257"/>
      <c r="AM336" s="52"/>
      <c r="AN336" s="88"/>
    </row>
    <row r="337" spans="1:40" s="29" customFormat="1" ht="17.25" customHeight="1">
      <c r="A337" s="48"/>
      <c r="B337" s="49"/>
      <c r="C337" s="220"/>
      <c r="D337" s="220"/>
      <c r="E337" s="220"/>
      <c r="F337" s="220"/>
      <c r="G337" s="220"/>
      <c r="H337" s="220"/>
      <c r="I337" s="220"/>
      <c r="J337" s="220"/>
      <c r="K337" s="220"/>
      <c r="L337" s="220"/>
      <c r="M337" s="220"/>
      <c r="N337" s="220"/>
      <c r="O337" s="220"/>
      <c r="P337" s="220"/>
      <c r="Q337" s="220"/>
      <c r="R337" s="220"/>
      <c r="S337" s="220"/>
      <c r="T337" s="220"/>
      <c r="U337" s="220"/>
      <c r="V337" s="220"/>
      <c r="W337" s="220"/>
      <c r="X337" s="220"/>
      <c r="Y337" s="220"/>
      <c r="Z337" s="220"/>
      <c r="AA337" s="220"/>
      <c r="AB337" s="220"/>
      <c r="AC337" s="220"/>
      <c r="AD337" s="220"/>
      <c r="AE337" s="220"/>
      <c r="AF337" s="220"/>
      <c r="AG337" s="220"/>
      <c r="AH337" s="220"/>
      <c r="AI337" s="220"/>
      <c r="AJ337" s="50"/>
      <c r="AK337" s="257"/>
      <c r="AL337" s="257"/>
      <c r="AM337" s="52"/>
      <c r="AN337" s="88"/>
    </row>
    <row r="338" spans="1:40" s="29" customFormat="1" ht="17.25" customHeight="1">
      <c r="A338" s="48"/>
      <c r="B338" s="49"/>
      <c r="C338" s="220"/>
      <c r="D338" s="220"/>
      <c r="E338" s="220"/>
      <c r="F338" s="220"/>
      <c r="G338" s="220"/>
      <c r="H338" s="220"/>
      <c r="I338" s="220"/>
      <c r="J338" s="220"/>
      <c r="K338" s="220"/>
      <c r="L338" s="220"/>
      <c r="M338" s="220"/>
      <c r="N338" s="220"/>
      <c r="O338" s="220"/>
      <c r="P338" s="220"/>
      <c r="Q338" s="220"/>
      <c r="R338" s="220"/>
      <c r="S338" s="220"/>
      <c r="T338" s="220"/>
      <c r="U338" s="220"/>
      <c r="V338" s="220"/>
      <c r="W338" s="220"/>
      <c r="X338" s="220"/>
      <c r="Y338" s="220"/>
      <c r="Z338" s="220"/>
      <c r="AA338" s="220"/>
      <c r="AB338" s="220"/>
      <c r="AC338" s="220"/>
      <c r="AD338" s="220"/>
      <c r="AE338" s="220"/>
      <c r="AF338" s="220"/>
      <c r="AG338" s="220"/>
      <c r="AH338" s="220"/>
      <c r="AI338" s="220"/>
      <c r="AJ338" s="50"/>
      <c r="AK338" s="257"/>
      <c r="AL338" s="257"/>
      <c r="AM338" s="52"/>
      <c r="AN338" s="88"/>
    </row>
    <row r="339" spans="1:40" s="29" customFormat="1" ht="17.25" customHeight="1">
      <c r="A339" s="48"/>
      <c r="B339" s="49"/>
      <c r="C339" s="220"/>
      <c r="D339" s="220"/>
      <c r="E339" s="220"/>
      <c r="F339" s="220"/>
      <c r="G339" s="220"/>
      <c r="H339" s="220"/>
      <c r="I339" s="220"/>
      <c r="J339" s="220"/>
      <c r="K339" s="220"/>
      <c r="L339" s="220"/>
      <c r="M339" s="220"/>
      <c r="N339" s="220"/>
      <c r="O339" s="220"/>
      <c r="P339" s="220"/>
      <c r="Q339" s="220"/>
      <c r="R339" s="220"/>
      <c r="S339" s="220"/>
      <c r="T339" s="220"/>
      <c r="U339" s="220"/>
      <c r="V339" s="220"/>
      <c r="W339" s="220"/>
      <c r="X339" s="220"/>
      <c r="Y339" s="220"/>
      <c r="Z339" s="220"/>
      <c r="AA339" s="220"/>
      <c r="AB339" s="220"/>
      <c r="AC339" s="220"/>
      <c r="AD339" s="220"/>
      <c r="AE339" s="220"/>
      <c r="AF339" s="220"/>
      <c r="AG339" s="220"/>
      <c r="AH339" s="220"/>
      <c r="AI339" s="220"/>
      <c r="AJ339" s="50"/>
      <c r="AK339" s="257"/>
      <c r="AL339" s="257"/>
      <c r="AM339" s="52"/>
      <c r="AN339" s="88"/>
    </row>
    <row r="340" spans="1:40" s="29" customFormat="1" ht="17.25" customHeight="1">
      <c r="A340" s="48"/>
      <c r="B340" s="49"/>
      <c r="C340" s="220"/>
      <c r="D340" s="220"/>
      <c r="E340" s="220"/>
      <c r="F340" s="220"/>
      <c r="G340" s="220"/>
      <c r="H340" s="220"/>
      <c r="I340" s="220"/>
      <c r="J340" s="220"/>
      <c r="K340" s="220"/>
      <c r="L340" s="220"/>
      <c r="M340" s="220"/>
      <c r="N340" s="220"/>
      <c r="O340" s="220"/>
      <c r="P340" s="220"/>
      <c r="Q340" s="220"/>
      <c r="R340" s="220"/>
      <c r="S340" s="220"/>
      <c r="T340" s="220"/>
      <c r="U340" s="220"/>
      <c r="V340" s="220"/>
      <c r="W340" s="220"/>
      <c r="X340" s="220"/>
      <c r="Y340" s="220"/>
      <c r="Z340" s="220"/>
      <c r="AA340" s="220"/>
      <c r="AB340" s="220"/>
      <c r="AC340" s="220"/>
      <c r="AD340" s="220"/>
      <c r="AE340" s="220"/>
      <c r="AF340" s="220"/>
      <c r="AG340" s="220"/>
      <c r="AH340" s="220"/>
      <c r="AI340" s="220"/>
      <c r="AJ340" s="50"/>
      <c r="AK340" s="257"/>
      <c r="AL340" s="257"/>
      <c r="AM340" s="52"/>
      <c r="AN340" s="88"/>
    </row>
    <row r="341" spans="1:40" s="29" customFormat="1" ht="17.25" customHeight="1">
      <c r="A341" s="48"/>
      <c r="B341" s="49"/>
      <c r="C341" s="220"/>
      <c r="D341" s="220"/>
      <c r="E341" s="220"/>
      <c r="F341" s="220"/>
      <c r="G341" s="220"/>
      <c r="H341" s="220"/>
      <c r="I341" s="220"/>
      <c r="J341" s="220"/>
      <c r="K341" s="220"/>
      <c r="L341" s="220"/>
      <c r="M341" s="220"/>
      <c r="N341" s="220"/>
      <c r="O341" s="220"/>
      <c r="P341" s="220"/>
      <c r="Q341" s="220"/>
      <c r="R341" s="220"/>
      <c r="S341" s="220"/>
      <c r="T341" s="220"/>
      <c r="U341" s="220"/>
      <c r="V341" s="220"/>
      <c r="W341" s="220"/>
      <c r="X341" s="220"/>
      <c r="Y341" s="220"/>
      <c r="Z341" s="220"/>
      <c r="AA341" s="220"/>
      <c r="AB341" s="220"/>
      <c r="AC341" s="220"/>
      <c r="AD341" s="220"/>
      <c r="AE341" s="220"/>
      <c r="AF341" s="220"/>
      <c r="AG341" s="220"/>
      <c r="AH341" s="220"/>
      <c r="AI341" s="220"/>
      <c r="AJ341" s="50"/>
      <c r="AK341" s="257"/>
      <c r="AL341" s="257"/>
      <c r="AM341" s="52"/>
      <c r="AN341" s="88"/>
    </row>
    <row r="342" spans="1:40" s="29" customFormat="1" ht="17.25" customHeight="1">
      <c r="A342" s="48"/>
      <c r="B342" s="49"/>
      <c r="C342" s="220"/>
      <c r="D342" s="220"/>
      <c r="E342" s="220"/>
      <c r="F342" s="220"/>
      <c r="G342" s="220"/>
      <c r="H342" s="220"/>
      <c r="I342" s="220"/>
      <c r="J342" s="220"/>
      <c r="K342" s="220"/>
      <c r="L342" s="220"/>
      <c r="M342" s="220"/>
      <c r="N342" s="220"/>
      <c r="O342" s="220"/>
      <c r="P342" s="220"/>
      <c r="Q342" s="220"/>
      <c r="R342" s="220"/>
      <c r="S342" s="220"/>
      <c r="T342" s="220"/>
      <c r="U342" s="220"/>
      <c r="V342" s="220"/>
      <c r="W342" s="220"/>
      <c r="X342" s="220"/>
      <c r="Y342" s="220"/>
      <c r="Z342" s="220"/>
      <c r="AA342" s="220"/>
      <c r="AB342" s="220"/>
      <c r="AC342" s="220"/>
      <c r="AD342" s="220"/>
      <c r="AE342" s="220"/>
      <c r="AF342" s="220"/>
      <c r="AG342" s="220"/>
      <c r="AH342" s="220"/>
      <c r="AI342" s="220"/>
      <c r="AJ342" s="50"/>
      <c r="AK342" s="257"/>
      <c r="AL342" s="257"/>
      <c r="AM342" s="52"/>
      <c r="AN342" s="88"/>
    </row>
    <row r="343" spans="1:40" s="29" customFormat="1" ht="17.25" customHeight="1">
      <c r="A343" s="48"/>
      <c r="B343" s="49"/>
      <c r="C343" s="220"/>
      <c r="D343" s="220"/>
      <c r="E343" s="220"/>
      <c r="F343" s="220"/>
      <c r="G343" s="220"/>
      <c r="H343" s="220"/>
      <c r="I343" s="220"/>
      <c r="J343" s="220"/>
      <c r="K343" s="220"/>
      <c r="L343" s="220"/>
      <c r="M343" s="220"/>
      <c r="N343" s="220"/>
      <c r="O343" s="220"/>
      <c r="P343" s="220"/>
      <c r="Q343" s="220"/>
      <c r="R343" s="220"/>
      <c r="S343" s="220"/>
      <c r="T343" s="220"/>
      <c r="U343" s="220"/>
      <c r="V343" s="220"/>
      <c r="W343" s="220"/>
      <c r="X343" s="220"/>
      <c r="Y343" s="220"/>
      <c r="Z343" s="220"/>
      <c r="AA343" s="220"/>
      <c r="AB343" s="220"/>
      <c r="AC343" s="220"/>
      <c r="AD343" s="220"/>
      <c r="AE343" s="220"/>
      <c r="AF343" s="220"/>
      <c r="AG343" s="220"/>
      <c r="AH343" s="220"/>
      <c r="AI343" s="220"/>
      <c r="AJ343" s="50"/>
      <c r="AK343" s="257"/>
      <c r="AL343" s="257"/>
      <c r="AM343" s="52"/>
      <c r="AN343" s="88"/>
    </row>
    <row r="344" spans="1:40" s="29" customFormat="1" ht="17.25" customHeight="1">
      <c r="A344" s="48"/>
      <c r="B344" s="49"/>
      <c r="C344" s="220"/>
      <c r="D344" s="220"/>
      <c r="E344" s="220"/>
      <c r="F344" s="220"/>
      <c r="G344" s="220"/>
      <c r="H344" s="220"/>
      <c r="I344" s="220"/>
      <c r="J344" s="220"/>
      <c r="K344" s="220"/>
      <c r="L344" s="220"/>
      <c r="M344" s="220"/>
      <c r="N344" s="220"/>
      <c r="O344" s="220"/>
      <c r="P344" s="220"/>
      <c r="Q344" s="220"/>
      <c r="R344" s="220"/>
      <c r="S344" s="220"/>
      <c r="T344" s="220"/>
      <c r="U344" s="220"/>
      <c r="V344" s="220"/>
      <c r="W344" s="220"/>
      <c r="X344" s="220"/>
      <c r="Y344" s="220"/>
      <c r="Z344" s="220"/>
      <c r="AA344" s="220"/>
      <c r="AB344" s="220"/>
      <c r="AC344" s="220"/>
      <c r="AD344" s="220"/>
      <c r="AE344" s="220"/>
      <c r="AF344" s="220"/>
      <c r="AG344" s="220"/>
      <c r="AH344" s="220"/>
      <c r="AI344" s="220"/>
      <c r="AJ344" s="50"/>
      <c r="AK344" s="257"/>
      <c r="AL344" s="257"/>
      <c r="AM344" s="52"/>
      <c r="AN344" s="88"/>
    </row>
    <row r="345" spans="1:40" s="29" customFormat="1" ht="17.25" customHeight="1">
      <c r="A345" s="48"/>
      <c r="B345" s="49"/>
      <c r="C345" s="220"/>
      <c r="D345" s="220"/>
      <c r="E345" s="220"/>
      <c r="F345" s="220"/>
      <c r="G345" s="220"/>
      <c r="H345" s="220"/>
      <c r="I345" s="220"/>
      <c r="J345" s="220"/>
      <c r="K345" s="220"/>
      <c r="L345" s="220"/>
      <c r="M345" s="220"/>
      <c r="N345" s="220"/>
      <c r="O345" s="220"/>
      <c r="P345" s="220"/>
      <c r="Q345" s="220"/>
      <c r="R345" s="220"/>
      <c r="S345" s="220"/>
      <c r="T345" s="220"/>
      <c r="U345" s="220"/>
      <c r="V345" s="220"/>
      <c r="W345" s="220"/>
      <c r="X345" s="220"/>
      <c r="Y345" s="220"/>
      <c r="Z345" s="220"/>
      <c r="AA345" s="220"/>
      <c r="AB345" s="220"/>
      <c r="AC345" s="220"/>
      <c r="AD345" s="220"/>
      <c r="AE345" s="220"/>
      <c r="AF345" s="220"/>
      <c r="AG345" s="220"/>
      <c r="AH345" s="220"/>
      <c r="AI345" s="220"/>
      <c r="AJ345" s="50"/>
      <c r="AK345" s="257"/>
      <c r="AL345" s="257"/>
      <c r="AM345" s="52"/>
      <c r="AN345" s="88"/>
    </row>
    <row r="346" spans="1:40" s="29" customFormat="1" ht="17.25" customHeight="1">
      <c r="A346" s="48"/>
      <c r="B346" s="49"/>
      <c r="C346" s="220"/>
      <c r="D346" s="220"/>
      <c r="E346" s="220"/>
      <c r="F346" s="220"/>
      <c r="G346" s="220"/>
      <c r="H346" s="220"/>
      <c r="I346" s="220"/>
      <c r="J346" s="220"/>
      <c r="K346" s="220"/>
      <c r="L346" s="220"/>
      <c r="M346" s="220"/>
      <c r="N346" s="220"/>
      <c r="O346" s="220"/>
      <c r="P346" s="220"/>
      <c r="Q346" s="220"/>
      <c r="R346" s="220"/>
      <c r="S346" s="220"/>
      <c r="T346" s="220"/>
      <c r="U346" s="220"/>
      <c r="V346" s="220"/>
      <c r="W346" s="220"/>
      <c r="X346" s="220"/>
      <c r="Y346" s="220"/>
      <c r="Z346" s="220"/>
      <c r="AA346" s="220"/>
      <c r="AB346" s="220"/>
      <c r="AC346" s="220"/>
      <c r="AD346" s="220"/>
      <c r="AE346" s="220"/>
      <c r="AF346" s="220"/>
      <c r="AG346" s="220"/>
      <c r="AH346" s="220"/>
      <c r="AI346" s="220"/>
      <c r="AJ346" s="50"/>
      <c r="AK346" s="257"/>
      <c r="AL346" s="257"/>
      <c r="AM346" s="52"/>
      <c r="AN346" s="88"/>
    </row>
    <row r="347" spans="1:40" s="29" customFormat="1" ht="17.25" customHeight="1">
      <c r="A347" s="48"/>
      <c r="B347" s="49"/>
      <c r="C347" s="220"/>
      <c r="D347" s="220"/>
      <c r="E347" s="220"/>
      <c r="F347" s="220"/>
      <c r="G347" s="220"/>
      <c r="H347" s="220"/>
      <c r="I347" s="220"/>
      <c r="J347" s="220"/>
      <c r="K347" s="220"/>
      <c r="L347" s="220"/>
      <c r="M347" s="220"/>
      <c r="N347" s="220"/>
      <c r="O347" s="220"/>
      <c r="P347" s="220"/>
      <c r="Q347" s="220"/>
      <c r="R347" s="220"/>
      <c r="S347" s="220"/>
      <c r="T347" s="220"/>
      <c r="U347" s="220"/>
      <c r="V347" s="220"/>
      <c r="W347" s="220"/>
      <c r="X347" s="220"/>
      <c r="Y347" s="220"/>
      <c r="Z347" s="220"/>
      <c r="AA347" s="220"/>
      <c r="AB347" s="220"/>
      <c r="AC347" s="220"/>
      <c r="AD347" s="220"/>
      <c r="AE347" s="220"/>
      <c r="AF347" s="220"/>
      <c r="AG347" s="220"/>
      <c r="AH347" s="220"/>
      <c r="AI347" s="220"/>
      <c r="AJ347" s="50"/>
      <c r="AK347" s="257"/>
      <c r="AL347" s="257"/>
      <c r="AM347" s="52"/>
      <c r="AN347" s="88"/>
    </row>
    <row r="348" spans="1:40" s="29" customFormat="1" ht="17.25" customHeight="1">
      <c r="A348" s="48"/>
      <c r="B348" s="49"/>
      <c r="C348" s="220"/>
      <c r="D348" s="220"/>
      <c r="E348" s="220"/>
      <c r="F348" s="220"/>
      <c r="G348" s="220"/>
      <c r="H348" s="220"/>
      <c r="I348" s="220"/>
      <c r="J348" s="220"/>
      <c r="K348" s="220"/>
      <c r="L348" s="220"/>
      <c r="M348" s="220"/>
      <c r="N348" s="220"/>
      <c r="O348" s="220"/>
      <c r="P348" s="220"/>
      <c r="Q348" s="220"/>
      <c r="R348" s="220"/>
      <c r="S348" s="220"/>
      <c r="T348" s="220"/>
      <c r="U348" s="220"/>
      <c r="V348" s="220"/>
      <c r="W348" s="220"/>
      <c r="X348" s="220"/>
      <c r="Y348" s="220"/>
      <c r="Z348" s="220"/>
      <c r="AA348" s="220"/>
      <c r="AB348" s="220"/>
      <c r="AC348" s="220"/>
      <c r="AD348" s="220"/>
      <c r="AE348" s="220"/>
      <c r="AF348" s="220"/>
      <c r="AG348" s="220"/>
      <c r="AH348" s="220"/>
      <c r="AI348" s="220"/>
      <c r="AJ348" s="50"/>
      <c r="AK348" s="257"/>
      <c r="AL348" s="257"/>
      <c r="AM348" s="52"/>
      <c r="AN348" s="88"/>
    </row>
    <row r="349" spans="1:40" s="29" customFormat="1" ht="17.25" customHeight="1">
      <c r="A349" s="48"/>
      <c r="B349" s="49"/>
      <c r="C349" s="220"/>
      <c r="D349" s="220"/>
      <c r="E349" s="220"/>
      <c r="F349" s="220"/>
      <c r="G349" s="220"/>
      <c r="H349" s="220"/>
      <c r="I349" s="220"/>
      <c r="J349" s="220"/>
      <c r="K349" s="220"/>
      <c r="L349" s="220"/>
      <c r="M349" s="220"/>
      <c r="N349" s="220"/>
      <c r="O349" s="220"/>
      <c r="P349" s="220"/>
      <c r="Q349" s="220"/>
      <c r="R349" s="220"/>
      <c r="S349" s="220"/>
      <c r="T349" s="220"/>
      <c r="U349" s="220"/>
      <c r="V349" s="220"/>
      <c r="W349" s="220"/>
      <c r="X349" s="220"/>
      <c r="Y349" s="220"/>
      <c r="Z349" s="220"/>
      <c r="AA349" s="220"/>
      <c r="AB349" s="220"/>
      <c r="AC349" s="220"/>
      <c r="AD349" s="220"/>
      <c r="AE349" s="220"/>
      <c r="AF349" s="220"/>
      <c r="AG349" s="220"/>
      <c r="AH349" s="220"/>
      <c r="AI349" s="220"/>
      <c r="AJ349" s="50"/>
      <c r="AK349" s="257"/>
      <c r="AL349" s="257"/>
      <c r="AM349" s="52"/>
      <c r="AN349" s="88"/>
    </row>
    <row r="350" spans="1:40" s="29" customFormat="1" ht="17.25" customHeight="1">
      <c r="A350" s="48"/>
      <c r="B350" s="49"/>
      <c r="C350" s="220"/>
      <c r="D350" s="220"/>
      <c r="E350" s="220"/>
      <c r="F350" s="220"/>
      <c r="G350" s="220"/>
      <c r="H350" s="220"/>
      <c r="I350" s="220"/>
      <c r="J350" s="220"/>
      <c r="K350" s="220"/>
      <c r="L350" s="220"/>
      <c r="M350" s="220"/>
      <c r="N350" s="220"/>
      <c r="O350" s="220"/>
      <c r="P350" s="220"/>
      <c r="Q350" s="220"/>
      <c r="R350" s="220"/>
      <c r="S350" s="220"/>
      <c r="T350" s="220"/>
      <c r="U350" s="220"/>
      <c r="V350" s="220"/>
      <c r="W350" s="220"/>
      <c r="X350" s="220"/>
      <c r="Y350" s="220"/>
      <c r="Z350" s="220"/>
      <c r="AA350" s="220"/>
      <c r="AB350" s="220"/>
      <c r="AC350" s="220"/>
      <c r="AD350" s="220"/>
      <c r="AE350" s="220"/>
      <c r="AF350" s="220"/>
      <c r="AG350" s="220"/>
      <c r="AH350" s="220"/>
      <c r="AI350" s="220"/>
      <c r="AJ350" s="50"/>
      <c r="AK350" s="257"/>
      <c r="AL350" s="257"/>
      <c r="AM350" s="52"/>
      <c r="AN350" s="88"/>
    </row>
    <row r="351" spans="1:40" s="29" customFormat="1" ht="17.25" customHeight="1">
      <c r="A351" s="48"/>
      <c r="B351" s="49"/>
      <c r="C351" s="220"/>
      <c r="D351" s="220"/>
      <c r="E351" s="220"/>
      <c r="F351" s="220"/>
      <c r="G351" s="220"/>
      <c r="H351" s="220"/>
      <c r="I351" s="220"/>
      <c r="J351" s="220"/>
      <c r="K351" s="220"/>
      <c r="L351" s="220"/>
      <c r="M351" s="220"/>
      <c r="N351" s="220"/>
      <c r="O351" s="220"/>
      <c r="P351" s="220"/>
      <c r="Q351" s="220"/>
      <c r="R351" s="220"/>
      <c r="S351" s="220"/>
      <c r="T351" s="220"/>
      <c r="U351" s="220"/>
      <c r="V351" s="220"/>
      <c r="W351" s="220"/>
      <c r="X351" s="220"/>
      <c r="Y351" s="220"/>
      <c r="Z351" s="220"/>
      <c r="AA351" s="220"/>
      <c r="AB351" s="220"/>
      <c r="AC351" s="220"/>
      <c r="AD351" s="220"/>
      <c r="AE351" s="220"/>
      <c r="AF351" s="220"/>
      <c r="AG351" s="220"/>
      <c r="AH351" s="220"/>
      <c r="AI351" s="220"/>
      <c r="AJ351" s="50"/>
      <c r="AK351" s="257"/>
      <c r="AL351" s="257"/>
      <c r="AM351" s="52"/>
      <c r="AN351" s="88"/>
    </row>
    <row r="352" spans="1:40" ht="31.5" customHeight="1">
      <c r="AK352" s="257"/>
    </row>
    <row r="353" spans="37:37" ht="31.5" customHeight="1">
      <c r="AK353" s="257"/>
    </row>
    <row r="354" spans="37:37" ht="31.5" customHeight="1"/>
    <row r="355" spans="37:37" ht="31.5" customHeight="1"/>
  </sheetData>
  <mergeCells count="23">
    <mergeCell ref="AM8:AN8"/>
    <mergeCell ref="U8:Y8"/>
    <mergeCell ref="Z8:AD8"/>
    <mergeCell ref="AE8:AI8"/>
    <mergeCell ref="AJ8:AJ9"/>
    <mergeCell ref="AK8:AK9"/>
    <mergeCell ref="AL8:AL9"/>
    <mergeCell ref="A7:C7"/>
    <mergeCell ref="AC7:AG7"/>
    <mergeCell ref="A8:A10"/>
    <mergeCell ref="B8:B10"/>
    <mergeCell ref="C8:C9"/>
    <mergeCell ref="D8:D9"/>
    <mergeCell ref="E8:E9"/>
    <mergeCell ref="F8:J8"/>
    <mergeCell ref="K8:O8"/>
    <mergeCell ref="P8:T8"/>
    <mergeCell ref="A6:C6"/>
    <mergeCell ref="A1:AN1"/>
    <mergeCell ref="A2:AN2"/>
    <mergeCell ref="A3:AN3"/>
    <mergeCell ref="A4:AN4"/>
    <mergeCell ref="A5:C5"/>
  </mergeCells>
  <printOptions horizontalCentered="1" verticalCentered="1"/>
  <pageMargins left="0.39370078740157483" right="0.31496062992125984" top="0.51181102362204722" bottom="0.31496062992125984" header="0.31496062992125984" footer="0.11811023622047245"/>
  <pageSetup paperSize="9" scale="46" orientation="landscape" r:id="rId1"/>
  <headerFooter>
    <oddFooter>&amp;R&amp;"Times New Roman,Italic"&amp;10Trang &amp;P</oddFooter>
  </headerFooter>
  <colBreaks count="1" manualBreakCount="1">
    <brk id="40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0057-7A56-46A1-BAFA-606321242B36}">
  <sheetPr>
    <tabColor rgb="FF7030A0"/>
  </sheetPr>
  <dimension ref="A1:AO331"/>
  <sheetViews>
    <sheetView view="pageBreakPreview" topLeftCell="A234" zoomScale="85" zoomScaleNormal="55" zoomScaleSheetLayoutView="85" workbookViewId="0">
      <selection activeCell="AC236" sqref="AC236"/>
    </sheetView>
  </sheetViews>
  <sheetFormatPr defaultColWidth="8.90625" defaultRowHeight="15.6"/>
  <cols>
    <col min="1" max="1" width="4" style="18" customWidth="1"/>
    <col min="2" max="2" width="9.453125" style="22" customWidth="1"/>
    <col min="3" max="3" width="5.90625" style="22" customWidth="1"/>
    <col min="4" max="4" width="6.54296875" style="189" customWidth="1"/>
    <col min="5" max="5" width="6" style="18" customWidth="1"/>
    <col min="6" max="6" width="6" style="18" hidden="1" customWidth="1"/>
    <col min="7" max="7" width="5.453125" style="18" customWidth="1"/>
    <col min="8" max="8" width="5" style="18" customWidth="1"/>
    <col min="9" max="9" width="5.1796875" style="18" customWidth="1"/>
    <col min="10" max="11" width="7.453125" style="18" hidden="1" customWidth="1"/>
    <col min="12" max="14" width="6.6328125" style="18" customWidth="1"/>
    <col min="15" max="15" width="7.08984375" style="18" hidden="1" customWidth="1"/>
    <col min="16" max="16" width="6.6328125" style="18" hidden="1" customWidth="1"/>
    <col min="17" max="19" width="5.6328125" style="18" customWidth="1"/>
    <col min="20" max="20" width="6.54296875" style="18" hidden="1" customWidth="1"/>
    <col min="21" max="21" width="6.36328125" style="18" hidden="1" customWidth="1"/>
    <col min="22" max="22" width="7.08984375" style="18" customWidth="1"/>
    <col min="23" max="23" width="7.36328125" style="18" customWidth="1"/>
    <col min="24" max="24" width="7" style="18" customWidth="1"/>
    <col min="25" max="25" width="7.1796875" style="18" hidden="1" customWidth="1"/>
    <col min="26" max="26" width="7" style="18" hidden="1" customWidth="1"/>
    <col min="27" max="29" width="5.6328125" style="20" customWidth="1"/>
    <col min="30" max="31" width="7.08984375" style="20" hidden="1" customWidth="1"/>
    <col min="32" max="32" width="5.36328125" style="18" customWidth="1"/>
    <col min="33" max="34" width="4.90625" style="18" customWidth="1"/>
    <col min="35" max="35" width="6.1796875" style="18" hidden="1" customWidth="1"/>
    <col min="36" max="36" width="6.08984375" style="18" customWidth="1"/>
    <col min="37" max="37" width="6.81640625" style="18" customWidth="1"/>
    <col min="38" max="38" width="7.453125" style="18" customWidth="1"/>
    <col min="39" max="39" width="10.54296875" style="18" customWidth="1"/>
    <col min="40" max="40" width="10.08984375" style="18" customWidth="1"/>
    <col min="41" max="41" width="15.453125" style="18" customWidth="1"/>
    <col min="42" max="249" width="8.90625" style="18" customWidth="1"/>
    <col min="250" max="16384" width="8.90625" style="18"/>
  </cols>
  <sheetData>
    <row r="1" spans="1:40" ht="17.25" customHeight="1">
      <c r="A1" s="342" t="s">
        <v>147</v>
      </c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  <c r="Q1" s="343"/>
      <c r="R1" s="343"/>
      <c r="S1" s="343"/>
      <c r="T1" s="343"/>
      <c r="U1" s="343"/>
      <c r="V1" s="343"/>
      <c r="W1" s="343"/>
      <c r="X1" s="343"/>
      <c r="Y1" s="343"/>
      <c r="Z1" s="343"/>
      <c r="AA1" s="343"/>
      <c r="AB1" s="343"/>
      <c r="AC1" s="343"/>
      <c r="AD1" s="343"/>
      <c r="AE1" s="343"/>
      <c r="AF1" s="343"/>
      <c r="AG1" s="343"/>
      <c r="AH1" s="343"/>
      <c r="AI1" s="343"/>
      <c r="AJ1" s="343"/>
      <c r="AK1" s="343"/>
      <c r="AL1" s="343"/>
      <c r="AM1" s="343"/>
      <c r="AN1" s="344"/>
    </row>
    <row r="2" spans="1:40" ht="17.25" customHeight="1">
      <c r="A2" s="345" t="s">
        <v>148</v>
      </c>
      <c r="B2" s="346"/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46"/>
      <c r="R2" s="346"/>
      <c r="S2" s="346"/>
      <c r="T2" s="346"/>
      <c r="U2" s="346"/>
      <c r="V2" s="346"/>
      <c r="W2" s="346"/>
      <c r="X2" s="346"/>
      <c r="Y2" s="346"/>
      <c r="Z2" s="346"/>
      <c r="AA2" s="346"/>
      <c r="AB2" s="346"/>
      <c r="AC2" s="346"/>
      <c r="AD2" s="346"/>
      <c r="AE2" s="346"/>
      <c r="AF2" s="346"/>
      <c r="AG2" s="346"/>
      <c r="AH2" s="346"/>
      <c r="AI2" s="346"/>
      <c r="AJ2" s="346"/>
      <c r="AK2" s="346"/>
      <c r="AL2" s="346"/>
      <c r="AM2" s="346"/>
      <c r="AN2" s="347"/>
    </row>
    <row r="3" spans="1:40" ht="17.25" customHeight="1">
      <c r="A3" s="345" t="s">
        <v>149</v>
      </c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  <c r="Q3" s="346"/>
      <c r="R3" s="346"/>
      <c r="S3" s="346"/>
      <c r="T3" s="346"/>
      <c r="U3" s="346"/>
      <c r="V3" s="346"/>
      <c r="W3" s="346"/>
      <c r="X3" s="346"/>
      <c r="Y3" s="346"/>
      <c r="Z3" s="346"/>
      <c r="AA3" s="346"/>
      <c r="AB3" s="346"/>
      <c r="AC3" s="346"/>
      <c r="AD3" s="346"/>
      <c r="AE3" s="346"/>
      <c r="AF3" s="346"/>
      <c r="AG3" s="346"/>
      <c r="AH3" s="346"/>
      <c r="AI3" s="346"/>
      <c r="AJ3" s="346"/>
      <c r="AK3" s="346"/>
      <c r="AL3" s="346"/>
      <c r="AM3" s="346"/>
      <c r="AN3" s="347"/>
    </row>
    <row r="4" spans="1:40" s="19" customFormat="1" ht="17.25" customHeight="1">
      <c r="A4" s="348" t="s">
        <v>121</v>
      </c>
      <c r="B4" s="349"/>
      <c r="C4" s="349"/>
      <c r="D4" s="349"/>
      <c r="E4" s="349"/>
      <c r="F4" s="349"/>
      <c r="G4" s="349"/>
      <c r="H4" s="349"/>
      <c r="I4" s="349"/>
      <c r="J4" s="349"/>
      <c r="K4" s="349"/>
      <c r="L4" s="349"/>
      <c r="M4" s="349"/>
      <c r="N4" s="349"/>
      <c r="O4" s="349"/>
      <c r="P4" s="349"/>
      <c r="Q4" s="349"/>
      <c r="R4" s="349"/>
      <c r="S4" s="349"/>
      <c r="T4" s="349"/>
      <c r="U4" s="349"/>
      <c r="V4" s="349"/>
      <c r="W4" s="349"/>
      <c r="X4" s="349"/>
      <c r="Y4" s="349"/>
      <c r="Z4" s="349"/>
      <c r="AA4" s="349"/>
      <c r="AB4" s="349"/>
      <c r="AC4" s="349"/>
      <c r="AD4" s="349"/>
      <c r="AE4" s="349"/>
      <c r="AF4" s="349"/>
      <c r="AG4" s="349"/>
      <c r="AH4" s="349"/>
      <c r="AI4" s="349"/>
      <c r="AJ4" s="349"/>
      <c r="AK4" s="349"/>
      <c r="AL4" s="349"/>
      <c r="AM4" s="349"/>
      <c r="AN4" s="350"/>
    </row>
    <row r="5" spans="1:40" s="19" customFormat="1" ht="17.25" customHeight="1">
      <c r="A5" s="351" t="s">
        <v>122</v>
      </c>
      <c r="B5" s="352"/>
      <c r="C5" s="352"/>
      <c r="D5" s="234"/>
      <c r="E5" s="234"/>
      <c r="F5" s="234"/>
      <c r="G5" s="234"/>
      <c r="H5" s="234"/>
      <c r="I5" s="234"/>
      <c r="J5" s="234"/>
      <c r="K5" s="234"/>
      <c r="L5" s="234"/>
      <c r="M5" s="235"/>
      <c r="N5" s="235"/>
      <c r="O5" s="235"/>
      <c r="P5" s="235"/>
      <c r="Q5" s="235"/>
      <c r="R5" s="234"/>
      <c r="S5" s="234"/>
      <c r="T5" s="234"/>
      <c r="U5" s="234"/>
      <c r="V5" s="234"/>
      <c r="W5" s="234"/>
      <c r="X5" s="234"/>
      <c r="Y5" s="234"/>
      <c r="Z5" s="234"/>
      <c r="AA5" s="234" t="s">
        <v>123</v>
      </c>
      <c r="AB5" s="234"/>
      <c r="AC5" s="234"/>
      <c r="AD5" s="234"/>
      <c r="AE5" s="234"/>
      <c r="AF5" s="234"/>
      <c r="AG5" s="234"/>
      <c r="AH5" s="234"/>
      <c r="AI5" s="234"/>
      <c r="AJ5" s="234"/>
      <c r="AK5" s="234"/>
      <c r="AL5" s="234"/>
      <c r="AM5" s="234"/>
      <c r="AN5" s="238"/>
    </row>
    <row r="6" spans="1:40" s="19" customFormat="1" ht="17.25" customHeight="1">
      <c r="A6" s="353" t="s">
        <v>124</v>
      </c>
      <c r="B6" s="354"/>
      <c r="C6" s="354"/>
      <c r="D6" s="236"/>
      <c r="E6" s="236"/>
      <c r="F6" s="236"/>
      <c r="G6" s="236"/>
      <c r="H6" s="236"/>
      <c r="I6" s="236"/>
      <c r="J6" s="236"/>
      <c r="K6" s="236"/>
      <c r="L6" s="236"/>
      <c r="M6" s="237"/>
      <c r="N6" s="237"/>
      <c r="O6" s="237"/>
      <c r="P6" s="237"/>
      <c r="Q6" s="237"/>
      <c r="R6" s="236"/>
      <c r="S6" s="236"/>
      <c r="T6" s="236"/>
      <c r="U6" s="236"/>
      <c r="V6" s="236"/>
      <c r="W6" s="236"/>
      <c r="X6" s="236"/>
      <c r="Y6" s="236"/>
      <c r="Z6" s="236"/>
      <c r="AA6" s="236" t="s">
        <v>125</v>
      </c>
      <c r="AB6" s="236"/>
      <c r="AC6" s="220">
        <f>C11</f>
        <v>1049</v>
      </c>
      <c r="AD6" s="258"/>
      <c r="AE6" s="258"/>
      <c r="AF6" s="236"/>
      <c r="AG6" s="236"/>
      <c r="AH6" s="236"/>
      <c r="AI6" s="236"/>
      <c r="AJ6" s="236"/>
      <c r="AK6" s="236"/>
      <c r="AL6" s="236"/>
      <c r="AM6" s="236"/>
      <c r="AN6" s="239"/>
    </row>
    <row r="7" spans="1:40" s="19" customFormat="1" ht="17.25" customHeight="1">
      <c r="A7" s="339" t="s">
        <v>126</v>
      </c>
      <c r="B7" s="340" t="s">
        <v>143</v>
      </c>
      <c r="C7" s="340"/>
      <c r="D7" s="240" t="s">
        <v>154</v>
      </c>
      <c r="E7" s="240"/>
      <c r="F7" s="240"/>
      <c r="G7" s="240"/>
      <c r="H7" s="240"/>
      <c r="I7" s="240"/>
      <c r="J7" s="240"/>
      <c r="K7" s="240"/>
      <c r="L7" s="240"/>
      <c r="M7" s="241"/>
      <c r="N7" s="241"/>
      <c r="O7" s="241"/>
      <c r="P7" s="241"/>
      <c r="Q7" s="241"/>
      <c r="R7" s="240"/>
      <c r="S7" s="240"/>
      <c r="T7" s="240"/>
      <c r="U7" s="240"/>
      <c r="V7" s="240"/>
      <c r="W7" s="240"/>
      <c r="X7" s="240"/>
      <c r="Y7" s="240"/>
      <c r="Z7" s="240"/>
      <c r="AA7" s="240" t="s">
        <v>127</v>
      </c>
      <c r="AB7" s="240"/>
      <c r="AC7" s="341">
        <f>B11</f>
        <v>45576</v>
      </c>
      <c r="AD7" s="341"/>
      <c r="AE7" s="341"/>
      <c r="AF7" s="341"/>
      <c r="AG7" s="341"/>
      <c r="AH7" s="240"/>
      <c r="AI7" s="240"/>
      <c r="AJ7" s="240"/>
      <c r="AK7" s="240"/>
      <c r="AL7" s="240"/>
      <c r="AM7" s="240"/>
      <c r="AN7" s="242"/>
    </row>
    <row r="8" spans="1:40" s="46" customFormat="1" ht="47.25" customHeight="1">
      <c r="A8" s="357" t="s">
        <v>1</v>
      </c>
      <c r="B8" s="359" t="s">
        <v>2</v>
      </c>
      <c r="C8" s="360" t="s">
        <v>10</v>
      </c>
      <c r="D8" s="360" t="s">
        <v>3</v>
      </c>
      <c r="E8" s="357" t="s">
        <v>11</v>
      </c>
      <c r="F8" s="265" t="s">
        <v>70</v>
      </c>
      <c r="G8" s="362" t="s">
        <v>70</v>
      </c>
      <c r="H8" s="363"/>
      <c r="I8" s="363"/>
      <c r="J8" s="266"/>
      <c r="K8" s="265" t="s">
        <v>98</v>
      </c>
      <c r="L8" s="362" t="s">
        <v>98</v>
      </c>
      <c r="M8" s="363"/>
      <c r="N8" s="363"/>
      <c r="O8" s="266"/>
      <c r="P8" s="267" t="s">
        <v>99</v>
      </c>
      <c r="Q8" s="362" t="s">
        <v>99</v>
      </c>
      <c r="R8" s="363"/>
      <c r="S8" s="364"/>
      <c r="T8" s="267"/>
      <c r="U8" s="267" t="s">
        <v>71</v>
      </c>
      <c r="V8" s="362" t="s">
        <v>71</v>
      </c>
      <c r="W8" s="363"/>
      <c r="X8" s="364"/>
      <c r="Y8" s="267"/>
      <c r="Z8" s="268" t="s">
        <v>100</v>
      </c>
      <c r="AA8" s="355" t="s">
        <v>100</v>
      </c>
      <c r="AB8" s="358"/>
      <c r="AC8" s="356"/>
      <c r="AD8" s="268"/>
      <c r="AE8" s="268" t="s">
        <v>101</v>
      </c>
      <c r="AF8" s="355" t="s">
        <v>101</v>
      </c>
      <c r="AG8" s="358"/>
      <c r="AH8" s="356"/>
      <c r="AI8" s="268"/>
      <c r="AJ8" s="357" t="s">
        <v>73</v>
      </c>
      <c r="AK8" s="357" t="s">
        <v>72</v>
      </c>
      <c r="AL8" s="357" t="s">
        <v>144</v>
      </c>
      <c r="AM8" s="355" t="s">
        <v>66</v>
      </c>
      <c r="AN8" s="356"/>
    </row>
    <row r="9" spans="1:40" s="29" customFormat="1" ht="40.5" customHeight="1">
      <c r="A9" s="357"/>
      <c r="B9" s="359"/>
      <c r="C9" s="361"/>
      <c r="D9" s="361"/>
      <c r="E9" s="357"/>
      <c r="F9" s="47" t="s">
        <v>145</v>
      </c>
      <c r="G9" s="47" t="s">
        <v>6</v>
      </c>
      <c r="H9" s="47" t="s">
        <v>7</v>
      </c>
      <c r="I9" s="47" t="s">
        <v>8</v>
      </c>
      <c r="J9" s="47" t="s">
        <v>146</v>
      </c>
      <c r="K9" s="47" t="s">
        <v>145</v>
      </c>
      <c r="L9" s="47" t="s">
        <v>6</v>
      </c>
      <c r="M9" s="47" t="s">
        <v>7</v>
      </c>
      <c r="N9" s="47" t="s">
        <v>8</v>
      </c>
      <c r="O9" s="47" t="s">
        <v>146</v>
      </c>
      <c r="P9" s="47" t="s">
        <v>145</v>
      </c>
      <c r="Q9" s="47" t="s">
        <v>6</v>
      </c>
      <c r="R9" s="47" t="s">
        <v>7</v>
      </c>
      <c r="S9" s="47" t="s">
        <v>8</v>
      </c>
      <c r="T9" s="47" t="s">
        <v>146</v>
      </c>
      <c r="U9" s="47" t="s">
        <v>145</v>
      </c>
      <c r="V9" s="47" t="s">
        <v>6</v>
      </c>
      <c r="W9" s="47" t="s">
        <v>7</v>
      </c>
      <c r="X9" s="47" t="s">
        <v>8</v>
      </c>
      <c r="Y9" s="47" t="s">
        <v>146</v>
      </c>
      <c r="Z9" s="47" t="s">
        <v>145</v>
      </c>
      <c r="AA9" s="47" t="s">
        <v>6</v>
      </c>
      <c r="AB9" s="47" t="s">
        <v>7</v>
      </c>
      <c r="AC9" s="47" t="s">
        <v>8</v>
      </c>
      <c r="AD9" s="47" t="s">
        <v>146</v>
      </c>
      <c r="AE9" s="47" t="s">
        <v>145</v>
      </c>
      <c r="AF9" s="47" t="s">
        <v>6</v>
      </c>
      <c r="AG9" s="47" t="s">
        <v>7</v>
      </c>
      <c r="AH9" s="47" t="s">
        <v>8</v>
      </c>
      <c r="AI9" s="47" t="s">
        <v>146</v>
      </c>
      <c r="AJ9" s="357"/>
      <c r="AK9" s="357"/>
      <c r="AL9" s="357"/>
      <c r="AM9" s="47" t="s">
        <v>67</v>
      </c>
      <c r="AN9" s="87" t="s">
        <v>68</v>
      </c>
    </row>
    <row r="10" spans="1:40" s="29" customFormat="1" ht="20.100000000000001" customHeight="1">
      <c r="A10" s="357"/>
      <c r="B10" s="359"/>
      <c r="C10" s="49" t="s">
        <v>0</v>
      </c>
      <c r="D10" s="49" t="s">
        <v>0</v>
      </c>
      <c r="E10" s="48" t="s">
        <v>0</v>
      </c>
      <c r="F10" s="48" t="s">
        <v>0</v>
      </c>
      <c r="G10" s="48" t="s">
        <v>0</v>
      </c>
      <c r="H10" s="48" t="s">
        <v>0</v>
      </c>
      <c r="I10" s="48" t="s">
        <v>0</v>
      </c>
      <c r="J10" s="48" t="s">
        <v>0</v>
      </c>
      <c r="K10" s="48" t="s">
        <v>0</v>
      </c>
      <c r="L10" s="48" t="s">
        <v>0</v>
      </c>
      <c r="M10" s="48" t="s">
        <v>0</v>
      </c>
      <c r="N10" s="48" t="s">
        <v>0</v>
      </c>
      <c r="O10" s="48" t="s">
        <v>0</v>
      </c>
      <c r="P10" s="48" t="s">
        <v>0</v>
      </c>
      <c r="Q10" s="48" t="s">
        <v>0</v>
      </c>
      <c r="R10" s="48" t="s">
        <v>0</v>
      </c>
      <c r="S10" s="48" t="s">
        <v>0</v>
      </c>
      <c r="T10" s="48" t="s">
        <v>0</v>
      </c>
      <c r="U10" s="48" t="s">
        <v>0</v>
      </c>
      <c r="V10" s="48" t="s">
        <v>0</v>
      </c>
      <c r="W10" s="48" t="s">
        <v>0</v>
      </c>
      <c r="X10" s="48" t="s">
        <v>0</v>
      </c>
      <c r="Y10" s="48" t="s">
        <v>0</v>
      </c>
      <c r="Z10" s="48" t="s">
        <v>9</v>
      </c>
      <c r="AA10" s="48" t="s">
        <v>9</v>
      </c>
      <c r="AB10" s="48" t="s">
        <v>9</v>
      </c>
      <c r="AC10" s="48" t="s">
        <v>9</v>
      </c>
      <c r="AD10" s="48" t="s">
        <v>9</v>
      </c>
      <c r="AE10" s="48" t="s">
        <v>9</v>
      </c>
      <c r="AF10" s="48" t="s">
        <v>9</v>
      </c>
      <c r="AG10" s="48" t="s">
        <v>9</v>
      </c>
      <c r="AH10" s="48" t="s">
        <v>9</v>
      </c>
      <c r="AI10" s="48" t="s">
        <v>9</v>
      </c>
      <c r="AJ10" s="48" t="s">
        <v>0</v>
      </c>
      <c r="AK10" s="48" t="s">
        <v>0</v>
      </c>
      <c r="AL10" s="48" t="s">
        <v>0</v>
      </c>
      <c r="AM10" s="48"/>
      <c r="AN10" s="67"/>
    </row>
    <row r="11" spans="1:40" s="29" customFormat="1" ht="17.25" customHeight="1">
      <c r="A11" s="48">
        <v>1</v>
      </c>
      <c r="B11" s="49">
        <v>45576</v>
      </c>
      <c r="C11" s="220">
        <v>1049</v>
      </c>
      <c r="D11" s="220">
        <v>2100</v>
      </c>
      <c r="E11" s="220">
        <f t="shared" ref="E11" si="0">SUM(C11:D11)</f>
        <v>3149</v>
      </c>
      <c r="F11" s="220">
        <f>E11-K11</f>
        <v>500</v>
      </c>
      <c r="G11" s="220">
        <f>E11-L11</f>
        <v>520</v>
      </c>
      <c r="H11" s="220">
        <f>E11-M11</f>
        <v>550</v>
      </c>
      <c r="I11" s="220">
        <f>E11-N11</f>
        <v>595</v>
      </c>
      <c r="J11" s="220">
        <f>E11-O11</f>
        <v>590</v>
      </c>
      <c r="K11" s="220">
        <f>P11+U11</f>
        <v>2649</v>
      </c>
      <c r="L11" s="220">
        <v>2629</v>
      </c>
      <c r="M11" s="220">
        <v>2599</v>
      </c>
      <c r="N11" s="220">
        <v>2554</v>
      </c>
      <c r="O11" s="220">
        <f>T11+Y11</f>
        <v>2559</v>
      </c>
      <c r="P11" s="220">
        <v>2000</v>
      </c>
      <c r="Q11" s="220">
        <v>2000</v>
      </c>
      <c r="R11" s="220">
        <v>2000</v>
      </c>
      <c r="S11" s="220">
        <v>2000</v>
      </c>
      <c r="T11" s="220">
        <v>2000</v>
      </c>
      <c r="U11" s="220">
        <v>649</v>
      </c>
      <c r="V11" s="220">
        <v>629</v>
      </c>
      <c r="W11" s="220">
        <v>599</v>
      </c>
      <c r="X11" s="220">
        <v>554</v>
      </c>
      <c r="Y11" s="220">
        <v>559</v>
      </c>
      <c r="Z11" s="220">
        <v>0</v>
      </c>
      <c r="AA11" s="220">
        <v>0</v>
      </c>
      <c r="AB11" s="220">
        <v>0</v>
      </c>
      <c r="AC11" s="220">
        <v>0</v>
      </c>
      <c r="AD11" s="220">
        <v>0</v>
      </c>
      <c r="AE11" s="220">
        <v>0</v>
      </c>
      <c r="AF11" s="220">
        <v>0</v>
      </c>
      <c r="AG11" s="220">
        <v>0</v>
      </c>
      <c r="AH11" s="220">
        <v>0</v>
      </c>
      <c r="AI11" s="220">
        <v>0</v>
      </c>
      <c r="AJ11" s="50">
        <f>W11/1000</f>
        <v>0.59899999999999998</v>
      </c>
      <c r="AK11" s="257"/>
      <c r="AL11" s="257">
        <f>AK11</f>
        <v>0</v>
      </c>
      <c r="AM11" s="52"/>
      <c r="AN11" s="88"/>
    </row>
    <row r="12" spans="1:40" s="261" customFormat="1" ht="17.25" customHeight="1">
      <c r="A12" s="76">
        <v>2</v>
      </c>
      <c r="B12" s="77">
        <f>B11+1</f>
        <v>45577</v>
      </c>
      <c r="C12" s="213">
        <f>+C11</f>
        <v>1049</v>
      </c>
      <c r="D12" s="213">
        <f>D11+15</f>
        <v>2115</v>
      </c>
      <c r="E12" s="213">
        <f>+C12+D12</f>
        <v>3164</v>
      </c>
      <c r="F12" s="213">
        <f t="shared" ref="F12:F75" si="1">E12-K12</f>
        <v>519</v>
      </c>
      <c r="G12" s="213">
        <f t="shared" ref="G12:G75" si="2">E12-L12</f>
        <v>539</v>
      </c>
      <c r="H12" s="213">
        <f t="shared" ref="H12:H75" si="3">E12-M12</f>
        <v>569</v>
      </c>
      <c r="I12" s="213">
        <f t="shared" ref="I12:I75" si="4">E12-N12</f>
        <v>615</v>
      </c>
      <c r="J12" s="213">
        <f t="shared" ref="J12:J75" si="5">E12-O12</f>
        <v>609</v>
      </c>
      <c r="K12" s="213">
        <f t="shared" ref="K12:O62" si="6">P12+U12</f>
        <v>2645</v>
      </c>
      <c r="L12" s="213">
        <f t="shared" si="6"/>
        <v>2625</v>
      </c>
      <c r="M12" s="213">
        <f t="shared" si="6"/>
        <v>2595</v>
      </c>
      <c r="N12" s="213">
        <f t="shared" si="6"/>
        <v>2549</v>
      </c>
      <c r="O12" s="213">
        <f t="shared" si="6"/>
        <v>2555</v>
      </c>
      <c r="P12" s="213">
        <f>+P11</f>
        <v>2000</v>
      </c>
      <c r="Q12" s="213">
        <f>+Q11</f>
        <v>2000</v>
      </c>
      <c r="R12" s="213">
        <f>+R11</f>
        <v>2000</v>
      </c>
      <c r="S12" s="213">
        <f>+S11</f>
        <v>2000</v>
      </c>
      <c r="T12" s="213">
        <f>+T11</f>
        <v>2000</v>
      </c>
      <c r="U12" s="213">
        <f>U11-Z12</f>
        <v>645</v>
      </c>
      <c r="V12" s="213">
        <f>V11-AA12</f>
        <v>625</v>
      </c>
      <c r="W12" s="213">
        <f>W11-AB12</f>
        <v>595</v>
      </c>
      <c r="X12" s="213">
        <f>X11-AC12</f>
        <v>549</v>
      </c>
      <c r="Y12" s="213">
        <f>Y11-AD12</f>
        <v>555</v>
      </c>
      <c r="Z12" s="213">
        <v>4</v>
      </c>
      <c r="AA12" s="213">
        <v>4</v>
      </c>
      <c r="AB12" s="213">
        <v>4</v>
      </c>
      <c r="AC12" s="213">
        <v>5</v>
      </c>
      <c r="AD12" s="213">
        <v>4</v>
      </c>
      <c r="AE12" s="213">
        <f>AE11-Z12</f>
        <v>-4</v>
      </c>
      <c r="AF12" s="213">
        <f>AF11-AA12</f>
        <v>-4</v>
      </c>
      <c r="AG12" s="213">
        <f>AG11-AB12</f>
        <v>-4</v>
      </c>
      <c r="AH12" s="213">
        <f>AH11-AC12</f>
        <v>-5</v>
      </c>
      <c r="AI12" s="213">
        <f>AI11-AD12</f>
        <v>-4</v>
      </c>
      <c r="AJ12" s="78">
        <f>AJ11-AB12/1000+AK12</f>
        <v>0.89500000000000002</v>
      </c>
      <c r="AK12" s="259">
        <v>0.3</v>
      </c>
      <c r="AL12" s="259">
        <f>AL11+AK12</f>
        <v>0.3</v>
      </c>
      <c r="AM12" s="81"/>
      <c r="AN12" s="260"/>
    </row>
    <row r="13" spans="1:40" s="29" customFormat="1" ht="17.25" customHeight="1">
      <c r="A13" s="48">
        <v>3</v>
      </c>
      <c r="B13" s="49">
        <f t="shared" ref="B13:B76" si="7">B12+1</f>
        <v>45578</v>
      </c>
      <c r="C13" s="220">
        <f t="shared" ref="C13:C76" si="8">+C12</f>
        <v>1049</v>
      </c>
      <c r="D13" s="220">
        <f>D12+26</f>
        <v>2141</v>
      </c>
      <c r="E13" s="220">
        <f t="shared" ref="E13:E76" si="9">+C13+D13</f>
        <v>3190</v>
      </c>
      <c r="F13" s="220">
        <f t="shared" si="1"/>
        <v>548</v>
      </c>
      <c r="G13" s="220">
        <f t="shared" si="2"/>
        <v>569</v>
      </c>
      <c r="H13" s="220">
        <f t="shared" si="3"/>
        <v>598</v>
      </c>
      <c r="I13" s="220">
        <f t="shared" si="4"/>
        <v>646</v>
      </c>
      <c r="J13" s="220">
        <f t="shared" si="5"/>
        <v>638</v>
      </c>
      <c r="K13" s="220">
        <f t="shared" si="6"/>
        <v>2642</v>
      </c>
      <c r="L13" s="220">
        <f t="shared" si="6"/>
        <v>2621</v>
      </c>
      <c r="M13" s="220">
        <f t="shared" si="6"/>
        <v>2592</v>
      </c>
      <c r="N13" s="220">
        <f t="shared" si="6"/>
        <v>2544</v>
      </c>
      <c r="O13" s="220">
        <f t="shared" si="6"/>
        <v>2552</v>
      </c>
      <c r="P13" s="220">
        <f t="shared" ref="P13:T28" si="10">+P12</f>
        <v>2000</v>
      </c>
      <c r="Q13" s="220">
        <f t="shared" si="10"/>
        <v>2000</v>
      </c>
      <c r="R13" s="220">
        <f t="shared" si="10"/>
        <v>2000</v>
      </c>
      <c r="S13" s="220">
        <f t="shared" si="10"/>
        <v>2000</v>
      </c>
      <c r="T13" s="220">
        <f t="shared" si="10"/>
        <v>2000</v>
      </c>
      <c r="U13" s="220">
        <f t="shared" ref="U13:Y28" si="11">U12-Z13</f>
        <v>642</v>
      </c>
      <c r="V13" s="220">
        <f t="shared" si="11"/>
        <v>621</v>
      </c>
      <c r="W13" s="220">
        <f t="shared" si="11"/>
        <v>592</v>
      </c>
      <c r="X13" s="220">
        <f t="shared" si="11"/>
        <v>544</v>
      </c>
      <c r="Y13" s="220">
        <f t="shared" si="11"/>
        <v>552</v>
      </c>
      <c r="Z13" s="220">
        <v>3</v>
      </c>
      <c r="AA13" s="220">
        <v>4</v>
      </c>
      <c r="AB13" s="220">
        <v>3</v>
      </c>
      <c r="AC13" s="220">
        <v>5</v>
      </c>
      <c r="AD13" s="220">
        <v>3</v>
      </c>
      <c r="AE13" s="220">
        <f t="shared" ref="AE13:AI28" si="12">AE12-Z13</f>
        <v>-7</v>
      </c>
      <c r="AF13" s="220">
        <f t="shared" si="12"/>
        <v>-8</v>
      </c>
      <c r="AG13" s="220">
        <f t="shared" si="12"/>
        <v>-7</v>
      </c>
      <c r="AH13" s="220">
        <f t="shared" si="12"/>
        <v>-10</v>
      </c>
      <c r="AI13" s="220">
        <f t="shared" si="12"/>
        <v>-7</v>
      </c>
      <c r="AJ13" s="50">
        <f t="shared" ref="AJ13:AJ76" si="13">AJ12-AB13/1000+AK13</f>
        <v>0.89200000000000002</v>
      </c>
      <c r="AK13" s="257"/>
      <c r="AL13" s="257">
        <f t="shared" ref="AL13:AL76" si="14">AL12+AK13</f>
        <v>0.3</v>
      </c>
      <c r="AM13" s="52"/>
      <c r="AN13" s="88"/>
    </row>
    <row r="14" spans="1:40" s="29" customFormat="1" ht="17.25" customHeight="1">
      <c r="A14" s="48">
        <v>4</v>
      </c>
      <c r="B14" s="49">
        <f t="shared" si="7"/>
        <v>45579</v>
      </c>
      <c r="C14" s="220">
        <f t="shared" si="8"/>
        <v>1049</v>
      </c>
      <c r="D14" s="220">
        <f>D13+32</f>
        <v>2173</v>
      </c>
      <c r="E14" s="220">
        <f t="shared" si="9"/>
        <v>3222</v>
      </c>
      <c r="F14" s="220">
        <f t="shared" si="1"/>
        <v>583</v>
      </c>
      <c r="G14" s="220">
        <f t="shared" si="2"/>
        <v>608</v>
      </c>
      <c r="H14" s="220">
        <f t="shared" si="3"/>
        <v>638</v>
      </c>
      <c r="I14" s="220">
        <f t="shared" si="4"/>
        <v>683</v>
      </c>
      <c r="J14" s="220">
        <f t="shared" si="5"/>
        <v>673</v>
      </c>
      <c r="K14" s="220">
        <f t="shared" si="6"/>
        <v>2639</v>
      </c>
      <c r="L14" s="220">
        <f t="shared" si="6"/>
        <v>2614</v>
      </c>
      <c r="M14" s="220">
        <f t="shared" si="6"/>
        <v>2584</v>
      </c>
      <c r="N14" s="220">
        <f t="shared" si="6"/>
        <v>2539</v>
      </c>
      <c r="O14" s="220">
        <f t="shared" si="6"/>
        <v>2549</v>
      </c>
      <c r="P14" s="220">
        <f t="shared" si="10"/>
        <v>2000</v>
      </c>
      <c r="Q14" s="220">
        <f t="shared" si="10"/>
        <v>2000</v>
      </c>
      <c r="R14" s="220">
        <f t="shared" si="10"/>
        <v>2000</v>
      </c>
      <c r="S14" s="220">
        <f t="shared" si="10"/>
        <v>2000</v>
      </c>
      <c r="T14" s="220">
        <f t="shared" si="10"/>
        <v>2000</v>
      </c>
      <c r="U14" s="220">
        <f t="shared" si="11"/>
        <v>639</v>
      </c>
      <c r="V14" s="220">
        <f t="shared" si="11"/>
        <v>614</v>
      </c>
      <c r="W14" s="220">
        <f t="shared" si="11"/>
        <v>584</v>
      </c>
      <c r="X14" s="220">
        <f t="shared" si="11"/>
        <v>539</v>
      </c>
      <c r="Y14" s="220">
        <f t="shared" si="11"/>
        <v>549</v>
      </c>
      <c r="Z14" s="220">
        <v>3</v>
      </c>
      <c r="AA14" s="220">
        <v>7</v>
      </c>
      <c r="AB14" s="220">
        <v>8</v>
      </c>
      <c r="AC14" s="220">
        <v>5</v>
      </c>
      <c r="AD14" s="220">
        <v>3</v>
      </c>
      <c r="AE14" s="220">
        <f t="shared" si="12"/>
        <v>-10</v>
      </c>
      <c r="AF14" s="220">
        <f t="shared" si="12"/>
        <v>-15</v>
      </c>
      <c r="AG14" s="220">
        <f t="shared" si="12"/>
        <v>-15</v>
      </c>
      <c r="AH14" s="220">
        <f t="shared" si="12"/>
        <v>-15</v>
      </c>
      <c r="AI14" s="220">
        <f t="shared" si="12"/>
        <v>-10</v>
      </c>
      <c r="AJ14" s="50">
        <f t="shared" si="13"/>
        <v>0.88400000000000001</v>
      </c>
      <c r="AK14" s="257"/>
      <c r="AL14" s="257">
        <f t="shared" si="14"/>
        <v>0.3</v>
      </c>
      <c r="AM14" s="52"/>
      <c r="AN14" s="88"/>
    </row>
    <row r="15" spans="1:40" s="29" customFormat="1" ht="17.25" customHeight="1">
      <c r="A15" s="48">
        <v>5</v>
      </c>
      <c r="B15" s="49">
        <f t="shared" si="7"/>
        <v>45580</v>
      </c>
      <c r="C15" s="220">
        <f t="shared" si="8"/>
        <v>1049</v>
      </c>
      <c r="D15" s="220">
        <f>D14-18</f>
        <v>2155</v>
      </c>
      <c r="E15" s="220">
        <f t="shared" si="9"/>
        <v>3204</v>
      </c>
      <c r="F15" s="220">
        <f t="shared" si="1"/>
        <v>567</v>
      </c>
      <c r="G15" s="220">
        <f t="shared" si="2"/>
        <v>596</v>
      </c>
      <c r="H15" s="220">
        <f t="shared" si="3"/>
        <v>627</v>
      </c>
      <c r="I15" s="220">
        <f t="shared" si="4"/>
        <v>669</v>
      </c>
      <c r="J15" s="220">
        <f t="shared" si="5"/>
        <v>657</v>
      </c>
      <c r="K15" s="220">
        <f t="shared" si="6"/>
        <v>2637</v>
      </c>
      <c r="L15" s="220">
        <f t="shared" si="6"/>
        <v>2608</v>
      </c>
      <c r="M15" s="220">
        <f t="shared" si="6"/>
        <v>2577</v>
      </c>
      <c r="N15" s="220">
        <f t="shared" si="6"/>
        <v>2535</v>
      </c>
      <c r="O15" s="220">
        <f t="shared" si="6"/>
        <v>2547</v>
      </c>
      <c r="P15" s="220">
        <f t="shared" si="10"/>
        <v>2000</v>
      </c>
      <c r="Q15" s="220">
        <f t="shared" si="10"/>
        <v>2000</v>
      </c>
      <c r="R15" s="220">
        <f t="shared" si="10"/>
        <v>2000</v>
      </c>
      <c r="S15" s="220">
        <f t="shared" si="10"/>
        <v>2000</v>
      </c>
      <c r="T15" s="220">
        <f t="shared" si="10"/>
        <v>2000</v>
      </c>
      <c r="U15" s="220">
        <f t="shared" si="11"/>
        <v>637</v>
      </c>
      <c r="V15" s="220">
        <f t="shared" si="11"/>
        <v>608</v>
      </c>
      <c r="W15" s="220">
        <f t="shared" si="11"/>
        <v>577</v>
      </c>
      <c r="X15" s="220">
        <f t="shared" si="11"/>
        <v>535</v>
      </c>
      <c r="Y15" s="220">
        <f t="shared" si="11"/>
        <v>547</v>
      </c>
      <c r="Z15" s="220">
        <v>2</v>
      </c>
      <c r="AA15" s="220">
        <v>6</v>
      </c>
      <c r="AB15" s="220">
        <v>7</v>
      </c>
      <c r="AC15" s="220">
        <v>4</v>
      </c>
      <c r="AD15" s="220">
        <v>2</v>
      </c>
      <c r="AE15" s="220">
        <f t="shared" si="12"/>
        <v>-12</v>
      </c>
      <c r="AF15" s="220">
        <f t="shared" si="12"/>
        <v>-21</v>
      </c>
      <c r="AG15" s="220">
        <f t="shared" si="12"/>
        <v>-22</v>
      </c>
      <c r="AH15" s="220">
        <f t="shared" si="12"/>
        <v>-19</v>
      </c>
      <c r="AI15" s="220">
        <f t="shared" si="12"/>
        <v>-12</v>
      </c>
      <c r="AJ15" s="50">
        <f t="shared" si="13"/>
        <v>0.877</v>
      </c>
      <c r="AK15" s="257"/>
      <c r="AL15" s="257">
        <f t="shared" si="14"/>
        <v>0.3</v>
      </c>
      <c r="AM15" s="52"/>
      <c r="AN15" s="88"/>
    </row>
    <row r="16" spans="1:40" s="29" customFormat="1" ht="17.25" customHeight="1">
      <c r="A16" s="48">
        <v>6</v>
      </c>
      <c r="B16" s="49">
        <f t="shared" si="7"/>
        <v>45581</v>
      </c>
      <c r="C16" s="220">
        <f t="shared" si="8"/>
        <v>1049</v>
      </c>
      <c r="D16" s="220">
        <f>D15-26</f>
        <v>2129</v>
      </c>
      <c r="E16" s="220">
        <f t="shared" si="9"/>
        <v>3178</v>
      </c>
      <c r="F16" s="220">
        <f t="shared" si="1"/>
        <v>545</v>
      </c>
      <c r="G16" s="220">
        <f t="shared" si="2"/>
        <v>579</v>
      </c>
      <c r="H16" s="220">
        <f t="shared" si="3"/>
        <v>610</v>
      </c>
      <c r="I16" s="220">
        <f t="shared" si="4"/>
        <v>652</v>
      </c>
      <c r="J16" s="220">
        <f t="shared" si="5"/>
        <v>635</v>
      </c>
      <c r="K16" s="220">
        <f t="shared" si="6"/>
        <v>2633</v>
      </c>
      <c r="L16" s="220">
        <f t="shared" si="6"/>
        <v>2599</v>
      </c>
      <c r="M16" s="220">
        <f t="shared" si="6"/>
        <v>2568</v>
      </c>
      <c r="N16" s="220">
        <f t="shared" si="6"/>
        <v>2526</v>
      </c>
      <c r="O16" s="220">
        <f t="shared" si="6"/>
        <v>2543</v>
      </c>
      <c r="P16" s="220">
        <f t="shared" si="10"/>
        <v>2000</v>
      </c>
      <c r="Q16" s="220">
        <f t="shared" si="10"/>
        <v>2000</v>
      </c>
      <c r="R16" s="220">
        <f t="shared" si="10"/>
        <v>2000</v>
      </c>
      <c r="S16" s="220">
        <f t="shared" si="10"/>
        <v>2000</v>
      </c>
      <c r="T16" s="220">
        <f t="shared" si="10"/>
        <v>2000</v>
      </c>
      <c r="U16" s="220">
        <f t="shared" si="11"/>
        <v>633</v>
      </c>
      <c r="V16" s="220">
        <f t="shared" si="11"/>
        <v>599</v>
      </c>
      <c r="W16" s="220">
        <f t="shared" si="11"/>
        <v>568</v>
      </c>
      <c r="X16" s="220">
        <f t="shared" si="11"/>
        <v>526</v>
      </c>
      <c r="Y16" s="220">
        <f t="shared" si="11"/>
        <v>543</v>
      </c>
      <c r="Z16" s="220">
        <v>4</v>
      </c>
      <c r="AA16" s="220">
        <v>9</v>
      </c>
      <c r="AB16" s="220">
        <v>9</v>
      </c>
      <c r="AC16" s="220">
        <v>9</v>
      </c>
      <c r="AD16" s="220">
        <v>4</v>
      </c>
      <c r="AE16" s="220">
        <f t="shared" si="12"/>
        <v>-16</v>
      </c>
      <c r="AF16" s="220">
        <f t="shared" si="12"/>
        <v>-30</v>
      </c>
      <c r="AG16" s="220">
        <f t="shared" si="12"/>
        <v>-31</v>
      </c>
      <c r="AH16" s="220">
        <f t="shared" si="12"/>
        <v>-28</v>
      </c>
      <c r="AI16" s="220">
        <f t="shared" si="12"/>
        <v>-16</v>
      </c>
      <c r="AJ16" s="50">
        <f t="shared" si="13"/>
        <v>0.86799999999999999</v>
      </c>
      <c r="AK16" s="257"/>
      <c r="AL16" s="257">
        <f t="shared" si="14"/>
        <v>0.3</v>
      </c>
      <c r="AM16" s="52"/>
      <c r="AN16" s="88"/>
    </row>
    <row r="17" spans="1:40" s="261" customFormat="1" ht="17.25" customHeight="1">
      <c r="A17" s="76">
        <v>7</v>
      </c>
      <c r="B17" s="77">
        <f t="shared" si="7"/>
        <v>45582</v>
      </c>
      <c r="C17" s="213">
        <f t="shared" si="8"/>
        <v>1049</v>
      </c>
      <c r="D17" s="213">
        <f t="shared" ref="D17" si="15">D16+15</f>
        <v>2144</v>
      </c>
      <c r="E17" s="213">
        <f t="shared" si="9"/>
        <v>3193</v>
      </c>
      <c r="F17" s="213">
        <f t="shared" si="1"/>
        <v>563</v>
      </c>
      <c r="G17" s="213">
        <f t="shared" si="2"/>
        <v>603</v>
      </c>
      <c r="H17" s="213">
        <f t="shared" si="3"/>
        <v>633</v>
      </c>
      <c r="I17" s="213">
        <f t="shared" si="4"/>
        <v>676</v>
      </c>
      <c r="J17" s="213">
        <f t="shared" si="5"/>
        <v>653</v>
      </c>
      <c r="K17" s="213">
        <f t="shared" si="6"/>
        <v>2630</v>
      </c>
      <c r="L17" s="213">
        <f t="shared" si="6"/>
        <v>2590</v>
      </c>
      <c r="M17" s="213">
        <f t="shared" si="6"/>
        <v>2560</v>
      </c>
      <c r="N17" s="213">
        <f t="shared" si="6"/>
        <v>2517</v>
      </c>
      <c r="O17" s="213">
        <f t="shared" si="6"/>
        <v>2540</v>
      </c>
      <c r="P17" s="213">
        <f t="shared" si="10"/>
        <v>2000</v>
      </c>
      <c r="Q17" s="213">
        <f t="shared" si="10"/>
        <v>2000</v>
      </c>
      <c r="R17" s="213">
        <f t="shared" si="10"/>
        <v>2000</v>
      </c>
      <c r="S17" s="213">
        <f t="shared" si="10"/>
        <v>2000</v>
      </c>
      <c r="T17" s="213">
        <f t="shared" si="10"/>
        <v>2000</v>
      </c>
      <c r="U17" s="213">
        <f t="shared" si="11"/>
        <v>630</v>
      </c>
      <c r="V17" s="213">
        <f t="shared" si="11"/>
        <v>590</v>
      </c>
      <c r="W17" s="213">
        <f t="shared" si="11"/>
        <v>560</v>
      </c>
      <c r="X17" s="213">
        <f t="shared" si="11"/>
        <v>517</v>
      </c>
      <c r="Y17" s="213">
        <f t="shared" si="11"/>
        <v>540</v>
      </c>
      <c r="Z17" s="213">
        <v>3</v>
      </c>
      <c r="AA17" s="213">
        <v>9</v>
      </c>
      <c r="AB17" s="213">
        <v>8</v>
      </c>
      <c r="AC17" s="213">
        <v>9</v>
      </c>
      <c r="AD17" s="213">
        <v>3</v>
      </c>
      <c r="AE17" s="213">
        <f t="shared" si="12"/>
        <v>-19</v>
      </c>
      <c r="AF17" s="213">
        <f t="shared" si="12"/>
        <v>-39</v>
      </c>
      <c r="AG17" s="213">
        <f t="shared" si="12"/>
        <v>-39</v>
      </c>
      <c r="AH17" s="213">
        <f t="shared" si="12"/>
        <v>-37</v>
      </c>
      <c r="AI17" s="213">
        <f t="shared" si="12"/>
        <v>-19</v>
      </c>
      <c r="AJ17" s="78">
        <f t="shared" si="13"/>
        <v>1.1599999999999999</v>
      </c>
      <c r="AK17" s="259">
        <v>0.3</v>
      </c>
      <c r="AL17" s="259">
        <f t="shared" si="14"/>
        <v>0.6</v>
      </c>
      <c r="AM17" s="81"/>
      <c r="AN17" s="260"/>
    </row>
    <row r="18" spans="1:40" s="29" customFormat="1" ht="17.25" customHeight="1">
      <c r="A18" s="48">
        <v>8</v>
      </c>
      <c r="B18" s="49">
        <f t="shared" si="7"/>
        <v>45583</v>
      </c>
      <c r="C18" s="220">
        <f t="shared" si="8"/>
        <v>1049</v>
      </c>
      <c r="D18" s="220">
        <f t="shared" ref="D18" si="16">D17+26</f>
        <v>2170</v>
      </c>
      <c r="E18" s="220">
        <f t="shared" si="9"/>
        <v>3219</v>
      </c>
      <c r="F18" s="220">
        <f t="shared" si="1"/>
        <v>591</v>
      </c>
      <c r="G18" s="220">
        <f t="shared" si="2"/>
        <v>637</v>
      </c>
      <c r="H18" s="220">
        <f t="shared" si="3"/>
        <v>667</v>
      </c>
      <c r="I18" s="220">
        <f t="shared" si="4"/>
        <v>710</v>
      </c>
      <c r="J18" s="220">
        <f t="shared" si="5"/>
        <v>681</v>
      </c>
      <c r="K18" s="220">
        <f t="shared" si="6"/>
        <v>2628</v>
      </c>
      <c r="L18" s="220">
        <f t="shared" si="6"/>
        <v>2582</v>
      </c>
      <c r="M18" s="220">
        <f t="shared" si="6"/>
        <v>2552</v>
      </c>
      <c r="N18" s="220">
        <f t="shared" si="6"/>
        <v>2509</v>
      </c>
      <c r="O18" s="220">
        <f t="shared" si="6"/>
        <v>2538</v>
      </c>
      <c r="P18" s="220">
        <f t="shared" si="10"/>
        <v>2000</v>
      </c>
      <c r="Q18" s="220">
        <f t="shared" si="10"/>
        <v>2000</v>
      </c>
      <c r="R18" s="220">
        <f t="shared" si="10"/>
        <v>2000</v>
      </c>
      <c r="S18" s="220">
        <f t="shared" si="10"/>
        <v>2000</v>
      </c>
      <c r="T18" s="220">
        <f t="shared" si="10"/>
        <v>2000</v>
      </c>
      <c r="U18" s="220">
        <f t="shared" si="11"/>
        <v>628</v>
      </c>
      <c r="V18" s="220">
        <f t="shared" si="11"/>
        <v>582</v>
      </c>
      <c r="W18" s="220">
        <f t="shared" si="11"/>
        <v>552</v>
      </c>
      <c r="X18" s="220">
        <f t="shared" si="11"/>
        <v>509</v>
      </c>
      <c r="Y18" s="220">
        <f t="shared" si="11"/>
        <v>538</v>
      </c>
      <c r="Z18" s="220">
        <v>2</v>
      </c>
      <c r="AA18" s="220">
        <v>8</v>
      </c>
      <c r="AB18" s="220">
        <v>8</v>
      </c>
      <c r="AC18" s="220">
        <v>8</v>
      </c>
      <c r="AD18" s="220">
        <v>2</v>
      </c>
      <c r="AE18" s="220">
        <f t="shared" si="12"/>
        <v>-21</v>
      </c>
      <c r="AF18" s="220">
        <f t="shared" si="12"/>
        <v>-47</v>
      </c>
      <c r="AG18" s="220">
        <f t="shared" si="12"/>
        <v>-47</v>
      </c>
      <c r="AH18" s="220">
        <f t="shared" si="12"/>
        <v>-45</v>
      </c>
      <c r="AI18" s="220">
        <f t="shared" si="12"/>
        <v>-21</v>
      </c>
      <c r="AJ18" s="50">
        <f t="shared" si="13"/>
        <v>1.1519999999999999</v>
      </c>
      <c r="AK18" s="257"/>
      <c r="AL18" s="257">
        <f t="shared" si="14"/>
        <v>0.6</v>
      </c>
      <c r="AM18" s="52"/>
      <c r="AN18" s="88"/>
    </row>
    <row r="19" spans="1:40" s="29" customFormat="1" ht="17.25" customHeight="1">
      <c r="A19" s="48">
        <v>9</v>
      </c>
      <c r="B19" s="49">
        <f t="shared" si="7"/>
        <v>45584</v>
      </c>
      <c r="C19" s="220">
        <f t="shared" si="8"/>
        <v>1049</v>
      </c>
      <c r="D19" s="220">
        <f t="shared" ref="D19" si="17">D18+32</f>
        <v>2202</v>
      </c>
      <c r="E19" s="220">
        <f t="shared" si="9"/>
        <v>3251</v>
      </c>
      <c r="F19" s="220">
        <f t="shared" si="1"/>
        <v>627</v>
      </c>
      <c r="G19" s="220">
        <f t="shared" si="2"/>
        <v>676</v>
      </c>
      <c r="H19" s="220">
        <f t="shared" si="3"/>
        <v>707</v>
      </c>
      <c r="I19" s="220">
        <f t="shared" si="4"/>
        <v>749</v>
      </c>
      <c r="J19" s="220">
        <f t="shared" si="5"/>
        <v>717</v>
      </c>
      <c r="K19" s="220">
        <f t="shared" si="6"/>
        <v>2624</v>
      </c>
      <c r="L19" s="220">
        <f t="shared" si="6"/>
        <v>2575</v>
      </c>
      <c r="M19" s="220">
        <f t="shared" si="6"/>
        <v>2544</v>
      </c>
      <c r="N19" s="220">
        <f t="shared" si="6"/>
        <v>2502</v>
      </c>
      <c r="O19" s="220">
        <f t="shared" si="6"/>
        <v>2534</v>
      </c>
      <c r="P19" s="220">
        <f t="shared" si="10"/>
        <v>2000</v>
      </c>
      <c r="Q19" s="220">
        <f t="shared" si="10"/>
        <v>2000</v>
      </c>
      <c r="R19" s="220">
        <f t="shared" si="10"/>
        <v>2000</v>
      </c>
      <c r="S19" s="220">
        <f t="shared" si="10"/>
        <v>2000</v>
      </c>
      <c r="T19" s="220">
        <f t="shared" si="10"/>
        <v>2000</v>
      </c>
      <c r="U19" s="220">
        <f t="shared" si="11"/>
        <v>624</v>
      </c>
      <c r="V19" s="220">
        <f t="shared" si="11"/>
        <v>575</v>
      </c>
      <c r="W19" s="220">
        <f t="shared" si="11"/>
        <v>544</v>
      </c>
      <c r="X19" s="220">
        <f t="shared" si="11"/>
        <v>502</v>
      </c>
      <c r="Y19" s="220">
        <f t="shared" si="11"/>
        <v>534</v>
      </c>
      <c r="Z19" s="220">
        <v>4</v>
      </c>
      <c r="AA19" s="220">
        <v>7</v>
      </c>
      <c r="AB19" s="220">
        <v>8</v>
      </c>
      <c r="AC19" s="220">
        <v>7</v>
      </c>
      <c r="AD19" s="220">
        <v>4</v>
      </c>
      <c r="AE19" s="220">
        <f t="shared" si="12"/>
        <v>-25</v>
      </c>
      <c r="AF19" s="220">
        <f t="shared" si="12"/>
        <v>-54</v>
      </c>
      <c r="AG19" s="220">
        <f t="shared" si="12"/>
        <v>-55</v>
      </c>
      <c r="AH19" s="220">
        <f t="shared" si="12"/>
        <v>-52</v>
      </c>
      <c r="AI19" s="220">
        <f t="shared" si="12"/>
        <v>-25</v>
      </c>
      <c r="AJ19" s="50">
        <f t="shared" si="13"/>
        <v>1.1439999999999999</v>
      </c>
      <c r="AK19" s="257"/>
      <c r="AL19" s="257">
        <f t="shared" si="14"/>
        <v>0.6</v>
      </c>
      <c r="AM19" s="52"/>
      <c r="AN19" s="88"/>
    </row>
    <row r="20" spans="1:40" s="29" customFormat="1" ht="17.25" customHeight="1">
      <c r="A20" s="48">
        <v>10</v>
      </c>
      <c r="B20" s="49">
        <f t="shared" si="7"/>
        <v>45585</v>
      </c>
      <c r="C20" s="220">
        <f t="shared" si="8"/>
        <v>1049</v>
      </c>
      <c r="D20" s="220">
        <f t="shared" ref="D20" si="18">D19-18</f>
        <v>2184</v>
      </c>
      <c r="E20" s="220">
        <f t="shared" si="9"/>
        <v>3233</v>
      </c>
      <c r="F20" s="220">
        <f t="shared" si="1"/>
        <v>612</v>
      </c>
      <c r="G20" s="220">
        <f t="shared" si="2"/>
        <v>667</v>
      </c>
      <c r="H20" s="220">
        <f t="shared" si="3"/>
        <v>696</v>
      </c>
      <c r="I20" s="220">
        <f t="shared" si="4"/>
        <v>740</v>
      </c>
      <c r="J20" s="220">
        <f t="shared" si="5"/>
        <v>702</v>
      </c>
      <c r="K20" s="220">
        <f t="shared" si="6"/>
        <v>2621</v>
      </c>
      <c r="L20" s="220">
        <f t="shared" si="6"/>
        <v>2566</v>
      </c>
      <c r="M20" s="220">
        <f t="shared" si="6"/>
        <v>2537</v>
      </c>
      <c r="N20" s="220">
        <f t="shared" si="6"/>
        <v>2493</v>
      </c>
      <c r="O20" s="220">
        <f t="shared" si="6"/>
        <v>2531</v>
      </c>
      <c r="P20" s="220">
        <f t="shared" si="10"/>
        <v>2000</v>
      </c>
      <c r="Q20" s="220">
        <f t="shared" si="10"/>
        <v>2000</v>
      </c>
      <c r="R20" s="220">
        <f t="shared" si="10"/>
        <v>2000</v>
      </c>
      <c r="S20" s="220">
        <f t="shared" si="10"/>
        <v>2000</v>
      </c>
      <c r="T20" s="220">
        <f t="shared" si="10"/>
        <v>2000</v>
      </c>
      <c r="U20" s="220">
        <f t="shared" si="11"/>
        <v>621</v>
      </c>
      <c r="V20" s="220">
        <f t="shared" si="11"/>
        <v>566</v>
      </c>
      <c r="W20" s="220">
        <f t="shared" si="11"/>
        <v>537</v>
      </c>
      <c r="X20" s="220">
        <f t="shared" si="11"/>
        <v>493</v>
      </c>
      <c r="Y20" s="220">
        <f t="shared" si="11"/>
        <v>531</v>
      </c>
      <c r="Z20" s="220">
        <v>3</v>
      </c>
      <c r="AA20" s="220">
        <v>9</v>
      </c>
      <c r="AB20" s="220">
        <v>7</v>
      </c>
      <c r="AC20" s="220">
        <v>9</v>
      </c>
      <c r="AD20" s="220">
        <v>3</v>
      </c>
      <c r="AE20" s="220">
        <f t="shared" si="12"/>
        <v>-28</v>
      </c>
      <c r="AF20" s="220">
        <f t="shared" si="12"/>
        <v>-63</v>
      </c>
      <c r="AG20" s="220">
        <f t="shared" si="12"/>
        <v>-62</v>
      </c>
      <c r="AH20" s="220">
        <f t="shared" si="12"/>
        <v>-61</v>
      </c>
      <c r="AI20" s="220">
        <f t="shared" si="12"/>
        <v>-28</v>
      </c>
      <c r="AJ20" s="50">
        <f t="shared" si="13"/>
        <v>1.137</v>
      </c>
      <c r="AK20" s="257"/>
      <c r="AL20" s="257">
        <f t="shared" si="14"/>
        <v>0.6</v>
      </c>
      <c r="AM20" s="52"/>
      <c r="AN20" s="88"/>
    </row>
    <row r="21" spans="1:40" s="29" customFormat="1" ht="17.25" customHeight="1">
      <c r="A21" s="48">
        <v>11</v>
      </c>
      <c r="B21" s="49">
        <f t="shared" si="7"/>
        <v>45586</v>
      </c>
      <c r="C21" s="220">
        <f t="shared" si="8"/>
        <v>1049</v>
      </c>
      <c r="D21" s="220">
        <f t="shared" ref="D21" si="19">D20-26</f>
        <v>2158</v>
      </c>
      <c r="E21" s="220">
        <f t="shared" si="9"/>
        <v>3207</v>
      </c>
      <c r="F21" s="220">
        <f t="shared" si="1"/>
        <v>591</v>
      </c>
      <c r="G21" s="220">
        <f t="shared" si="2"/>
        <v>650</v>
      </c>
      <c r="H21" s="220">
        <f t="shared" si="3"/>
        <v>677</v>
      </c>
      <c r="I21" s="220">
        <f t="shared" si="4"/>
        <v>723</v>
      </c>
      <c r="J21" s="220">
        <f t="shared" si="5"/>
        <v>681</v>
      </c>
      <c r="K21" s="220">
        <f t="shared" si="6"/>
        <v>2616</v>
      </c>
      <c r="L21" s="220">
        <f t="shared" si="6"/>
        <v>2557</v>
      </c>
      <c r="M21" s="220">
        <f t="shared" si="6"/>
        <v>2530</v>
      </c>
      <c r="N21" s="220">
        <f t="shared" si="6"/>
        <v>2484</v>
      </c>
      <c r="O21" s="220">
        <f t="shared" si="6"/>
        <v>2526</v>
      </c>
      <c r="P21" s="220">
        <f t="shared" si="10"/>
        <v>2000</v>
      </c>
      <c r="Q21" s="220">
        <f t="shared" si="10"/>
        <v>2000</v>
      </c>
      <c r="R21" s="220">
        <f t="shared" si="10"/>
        <v>2000</v>
      </c>
      <c r="S21" s="220">
        <f t="shared" si="10"/>
        <v>2000</v>
      </c>
      <c r="T21" s="220">
        <f t="shared" si="10"/>
        <v>2000</v>
      </c>
      <c r="U21" s="220">
        <f t="shared" si="11"/>
        <v>616</v>
      </c>
      <c r="V21" s="220">
        <f t="shared" si="11"/>
        <v>557</v>
      </c>
      <c r="W21" s="220">
        <f t="shared" si="11"/>
        <v>530</v>
      </c>
      <c r="X21" s="220">
        <f t="shared" si="11"/>
        <v>484</v>
      </c>
      <c r="Y21" s="220">
        <f t="shared" si="11"/>
        <v>526</v>
      </c>
      <c r="Z21" s="220">
        <v>5</v>
      </c>
      <c r="AA21" s="220">
        <v>9</v>
      </c>
      <c r="AB21" s="220">
        <v>7</v>
      </c>
      <c r="AC21" s="220">
        <v>9</v>
      </c>
      <c r="AD21" s="220">
        <v>5</v>
      </c>
      <c r="AE21" s="220">
        <f t="shared" si="12"/>
        <v>-33</v>
      </c>
      <c r="AF21" s="220">
        <f t="shared" si="12"/>
        <v>-72</v>
      </c>
      <c r="AG21" s="220">
        <f t="shared" si="12"/>
        <v>-69</v>
      </c>
      <c r="AH21" s="220">
        <f t="shared" si="12"/>
        <v>-70</v>
      </c>
      <c r="AI21" s="220">
        <f t="shared" si="12"/>
        <v>-33</v>
      </c>
      <c r="AJ21" s="50">
        <f t="shared" si="13"/>
        <v>1.1300000000000001</v>
      </c>
      <c r="AK21" s="257"/>
      <c r="AL21" s="257">
        <f t="shared" si="14"/>
        <v>0.6</v>
      </c>
      <c r="AM21" s="52"/>
      <c r="AN21" s="88"/>
    </row>
    <row r="22" spans="1:40" s="261" customFormat="1" ht="17.25" customHeight="1">
      <c r="A22" s="76">
        <v>12</v>
      </c>
      <c r="B22" s="77">
        <f t="shared" si="7"/>
        <v>45587</v>
      </c>
      <c r="C22" s="213">
        <f t="shared" si="8"/>
        <v>1049</v>
      </c>
      <c r="D22" s="213">
        <f t="shared" ref="D22" si="20">D21+15</f>
        <v>2173</v>
      </c>
      <c r="E22" s="213">
        <f t="shared" si="9"/>
        <v>3222</v>
      </c>
      <c r="F22" s="213">
        <f t="shared" si="1"/>
        <v>610</v>
      </c>
      <c r="G22" s="213">
        <f t="shared" si="2"/>
        <v>673</v>
      </c>
      <c r="H22" s="213">
        <f t="shared" si="3"/>
        <v>698</v>
      </c>
      <c r="I22" s="213">
        <f t="shared" si="4"/>
        <v>746</v>
      </c>
      <c r="J22" s="213">
        <f t="shared" si="5"/>
        <v>703</v>
      </c>
      <c r="K22" s="213">
        <f t="shared" si="6"/>
        <v>2612</v>
      </c>
      <c r="L22" s="213">
        <f t="shared" si="6"/>
        <v>2549</v>
      </c>
      <c r="M22" s="213">
        <f t="shared" si="6"/>
        <v>2524</v>
      </c>
      <c r="N22" s="213">
        <f t="shared" si="6"/>
        <v>2476</v>
      </c>
      <c r="O22" s="213">
        <f t="shared" si="6"/>
        <v>2519</v>
      </c>
      <c r="P22" s="213">
        <f t="shared" si="10"/>
        <v>2000</v>
      </c>
      <c r="Q22" s="213">
        <f t="shared" si="10"/>
        <v>2000</v>
      </c>
      <c r="R22" s="213">
        <f t="shared" si="10"/>
        <v>2000</v>
      </c>
      <c r="S22" s="213">
        <f t="shared" si="10"/>
        <v>2000</v>
      </c>
      <c r="T22" s="213">
        <f t="shared" si="10"/>
        <v>2000</v>
      </c>
      <c r="U22" s="213">
        <f t="shared" si="11"/>
        <v>612</v>
      </c>
      <c r="V22" s="213">
        <f t="shared" si="11"/>
        <v>549</v>
      </c>
      <c r="W22" s="213">
        <f t="shared" si="11"/>
        <v>524</v>
      </c>
      <c r="X22" s="213">
        <f t="shared" si="11"/>
        <v>476</v>
      </c>
      <c r="Y22" s="213">
        <f t="shared" si="11"/>
        <v>519</v>
      </c>
      <c r="Z22" s="213">
        <v>4</v>
      </c>
      <c r="AA22" s="213">
        <v>8</v>
      </c>
      <c r="AB22" s="213">
        <v>6</v>
      </c>
      <c r="AC22" s="213">
        <v>8</v>
      </c>
      <c r="AD22" s="213">
        <v>7</v>
      </c>
      <c r="AE22" s="213">
        <f t="shared" si="12"/>
        <v>-37</v>
      </c>
      <c r="AF22" s="213">
        <f t="shared" si="12"/>
        <v>-80</v>
      </c>
      <c r="AG22" s="213">
        <f t="shared" si="12"/>
        <v>-75</v>
      </c>
      <c r="AH22" s="213">
        <f t="shared" si="12"/>
        <v>-78</v>
      </c>
      <c r="AI22" s="213">
        <f t="shared" si="12"/>
        <v>-40</v>
      </c>
      <c r="AJ22" s="78">
        <f t="shared" si="13"/>
        <v>1.4240000000000002</v>
      </c>
      <c r="AK22" s="259">
        <v>0.3</v>
      </c>
      <c r="AL22" s="259">
        <f t="shared" si="14"/>
        <v>0.89999999999999991</v>
      </c>
      <c r="AM22" s="81"/>
      <c r="AN22" s="260"/>
    </row>
    <row r="23" spans="1:40" s="29" customFormat="1" ht="17.25" customHeight="1">
      <c r="A23" s="48">
        <v>13</v>
      </c>
      <c r="B23" s="49">
        <f t="shared" si="7"/>
        <v>45588</v>
      </c>
      <c r="C23" s="220">
        <f t="shared" si="8"/>
        <v>1049</v>
      </c>
      <c r="D23" s="220">
        <f t="shared" ref="D23" si="21">D22+26</f>
        <v>2199</v>
      </c>
      <c r="E23" s="220">
        <f t="shared" si="9"/>
        <v>3248</v>
      </c>
      <c r="F23" s="220">
        <f t="shared" si="1"/>
        <v>639</v>
      </c>
      <c r="G23" s="220">
        <f t="shared" si="2"/>
        <v>706</v>
      </c>
      <c r="H23" s="220">
        <f t="shared" si="3"/>
        <v>730</v>
      </c>
      <c r="I23" s="220">
        <f t="shared" si="4"/>
        <v>779</v>
      </c>
      <c r="J23" s="220">
        <f t="shared" si="5"/>
        <v>736</v>
      </c>
      <c r="K23" s="220">
        <f t="shared" si="6"/>
        <v>2609</v>
      </c>
      <c r="L23" s="220">
        <f t="shared" si="6"/>
        <v>2542</v>
      </c>
      <c r="M23" s="220">
        <f t="shared" si="6"/>
        <v>2518</v>
      </c>
      <c r="N23" s="220">
        <f t="shared" si="6"/>
        <v>2469</v>
      </c>
      <c r="O23" s="220">
        <f t="shared" si="6"/>
        <v>2512</v>
      </c>
      <c r="P23" s="220">
        <f t="shared" si="10"/>
        <v>2000</v>
      </c>
      <c r="Q23" s="220">
        <f t="shared" si="10"/>
        <v>2000</v>
      </c>
      <c r="R23" s="220">
        <f t="shared" si="10"/>
        <v>2000</v>
      </c>
      <c r="S23" s="220">
        <f t="shared" si="10"/>
        <v>2000</v>
      </c>
      <c r="T23" s="220">
        <f t="shared" si="10"/>
        <v>2000</v>
      </c>
      <c r="U23" s="220">
        <f t="shared" si="11"/>
        <v>609</v>
      </c>
      <c r="V23" s="220">
        <f t="shared" si="11"/>
        <v>542</v>
      </c>
      <c r="W23" s="220">
        <f t="shared" si="11"/>
        <v>518</v>
      </c>
      <c r="X23" s="220">
        <f t="shared" si="11"/>
        <v>469</v>
      </c>
      <c r="Y23" s="220">
        <f t="shared" si="11"/>
        <v>512</v>
      </c>
      <c r="Z23" s="220">
        <v>3</v>
      </c>
      <c r="AA23" s="220">
        <v>7</v>
      </c>
      <c r="AB23" s="220">
        <v>6</v>
      </c>
      <c r="AC23" s="220">
        <v>7</v>
      </c>
      <c r="AD23" s="220">
        <v>7</v>
      </c>
      <c r="AE23" s="220">
        <f t="shared" si="12"/>
        <v>-40</v>
      </c>
      <c r="AF23" s="220">
        <f t="shared" si="12"/>
        <v>-87</v>
      </c>
      <c r="AG23" s="220">
        <f t="shared" si="12"/>
        <v>-81</v>
      </c>
      <c r="AH23" s="220">
        <f t="shared" si="12"/>
        <v>-85</v>
      </c>
      <c r="AI23" s="220">
        <f t="shared" si="12"/>
        <v>-47</v>
      </c>
      <c r="AJ23" s="50">
        <f t="shared" si="13"/>
        <v>1.4180000000000001</v>
      </c>
      <c r="AK23" s="257"/>
      <c r="AL23" s="257">
        <f t="shared" si="14"/>
        <v>0.89999999999999991</v>
      </c>
      <c r="AM23" s="52"/>
      <c r="AN23" s="88"/>
    </row>
    <row r="24" spans="1:40" s="29" customFormat="1" ht="17.25" customHeight="1">
      <c r="A24" s="48">
        <v>14</v>
      </c>
      <c r="B24" s="49">
        <f t="shared" si="7"/>
        <v>45589</v>
      </c>
      <c r="C24" s="220">
        <f t="shared" si="8"/>
        <v>1049</v>
      </c>
      <c r="D24" s="220">
        <f t="shared" ref="D24" si="22">D23+32</f>
        <v>2231</v>
      </c>
      <c r="E24" s="220">
        <f t="shared" si="9"/>
        <v>3280</v>
      </c>
      <c r="F24" s="220">
        <f t="shared" si="1"/>
        <v>675</v>
      </c>
      <c r="G24" s="220">
        <f t="shared" si="2"/>
        <v>743</v>
      </c>
      <c r="H24" s="220">
        <f t="shared" si="3"/>
        <v>767</v>
      </c>
      <c r="I24" s="220">
        <f t="shared" si="4"/>
        <v>816</v>
      </c>
      <c r="J24" s="220">
        <f t="shared" si="5"/>
        <v>775</v>
      </c>
      <c r="K24" s="220">
        <f t="shared" si="6"/>
        <v>2605</v>
      </c>
      <c r="L24" s="220">
        <f t="shared" si="6"/>
        <v>2537</v>
      </c>
      <c r="M24" s="220">
        <f t="shared" si="6"/>
        <v>2513</v>
      </c>
      <c r="N24" s="220">
        <f t="shared" si="6"/>
        <v>2464</v>
      </c>
      <c r="O24" s="220">
        <f t="shared" si="6"/>
        <v>2505</v>
      </c>
      <c r="P24" s="220">
        <f t="shared" si="10"/>
        <v>2000</v>
      </c>
      <c r="Q24" s="220">
        <f t="shared" si="10"/>
        <v>2000</v>
      </c>
      <c r="R24" s="220">
        <f t="shared" si="10"/>
        <v>2000</v>
      </c>
      <c r="S24" s="220">
        <f t="shared" si="10"/>
        <v>2000</v>
      </c>
      <c r="T24" s="220">
        <f t="shared" si="10"/>
        <v>2000</v>
      </c>
      <c r="U24" s="220">
        <f t="shared" si="11"/>
        <v>605</v>
      </c>
      <c r="V24" s="220">
        <f t="shared" si="11"/>
        <v>537</v>
      </c>
      <c r="W24" s="220">
        <f t="shared" si="11"/>
        <v>513</v>
      </c>
      <c r="X24" s="220">
        <f t="shared" si="11"/>
        <v>464</v>
      </c>
      <c r="Y24" s="220">
        <f t="shared" si="11"/>
        <v>505</v>
      </c>
      <c r="Z24" s="220">
        <v>4</v>
      </c>
      <c r="AA24" s="220">
        <v>5</v>
      </c>
      <c r="AB24" s="220">
        <v>5</v>
      </c>
      <c r="AC24" s="220">
        <v>5</v>
      </c>
      <c r="AD24" s="220">
        <v>7</v>
      </c>
      <c r="AE24" s="220">
        <f t="shared" si="12"/>
        <v>-44</v>
      </c>
      <c r="AF24" s="220">
        <f t="shared" si="12"/>
        <v>-92</v>
      </c>
      <c r="AG24" s="220">
        <f t="shared" si="12"/>
        <v>-86</v>
      </c>
      <c r="AH24" s="220">
        <f t="shared" si="12"/>
        <v>-90</v>
      </c>
      <c r="AI24" s="220">
        <f t="shared" si="12"/>
        <v>-54</v>
      </c>
      <c r="AJ24" s="50">
        <f t="shared" si="13"/>
        <v>1.4130000000000003</v>
      </c>
      <c r="AK24" s="257"/>
      <c r="AL24" s="257">
        <f t="shared" si="14"/>
        <v>0.89999999999999991</v>
      </c>
      <c r="AM24" s="52"/>
      <c r="AN24" s="88"/>
    </row>
    <row r="25" spans="1:40" s="29" customFormat="1" ht="17.25" customHeight="1">
      <c r="A25" s="48">
        <v>15</v>
      </c>
      <c r="B25" s="49">
        <f t="shared" si="7"/>
        <v>45590</v>
      </c>
      <c r="C25" s="220">
        <f t="shared" si="8"/>
        <v>1049</v>
      </c>
      <c r="D25" s="220">
        <f t="shared" ref="D25" si="23">D24-18</f>
        <v>2213</v>
      </c>
      <c r="E25" s="220">
        <f t="shared" si="9"/>
        <v>3262</v>
      </c>
      <c r="F25" s="220">
        <f t="shared" si="1"/>
        <v>660</v>
      </c>
      <c r="G25" s="220">
        <f t="shared" si="2"/>
        <v>734</v>
      </c>
      <c r="H25" s="220">
        <f t="shared" si="3"/>
        <v>754</v>
      </c>
      <c r="I25" s="220">
        <f t="shared" si="4"/>
        <v>807</v>
      </c>
      <c r="J25" s="220">
        <f t="shared" si="5"/>
        <v>763</v>
      </c>
      <c r="K25" s="220">
        <f t="shared" si="6"/>
        <v>2602</v>
      </c>
      <c r="L25" s="220">
        <f t="shared" si="6"/>
        <v>2528</v>
      </c>
      <c r="M25" s="220">
        <f t="shared" si="6"/>
        <v>2508</v>
      </c>
      <c r="N25" s="220">
        <f t="shared" si="6"/>
        <v>2455</v>
      </c>
      <c r="O25" s="220">
        <f t="shared" si="6"/>
        <v>2499</v>
      </c>
      <c r="P25" s="220">
        <f t="shared" si="10"/>
        <v>2000</v>
      </c>
      <c r="Q25" s="220">
        <f t="shared" si="10"/>
        <v>2000</v>
      </c>
      <c r="R25" s="220">
        <f t="shared" si="10"/>
        <v>2000</v>
      </c>
      <c r="S25" s="220">
        <f t="shared" si="10"/>
        <v>2000</v>
      </c>
      <c r="T25" s="220">
        <f t="shared" si="10"/>
        <v>2000</v>
      </c>
      <c r="U25" s="220">
        <f t="shared" si="11"/>
        <v>602</v>
      </c>
      <c r="V25" s="220">
        <f t="shared" si="11"/>
        <v>528</v>
      </c>
      <c r="W25" s="220">
        <f t="shared" si="11"/>
        <v>508</v>
      </c>
      <c r="X25" s="220">
        <f t="shared" si="11"/>
        <v>455</v>
      </c>
      <c r="Y25" s="220">
        <f t="shared" si="11"/>
        <v>499</v>
      </c>
      <c r="Z25" s="220">
        <v>3</v>
      </c>
      <c r="AA25" s="220">
        <v>9</v>
      </c>
      <c r="AB25" s="220">
        <v>5</v>
      </c>
      <c r="AC25" s="220">
        <v>9</v>
      </c>
      <c r="AD25" s="220">
        <v>6</v>
      </c>
      <c r="AE25" s="220">
        <f t="shared" si="12"/>
        <v>-47</v>
      </c>
      <c r="AF25" s="220">
        <f t="shared" si="12"/>
        <v>-101</v>
      </c>
      <c r="AG25" s="220">
        <f t="shared" si="12"/>
        <v>-91</v>
      </c>
      <c r="AH25" s="220">
        <f t="shared" si="12"/>
        <v>-99</v>
      </c>
      <c r="AI25" s="220">
        <f t="shared" si="12"/>
        <v>-60</v>
      </c>
      <c r="AJ25" s="50">
        <f t="shared" si="13"/>
        <v>1.4080000000000004</v>
      </c>
      <c r="AK25" s="257"/>
      <c r="AL25" s="257">
        <f t="shared" si="14"/>
        <v>0.89999999999999991</v>
      </c>
      <c r="AM25" s="52"/>
      <c r="AN25" s="88"/>
    </row>
    <row r="26" spans="1:40" s="261" customFormat="1" ht="17.25" customHeight="1">
      <c r="A26" s="76">
        <v>16</v>
      </c>
      <c r="B26" s="77">
        <f t="shared" si="7"/>
        <v>45591</v>
      </c>
      <c r="C26" s="213">
        <f t="shared" si="8"/>
        <v>1049</v>
      </c>
      <c r="D26" s="213">
        <f t="shared" ref="D26" si="24">D25-26</f>
        <v>2187</v>
      </c>
      <c r="E26" s="213">
        <f t="shared" si="9"/>
        <v>3236</v>
      </c>
      <c r="F26" s="213">
        <f t="shared" si="1"/>
        <v>641</v>
      </c>
      <c r="G26" s="213">
        <f t="shared" si="2"/>
        <v>715</v>
      </c>
      <c r="H26" s="213">
        <f t="shared" si="3"/>
        <v>736</v>
      </c>
      <c r="I26" s="213">
        <f t="shared" si="4"/>
        <v>788</v>
      </c>
      <c r="J26" s="213">
        <f t="shared" si="5"/>
        <v>742</v>
      </c>
      <c r="K26" s="213">
        <f t="shared" si="6"/>
        <v>2595</v>
      </c>
      <c r="L26" s="213">
        <f t="shared" si="6"/>
        <v>2521</v>
      </c>
      <c r="M26" s="213">
        <f t="shared" si="6"/>
        <v>2500</v>
      </c>
      <c r="N26" s="213">
        <f t="shared" si="6"/>
        <v>2448</v>
      </c>
      <c r="O26" s="213">
        <f t="shared" si="6"/>
        <v>2494</v>
      </c>
      <c r="P26" s="213">
        <f t="shared" si="10"/>
        <v>2000</v>
      </c>
      <c r="Q26" s="213">
        <f t="shared" si="10"/>
        <v>2000</v>
      </c>
      <c r="R26" s="213">
        <f t="shared" si="10"/>
        <v>2000</v>
      </c>
      <c r="S26" s="213">
        <f t="shared" si="10"/>
        <v>2000</v>
      </c>
      <c r="T26" s="213">
        <f t="shared" si="10"/>
        <v>2000</v>
      </c>
      <c r="U26" s="213">
        <f t="shared" si="11"/>
        <v>595</v>
      </c>
      <c r="V26" s="213">
        <f t="shared" si="11"/>
        <v>521</v>
      </c>
      <c r="W26" s="213">
        <f t="shared" si="11"/>
        <v>500</v>
      </c>
      <c r="X26" s="213">
        <f t="shared" si="11"/>
        <v>448</v>
      </c>
      <c r="Y26" s="213">
        <f t="shared" si="11"/>
        <v>494</v>
      </c>
      <c r="Z26" s="213">
        <v>7</v>
      </c>
      <c r="AA26" s="213">
        <v>7</v>
      </c>
      <c r="AB26" s="213">
        <v>8</v>
      </c>
      <c r="AC26" s="213">
        <v>7</v>
      </c>
      <c r="AD26" s="213">
        <v>5</v>
      </c>
      <c r="AE26" s="213">
        <f t="shared" si="12"/>
        <v>-54</v>
      </c>
      <c r="AF26" s="213">
        <f t="shared" si="12"/>
        <v>-108</v>
      </c>
      <c r="AG26" s="213">
        <f t="shared" si="12"/>
        <v>-99</v>
      </c>
      <c r="AH26" s="213">
        <f t="shared" si="12"/>
        <v>-106</v>
      </c>
      <c r="AI26" s="213">
        <f t="shared" si="12"/>
        <v>-65</v>
      </c>
      <c r="AJ26" s="78">
        <f t="shared" si="13"/>
        <v>1.7000000000000004</v>
      </c>
      <c r="AK26" s="259">
        <v>0.3</v>
      </c>
      <c r="AL26" s="259">
        <f t="shared" si="14"/>
        <v>1.2</v>
      </c>
      <c r="AM26" s="81"/>
      <c r="AN26" s="260"/>
    </row>
    <row r="27" spans="1:40" s="29" customFormat="1" ht="17.25" customHeight="1">
      <c r="A27" s="48">
        <v>17</v>
      </c>
      <c r="B27" s="49">
        <f t="shared" si="7"/>
        <v>45592</v>
      </c>
      <c r="C27" s="220">
        <f t="shared" si="8"/>
        <v>1049</v>
      </c>
      <c r="D27" s="220">
        <f t="shared" ref="D27" si="25">D26+15</f>
        <v>2202</v>
      </c>
      <c r="E27" s="220">
        <f t="shared" si="9"/>
        <v>3251</v>
      </c>
      <c r="F27" s="220">
        <f t="shared" si="1"/>
        <v>664</v>
      </c>
      <c r="G27" s="220">
        <f t="shared" si="2"/>
        <v>737</v>
      </c>
      <c r="H27" s="220">
        <f t="shared" si="3"/>
        <v>759</v>
      </c>
      <c r="I27" s="220">
        <f t="shared" si="4"/>
        <v>809</v>
      </c>
      <c r="J27" s="220">
        <f t="shared" si="5"/>
        <v>765</v>
      </c>
      <c r="K27" s="220">
        <f t="shared" si="6"/>
        <v>2587</v>
      </c>
      <c r="L27" s="220">
        <f t="shared" si="6"/>
        <v>2514</v>
      </c>
      <c r="M27" s="220">
        <f t="shared" si="6"/>
        <v>2492</v>
      </c>
      <c r="N27" s="220">
        <f t="shared" si="6"/>
        <v>2442</v>
      </c>
      <c r="O27" s="220">
        <f t="shared" si="6"/>
        <v>2486</v>
      </c>
      <c r="P27" s="220">
        <f t="shared" si="10"/>
        <v>2000</v>
      </c>
      <c r="Q27" s="220">
        <f t="shared" si="10"/>
        <v>2000</v>
      </c>
      <c r="R27" s="220">
        <f t="shared" si="10"/>
        <v>2000</v>
      </c>
      <c r="S27" s="220">
        <f t="shared" si="10"/>
        <v>2000</v>
      </c>
      <c r="T27" s="220">
        <f t="shared" si="10"/>
        <v>2000</v>
      </c>
      <c r="U27" s="220">
        <f t="shared" si="11"/>
        <v>587</v>
      </c>
      <c r="V27" s="220">
        <f t="shared" si="11"/>
        <v>514</v>
      </c>
      <c r="W27" s="220">
        <f t="shared" si="11"/>
        <v>492</v>
      </c>
      <c r="X27" s="220">
        <f t="shared" si="11"/>
        <v>442</v>
      </c>
      <c r="Y27" s="220">
        <f t="shared" si="11"/>
        <v>486</v>
      </c>
      <c r="Z27" s="220">
        <v>8</v>
      </c>
      <c r="AA27" s="220">
        <v>7</v>
      </c>
      <c r="AB27" s="220">
        <v>8</v>
      </c>
      <c r="AC27" s="220">
        <v>6</v>
      </c>
      <c r="AD27" s="220">
        <v>8</v>
      </c>
      <c r="AE27" s="220">
        <f t="shared" si="12"/>
        <v>-62</v>
      </c>
      <c r="AF27" s="220">
        <f t="shared" si="12"/>
        <v>-115</v>
      </c>
      <c r="AG27" s="220">
        <f t="shared" si="12"/>
        <v>-107</v>
      </c>
      <c r="AH27" s="220">
        <f t="shared" si="12"/>
        <v>-112</v>
      </c>
      <c r="AI27" s="220">
        <f t="shared" si="12"/>
        <v>-73</v>
      </c>
      <c r="AJ27" s="50">
        <f t="shared" si="13"/>
        <v>1.6920000000000004</v>
      </c>
      <c r="AK27" s="257"/>
      <c r="AL27" s="257">
        <f t="shared" si="14"/>
        <v>1.2</v>
      </c>
      <c r="AM27" s="52"/>
      <c r="AN27" s="88"/>
    </row>
    <row r="28" spans="1:40" s="29" customFormat="1" ht="17.25" customHeight="1">
      <c r="A28" s="48">
        <v>18</v>
      </c>
      <c r="B28" s="49">
        <f t="shared" si="7"/>
        <v>45593</v>
      </c>
      <c r="C28" s="220">
        <f t="shared" si="8"/>
        <v>1049</v>
      </c>
      <c r="D28" s="220">
        <f t="shared" ref="D28" si="26">D27+26</f>
        <v>2228</v>
      </c>
      <c r="E28" s="220">
        <f t="shared" si="9"/>
        <v>3277</v>
      </c>
      <c r="F28" s="220">
        <f t="shared" si="1"/>
        <v>697</v>
      </c>
      <c r="G28" s="220">
        <f t="shared" si="2"/>
        <v>770</v>
      </c>
      <c r="H28" s="220">
        <f t="shared" si="3"/>
        <v>793</v>
      </c>
      <c r="I28" s="220">
        <f t="shared" si="4"/>
        <v>841</v>
      </c>
      <c r="J28" s="220">
        <f t="shared" si="5"/>
        <v>798</v>
      </c>
      <c r="K28" s="220">
        <f t="shared" si="6"/>
        <v>2580</v>
      </c>
      <c r="L28" s="220">
        <f t="shared" si="6"/>
        <v>2507</v>
      </c>
      <c r="M28" s="220">
        <f t="shared" si="6"/>
        <v>2484</v>
      </c>
      <c r="N28" s="220">
        <f t="shared" si="6"/>
        <v>2436</v>
      </c>
      <c r="O28" s="220">
        <f t="shared" si="6"/>
        <v>2479</v>
      </c>
      <c r="P28" s="220">
        <f t="shared" si="10"/>
        <v>2000</v>
      </c>
      <c r="Q28" s="220">
        <f t="shared" si="10"/>
        <v>2000</v>
      </c>
      <c r="R28" s="220">
        <f t="shared" si="10"/>
        <v>2000</v>
      </c>
      <c r="S28" s="220">
        <f t="shared" si="10"/>
        <v>2000</v>
      </c>
      <c r="T28" s="220">
        <f t="shared" si="10"/>
        <v>2000</v>
      </c>
      <c r="U28" s="220">
        <f t="shared" si="11"/>
        <v>580</v>
      </c>
      <c r="V28" s="220">
        <f t="shared" si="11"/>
        <v>507</v>
      </c>
      <c r="W28" s="220">
        <f t="shared" si="11"/>
        <v>484</v>
      </c>
      <c r="X28" s="220">
        <f t="shared" si="11"/>
        <v>436</v>
      </c>
      <c r="Y28" s="220">
        <f t="shared" si="11"/>
        <v>479</v>
      </c>
      <c r="Z28" s="220">
        <v>7</v>
      </c>
      <c r="AA28" s="220">
        <v>7</v>
      </c>
      <c r="AB28" s="220">
        <v>8</v>
      </c>
      <c r="AC28" s="220">
        <v>6</v>
      </c>
      <c r="AD28" s="220">
        <v>7</v>
      </c>
      <c r="AE28" s="220">
        <f t="shared" si="12"/>
        <v>-69</v>
      </c>
      <c r="AF28" s="220">
        <f t="shared" si="12"/>
        <v>-122</v>
      </c>
      <c r="AG28" s="220">
        <f t="shared" si="12"/>
        <v>-115</v>
      </c>
      <c r="AH28" s="220">
        <f t="shared" si="12"/>
        <v>-118</v>
      </c>
      <c r="AI28" s="220">
        <f t="shared" si="12"/>
        <v>-80</v>
      </c>
      <c r="AJ28" s="50">
        <f t="shared" si="13"/>
        <v>1.6840000000000004</v>
      </c>
      <c r="AK28" s="257"/>
      <c r="AL28" s="257">
        <f t="shared" si="14"/>
        <v>1.2</v>
      </c>
      <c r="AM28" s="52"/>
      <c r="AN28" s="88"/>
    </row>
    <row r="29" spans="1:40" s="29" customFormat="1" ht="17.25" customHeight="1">
      <c r="A29" s="48">
        <v>19</v>
      </c>
      <c r="B29" s="49">
        <f t="shared" si="7"/>
        <v>45594</v>
      </c>
      <c r="C29" s="220">
        <f t="shared" si="8"/>
        <v>1049</v>
      </c>
      <c r="D29" s="220">
        <f t="shared" ref="D29" si="27">D28+32</f>
        <v>2260</v>
      </c>
      <c r="E29" s="220">
        <f t="shared" si="9"/>
        <v>3309</v>
      </c>
      <c r="F29" s="220">
        <f t="shared" si="1"/>
        <v>736</v>
      </c>
      <c r="G29" s="220">
        <f t="shared" si="2"/>
        <v>810</v>
      </c>
      <c r="H29" s="220">
        <f t="shared" si="3"/>
        <v>833</v>
      </c>
      <c r="I29" s="220">
        <f t="shared" si="4"/>
        <v>879</v>
      </c>
      <c r="J29" s="220">
        <f t="shared" si="5"/>
        <v>837</v>
      </c>
      <c r="K29" s="220">
        <f t="shared" si="6"/>
        <v>2573</v>
      </c>
      <c r="L29" s="220">
        <f t="shared" si="6"/>
        <v>2499</v>
      </c>
      <c r="M29" s="220">
        <f t="shared" si="6"/>
        <v>2476</v>
      </c>
      <c r="N29" s="220">
        <f t="shared" si="6"/>
        <v>2430</v>
      </c>
      <c r="O29" s="220">
        <f t="shared" si="6"/>
        <v>2472</v>
      </c>
      <c r="P29" s="220">
        <f t="shared" ref="P29:T44" si="28">+P28</f>
        <v>2000</v>
      </c>
      <c r="Q29" s="220">
        <f t="shared" si="28"/>
        <v>2000</v>
      </c>
      <c r="R29" s="220">
        <f t="shared" si="28"/>
        <v>2000</v>
      </c>
      <c r="S29" s="220">
        <f t="shared" si="28"/>
        <v>2000</v>
      </c>
      <c r="T29" s="220">
        <f t="shared" si="28"/>
        <v>2000</v>
      </c>
      <c r="U29" s="220">
        <f t="shared" ref="U29:Y44" si="29">U28-Z29</f>
        <v>573</v>
      </c>
      <c r="V29" s="220">
        <f t="shared" si="29"/>
        <v>499</v>
      </c>
      <c r="W29" s="220">
        <f t="shared" si="29"/>
        <v>476</v>
      </c>
      <c r="X29" s="220">
        <f t="shared" si="29"/>
        <v>430</v>
      </c>
      <c r="Y29" s="220">
        <f t="shared" si="29"/>
        <v>472</v>
      </c>
      <c r="Z29" s="220">
        <v>7</v>
      </c>
      <c r="AA29" s="220">
        <v>8</v>
      </c>
      <c r="AB29" s="220">
        <v>8</v>
      </c>
      <c r="AC29" s="220">
        <v>6</v>
      </c>
      <c r="AD29" s="220">
        <v>7</v>
      </c>
      <c r="AE29" s="220">
        <f t="shared" ref="AE29:AI44" si="30">AE28-Z29</f>
        <v>-76</v>
      </c>
      <c r="AF29" s="220">
        <f t="shared" si="30"/>
        <v>-130</v>
      </c>
      <c r="AG29" s="220">
        <f t="shared" si="30"/>
        <v>-123</v>
      </c>
      <c r="AH29" s="220">
        <f t="shared" si="30"/>
        <v>-124</v>
      </c>
      <c r="AI29" s="220">
        <f t="shared" si="30"/>
        <v>-87</v>
      </c>
      <c r="AJ29" s="50">
        <f t="shared" si="13"/>
        <v>1.6760000000000004</v>
      </c>
      <c r="AK29" s="257"/>
      <c r="AL29" s="257">
        <f t="shared" si="14"/>
        <v>1.2</v>
      </c>
      <c r="AM29" s="52"/>
      <c r="AN29" s="88"/>
    </row>
    <row r="30" spans="1:40" s="29" customFormat="1" ht="17.25" customHeight="1">
      <c r="A30" s="48">
        <v>20</v>
      </c>
      <c r="B30" s="49">
        <f t="shared" si="7"/>
        <v>45595</v>
      </c>
      <c r="C30" s="220">
        <f t="shared" si="8"/>
        <v>1049</v>
      </c>
      <c r="D30" s="220">
        <f t="shared" ref="D30" si="31">D29-18</f>
        <v>2242</v>
      </c>
      <c r="E30" s="220">
        <f t="shared" si="9"/>
        <v>3291</v>
      </c>
      <c r="F30" s="220">
        <f t="shared" si="1"/>
        <v>725</v>
      </c>
      <c r="G30" s="220">
        <f t="shared" si="2"/>
        <v>800</v>
      </c>
      <c r="H30" s="220">
        <f t="shared" si="3"/>
        <v>823</v>
      </c>
      <c r="I30" s="220">
        <f t="shared" si="4"/>
        <v>868</v>
      </c>
      <c r="J30" s="220">
        <f t="shared" si="5"/>
        <v>826</v>
      </c>
      <c r="K30" s="220">
        <f t="shared" si="6"/>
        <v>2566</v>
      </c>
      <c r="L30" s="220">
        <f t="shared" si="6"/>
        <v>2491</v>
      </c>
      <c r="M30" s="220">
        <f t="shared" si="6"/>
        <v>2468</v>
      </c>
      <c r="N30" s="220">
        <f t="shared" si="6"/>
        <v>2423</v>
      </c>
      <c r="O30" s="220">
        <f t="shared" si="6"/>
        <v>2465</v>
      </c>
      <c r="P30" s="220">
        <f t="shared" si="28"/>
        <v>2000</v>
      </c>
      <c r="Q30" s="220">
        <f t="shared" si="28"/>
        <v>2000</v>
      </c>
      <c r="R30" s="220">
        <f t="shared" si="28"/>
        <v>2000</v>
      </c>
      <c r="S30" s="220">
        <f t="shared" si="28"/>
        <v>2000</v>
      </c>
      <c r="T30" s="220">
        <f t="shared" si="28"/>
        <v>2000</v>
      </c>
      <c r="U30" s="220">
        <f t="shared" si="29"/>
        <v>566</v>
      </c>
      <c r="V30" s="220">
        <f t="shared" si="29"/>
        <v>491</v>
      </c>
      <c r="W30" s="220">
        <f t="shared" si="29"/>
        <v>468</v>
      </c>
      <c r="X30" s="220">
        <f t="shared" si="29"/>
        <v>423</v>
      </c>
      <c r="Y30" s="220">
        <f t="shared" si="29"/>
        <v>465</v>
      </c>
      <c r="Z30" s="220">
        <v>7</v>
      </c>
      <c r="AA30" s="220">
        <v>8</v>
      </c>
      <c r="AB30" s="220">
        <v>8</v>
      </c>
      <c r="AC30" s="220">
        <v>7</v>
      </c>
      <c r="AD30" s="220">
        <v>7</v>
      </c>
      <c r="AE30" s="220">
        <f t="shared" si="30"/>
        <v>-83</v>
      </c>
      <c r="AF30" s="220">
        <f t="shared" si="30"/>
        <v>-138</v>
      </c>
      <c r="AG30" s="220">
        <f t="shared" si="30"/>
        <v>-131</v>
      </c>
      <c r="AH30" s="220">
        <f t="shared" si="30"/>
        <v>-131</v>
      </c>
      <c r="AI30" s="220">
        <f t="shared" si="30"/>
        <v>-94</v>
      </c>
      <c r="AJ30" s="50">
        <f t="shared" si="13"/>
        <v>1.6680000000000004</v>
      </c>
      <c r="AK30" s="257"/>
      <c r="AL30" s="257">
        <f t="shared" si="14"/>
        <v>1.2</v>
      </c>
      <c r="AM30" s="52"/>
      <c r="AN30" s="88"/>
    </row>
    <row r="31" spans="1:40" s="29" customFormat="1" ht="17.25" customHeight="1">
      <c r="A31" s="48">
        <v>21</v>
      </c>
      <c r="B31" s="49">
        <f t="shared" si="7"/>
        <v>45596</v>
      </c>
      <c r="C31" s="220">
        <f t="shared" si="8"/>
        <v>1049</v>
      </c>
      <c r="D31" s="220">
        <f t="shared" ref="D31" si="32">D30-26</f>
        <v>2216</v>
      </c>
      <c r="E31" s="220">
        <f t="shared" si="9"/>
        <v>3265</v>
      </c>
      <c r="F31" s="220">
        <f t="shared" si="1"/>
        <v>705</v>
      </c>
      <c r="G31" s="220">
        <f t="shared" si="2"/>
        <v>782</v>
      </c>
      <c r="H31" s="220">
        <f t="shared" si="3"/>
        <v>805</v>
      </c>
      <c r="I31" s="220">
        <f t="shared" si="4"/>
        <v>848</v>
      </c>
      <c r="J31" s="220">
        <f t="shared" si="5"/>
        <v>806</v>
      </c>
      <c r="K31" s="220">
        <f t="shared" si="6"/>
        <v>2560</v>
      </c>
      <c r="L31" s="220">
        <f t="shared" si="6"/>
        <v>2483</v>
      </c>
      <c r="M31" s="220">
        <f t="shared" si="6"/>
        <v>2460</v>
      </c>
      <c r="N31" s="220">
        <f t="shared" si="6"/>
        <v>2417</v>
      </c>
      <c r="O31" s="220">
        <f t="shared" si="6"/>
        <v>2459</v>
      </c>
      <c r="P31" s="220">
        <f t="shared" si="28"/>
        <v>2000</v>
      </c>
      <c r="Q31" s="220">
        <f t="shared" si="28"/>
        <v>2000</v>
      </c>
      <c r="R31" s="220">
        <f t="shared" si="28"/>
        <v>2000</v>
      </c>
      <c r="S31" s="220">
        <f t="shared" si="28"/>
        <v>2000</v>
      </c>
      <c r="T31" s="220">
        <f t="shared" si="28"/>
        <v>2000</v>
      </c>
      <c r="U31" s="220">
        <f t="shared" si="29"/>
        <v>560</v>
      </c>
      <c r="V31" s="220">
        <f t="shared" si="29"/>
        <v>483</v>
      </c>
      <c r="W31" s="220">
        <f t="shared" si="29"/>
        <v>460</v>
      </c>
      <c r="X31" s="220">
        <f t="shared" si="29"/>
        <v>417</v>
      </c>
      <c r="Y31" s="220">
        <f t="shared" si="29"/>
        <v>459</v>
      </c>
      <c r="Z31" s="220">
        <v>6</v>
      </c>
      <c r="AA31" s="220">
        <v>8</v>
      </c>
      <c r="AB31" s="220">
        <v>8</v>
      </c>
      <c r="AC31" s="220">
        <v>6</v>
      </c>
      <c r="AD31" s="220">
        <v>6</v>
      </c>
      <c r="AE31" s="220">
        <f t="shared" si="30"/>
        <v>-89</v>
      </c>
      <c r="AF31" s="220">
        <f t="shared" si="30"/>
        <v>-146</v>
      </c>
      <c r="AG31" s="220">
        <f t="shared" si="30"/>
        <v>-139</v>
      </c>
      <c r="AH31" s="220">
        <f t="shared" si="30"/>
        <v>-137</v>
      </c>
      <c r="AI31" s="220">
        <f t="shared" si="30"/>
        <v>-100</v>
      </c>
      <c r="AJ31" s="50">
        <f t="shared" si="13"/>
        <v>1.6600000000000004</v>
      </c>
      <c r="AK31" s="257"/>
      <c r="AL31" s="257">
        <f t="shared" si="14"/>
        <v>1.2</v>
      </c>
      <c r="AM31" s="52"/>
      <c r="AN31" s="88"/>
    </row>
    <row r="32" spans="1:40" s="29" customFormat="1" ht="17.25" customHeight="1">
      <c r="A32" s="48">
        <v>22</v>
      </c>
      <c r="B32" s="49">
        <f t="shared" si="7"/>
        <v>45597</v>
      </c>
      <c r="C32" s="220">
        <f t="shared" si="8"/>
        <v>1049</v>
      </c>
      <c r="D32" s="220">
        <f t="shared" ref="D32" si="33">D31+15</f>
        <v>2231</v>
      </c>
      <c r="E32" s="220">
        <f t="shared" si="9"/>
        <v>3280</v>
      </c>
      <c r="F32" s="220">
        <f t="shared" si="1"/>
        <v>726</v>
      </c>
      <c r="G32" s="220">
        <f t="shared" si="2"/>
        <v>804</v>
      </c>
      <c r="H32" s="220">
        <f t="shared" si="3"/>
        <v>828</v>
      </c>
      <c r="I32" s="220">
        <f t="shared" si="4"/>
        <v>868</v>
      </c>
      <c r="J32" s="220">
        <f t="shared" si="5"/>
        <v>827</v>
      </c>
      <c r="K32" s="220">
        <f t="shared" si="6"/>
        <v>2554</v>
      </c>
      <c r="L32" s="220">
        <f t="shared" si="6"/>
        <v>2476</v>
      </c>
      <c r="M32" s="220">
        <f t="shared" si="6"/>
        <v>2452</v>
      </c>
      <c r="N32" s="220">
        <f t="shared" si="6"/>
        <v>2412</v>
      </c>
      <c r="O32" s="220">
        <f t="shared" si="6"/>
        <v>2453</v>
      </c>
      <c r="P32" s="220">
        <f t="shared" si="28"/>
        <v>2000</v>
      </c>
      <c r="Q32" s="220">
        <f t="shared" si="28"/>
        <v>2000</v>
      </c>
      <c r="R32" s="220">
        <f t="shared" si="28"/>
        <v>2000</v>
      </c>
      <c r="S32" s="220">
        <f t="shared" si="28"/>
        <v>2000</v>
      </c>
      <c r="T32" s="220">
        <f t="shared" si="28"/>
        <v>2000</v>
      </c>
      <c r="U32" s="220">
        <f t="shared" si="29"/>
        <v>554</v>
      </c>
      <c r="V32" s="220">
        <f t="shared" si="29"/>
        <v>476</v>
      </c>
      <c r="W32" s="220">
        <f t="shared" si="29"/>
        <v>452</v>
      </c>
      <c r="X32" s="220">
        <f t="shared" si="29"/>
        <v>412</v>
      </c>
      <c r="Y32" s="220">
        <f t="shared" si="29"/>
        <v>453</v>
      </c>
      <c r="Z32" s="220">
        <v>6</v>
      </c>
      <c r="AA32" s="220">
        <v>7</v>
      </c>
      <c r="AB32" s="220">
        <v>8</v>
      </c>
      <c r="AC32" s="220">
        <v>5</v>
      </c>
      <c r="AD32" s="220">
        <v>6</v>
      </c>
      <c r="AE32" s="220">
        <f t="shared" si="30"/>
        <v>-95</v>
      </c>
      <c r="AF32" s="220">
        <f t="shared" si="30"/>
        <v>-153</v>
      </c>
      <c r="AG32" s="220">
        <f t="shared" si="30"/>
        <v>-147</v>
      </c>
      <c r="AH32" s="220">
        <f t="shared" si="30"/>
        <v>-142</v>
      </c>
      <c r="AI32" s="220">
        <f t="shared" si="30"/>
        <v>-106</v>
      </c>
      <c r="AJ32" s="50">
        <f t="shared" si="13"/>
        <v>1.6520000000000004</v>
      </c>
      <c r="AK32" s="257"/>
      <c r="AL32" s="257">
        <f t="shared" si="14"/>
        <v>1.2</v>
      </c>
      <c r="AM32" s="52"/>
      <c r="AN32" s="88"/>
    </row>
    <row r="33" spans="1:40" s="29" customFormat="1" ht="17.25" customHeight="1">
      <c r="A33" s="48">
        <v>23</v>
      </c>
      <c r="B33" s="49">
        <f t="shared" si="7"/>
        <v>45598</v>
      </c>
      <c r="C33" s="220">
        <f t="shared" si="8"/>
        <v>1049</v>
      </c>
      <c r="D33" s="220">
        <f t="shared" ref="D33" si="34">D32+26</f>
        <v>2257</v>
      </c>
      <c r="E33" s="220">
        <f t="shared" si="9"/>
        <v>3306</v>
      </c>
      <c r="F33" s="220">
        <f t="shared" si="1"/>
        <v>758</v>
      </c>
      <c r="G33" s="220">
        <f t="shared" si="2"/>
        <v>838</v>
      </c>
      <c r="H33" s="220">
        <f t="shared" si="3"/>
        <v>862</v>
      </c>
      <c r="I33" s="220">
        <f t="shared" si="4"/>
        <v>899</v>
      </c>
      <c r="J33" s="220">
        <f t="shared" si="5"/>
        <v>859</v>
      </c>
      <c r="K33" s="220">
        <f t="shared" si="6"/>
        <v>2548</v>
      </c>
      <c r="L33" s="220">
        <f t="shared" si="6"/>
        <v>2468</v>
      </c>
      <c r="M33" s="220">
        <f t="shared" si="6"/>
        <v>2444</v>
      </c>
      <c r="N33" s="220">
        <f t="shared" si="6"/>
        <v>2407</v>
      </c>
      <c r="O33" s="220">
        <f t="shared" si="6"/>
        <v>2447</v>
      </c>
      <c r="P33" s="220">
        <f t="shared" si="28"/>
        <v>2000</v>
      </c>
      <c r="Q33" s="220">
        <f t="shared" si="28"/>
        <v>2000</v>
      </c>
      <c r="R33" s="220">
        <f t="shared" si="28"/>
        <v>2000</v>
      </c>
      <c r="S33" s="220">
        <f t="shared" si="28"/>
        <v>2000</v>
      </c>
      <c r="T33" s="220">
        <f t="shared" si="28"/>
        <v>2000</v>
      </c>
      <c r="U33" s="220">
        <f t="shared" si="29"/>
        <v>548</v>
      </c>
      <c r="V33" s="220">
        <f t="shared" si="29"/>
        <v>468</v>
      </c>
      <c r="W33" s="220">
        <f t="shared" si="29"/>
        <v>444</v>
      </c>
      <c r="X33" s="220">
        <f t="shared" si="29"/>
        <v>407</v>
      </c>
      <c r="Y33" s="220">
        <f t="shared" si="29"/>
        <v>447</v>
      </c>
      <c r="Z33" s="220">
        <v>6</v>
      </c>
      <c r="AA33" s="220">
        <v>8</v>
      </c>
      <c r="AB33" s="220">
        <v>8</v>
      </c>
      <c r="AC33" s="220">
        <v>5</v>
      </c>
      <c r="AD33" s="220">
        <v>6</v>
      </c>
      <c r="AE33" s="220">
        <f t="shared" si="30"/>
        <v>-101</v>
      </c>
      <c r="AF33" s="220">
        <f t="shared" si="30"/>
        <v>-161</v>
      </c>
      <c r="AG33" s="220">
        <f t="shared" si="30"/>
        <v>-155</v>
      </c>
      <c r="AH33" s="220">
        <f t="shared" si="30"/>
        <v>-147</v>
      </c>
      <c r="AI33" s="220">
        <f t="shared" si="30"/>
        <v>-112</v>
      </c>
      <c r="AJ33" s="50">
        <f t="shared" si="13"/>
        <v>1.6440000000000003</v>
      </c>
      <c r="AK33" s="257"/>
      <c r="AL33" s="257">
        <f t="shared" si="14"/>
        <v>1.2</v>
      </c>
      <c r="AM33" s="52"/>
      <c r="AN33" s="88"/>
    </row>
    <row r="34" spans="1:40" s="29" customFormat="1" ht="17.25" customHeight="1">
      <c r="A34" s="48">
        <v>24</v>
      </c>
      <c r="B34" s="49">
        <f t="shared" si="7"/>
        <v>45599</v>
      </c>
      <c r="C34" s="220">
        <f t="shared" si="8"/>
        <v>1049</v>
      </c>
      <c r="D34" s="220">
        <f t="shared" ref="D34" si="35">D33+32</f>
        <v>2289</v>
      </c>
      <c r="E34" s="220">
        <f t="shared" si="9"/>
        <v>3338</v>
      </c>
      <c r="F34" s="220">
        <f t="shared" si="1"/>
        <v>796</v>
      </c>
      <c r="G34" s="220">
        <f t="shared" si="2"/>
        <v>877</v>
      </c>
      <c r="H34" s="220">
        <f t="shared" si="3"/>
        <v>902</v>
      </c>
      <c r="I34" s="220">
        <f t="shared" si="4"/>
        <v>937</v>
      </c>
      <c r="J34" s="220">
        <f t="shared" si="5"/>
        <v>897</v>
      </c>
      <c r="K34" s="220">
        <f t="shared" si="6"/>
        <v>2542</v>
      </c>
      <c r="L34" s="220">
        <f t="shared" si="6"/>
        <v>2461</v>
      </c>
      <c r="M34" s="220">
        <f t="shared" si="6"/>
        <v>2436</v>
      </c>
      <c r="N34" s="220">
        <f t="shared" si="6"/>
        <v>2401</v>
      </c>
      <c r="O34" s="220">
        <f t="shared" si="6"/>
        <v>2441</v>
      </c>
      <c r="P34" s="220">
        <f t="shared" si="28"/>
        <v>2000</v>
      </c>
      <c r="Q34" s="220">
        <f t="shared" si="28"/>
        <v>2000</v>
      </c>
      <c r="R34" s="220">
        <f t="shared" si="28"/>
        <v>2000</v>
      </c>
      <c r="S34" s="220">
        <f t="shared" si="28"/>
        <v>2000</v>
      </c>
      <c r="T34" s="220">
        <f t="shared" si="28"/>
        <v>2000</v>
      </c>
      <c r="U34" s="220">
        <f t="shared" si="29"/>
        <v>542</v>
      </c>
      <c r="V34" s="220">
        <f t="shared" si="29"/>
        <v>461</v>
      </c>
      <c r="W34" s="220">
        <f t="shared" si="29"/>
        <v>436</v>
      </c>
      <c r="X34" s="220">
        <f t="shared" si="29"/>
        <v>401</v>
      </c>
      <c r="Y34" s="220">
        <f t="shared" si="29"/>
        <v>441</v>
      </c>
      <c r="Z34" s="220">
        <v>6</v>
      </c>
      <c r="AA34" s="220">
        <v>7</v>
      </c>
      <c r="AB34" s="220">
        <v>8</v>
      </c>
      <c r="AC34" s="220">
        <v>6</v>
      </c>
      <c r="AD34" s="220">
        <v>6</v>
      </c>
      <c r="AE34" s="220">
        <f t="shared" si="30"/>
        <v>-107</v>
      </c>
      <c r="AF34" s="220">
        <f t="shared" si="30"/>
        <v>-168</v>
      </c>
      <c r="AG34" s="220">
        <f t="shared" si="30"/>
        <v>-163</v>
      </c>
      <c r="AH34" s="220">
        <f t="shared" si="30"/>
        <v>-153</v>
      </c>
      <c r="AI34" s="220">
        <f t="shared" si="30"/>
        <v>-118</v>
      </c>
      <c r="AJ34" s="50">
        <f t="shared" si="13"/>
        <v>1.6360000000000003</v>
      </c>
      <c r="AK34" s="257"/>
      <c r="AL34" s="257">
        <f t="shared" si="14"/>
        <v>1.2</v>
      </c>
      <c r="AM34" s="52"/>
      <c r="AN34" s="88"/>
    </row>
    <row r="35" spans="1:40" s="29" customFormat="1" ht="17.25" customHeight="1">
      <c r="A35" s="48">
        <v>25</v>
      </c>
      <c r="B35" s="49">
        <f t="shared" si="7"/>
        <v>45600</v>
      </c>
      <c r="C35" s="220">
        <f t="shared" si="8"/>
        <v>1049</v>
      </c>
      <c r="D35" s="220">
        <f t="shared" ref="D35" si="36">D34-18</f>
        <v>2271</v>
      </c>
      <c r="E35" s="220">
        <f t="shared" si="9"/>
        <v>3320</v>
      </c>
      <c r="F35" s="220">
        <f t="shared" si="1"/>
        <v>784</v>
      </c>
      <c r="G35" s="220">
        <f t="shared" si="2"/>
        <v>866</v>
      </c>
      <c r="H35" s="220">
        <f t="shared" si="3"/>
        <v>892</v>
      </c>
      <c r="I35" s="220">
        <f t="shared" si="4"/>
        <v>924</v>
      </c>
      <c r="J35" s="220">
        <f t="shared" si="5"/>
        <v>884</v>
      </c>
      <c r="K35" s="220">
        <f t="shared" si="6"/>
        <v>2536</v>
      </c>
      <c r="L35" s="220">
        <f t="shared" si="6"/>
        <v>2454</v>
      </c>
      <c r="M35" s="220">
        <f t="shared" si="6"/>
        <v>2428</v>
      </c>
      <c r="N35" s="220">
        <f t="shared" si="6"/>
        <v>2396</v>
      </c>
      <c r="O35" s="220">
        <f t="shared" si="6"/>
        <v>2436</v>
      </c>
      <c r="P35" s="220">
        <f t="shared" si="28"/>
        <v>2000</v>
      </c>
      <c r="Q35" s="220">
        <f t="shared" si="28"/>
        <v>2000</v>
      </c>
      <c r="R35" s="220">
        <f t="shared" si="28"/>
        <v>2000</v>
      </c>
      <c r="S35" s="220">
        <f t="shared" si="28"/>
        <v>2000</v>
      </c>
      <c r="T35" s="220">
        <f t="shared" si="28"/>
        <v>2000</v>
      </c>
      <c r="U35" s="220">
        <f t="shared" si="29"/>
        <v>536</v>
      </c>
      <c r="V35" s="220">
        <f t="shared" si="29"/>
        <v>454</v>
      </c>
      <c r="W35" s="220">
        <f t="shared" si="29"/>
        <v>428</v>
      </c>
      <c r="X35" s="220">
        <f t="shared" si="29"/>
        <v>396</v>
      </c>
      <c r="Y35" s="220">
        <f t="shared" si="29"/>
        <v>436</v>
      </c>
      <c r="Z35" s="220">
        <v>6</v>
      </c>
      <c r="AA35" s="220">
        <v>7</v>
      </c>
      <c r="AB35" s="220">
        <v>8</v>
      </c>
      <c r="AC35" s="220">
        <v>5</v>
      </c>
      <c r="AD35" s="220">
        <v>5</v>
      </c>
      <c r="AE35" s="220">
        <f t="shared" si="30"/>
        <v>-113</v>
      </c>
      <c r="AF35" s="220">
        <f t="shared" si="30"/>
        <v>-175</v>
      </c>
      <c r="AG35" s="220">
        <f t="shared" si="30"/>
        <v>-171</v>
      </c>
      <c r="AH35" s="220">
        <f t="shared" si="30"/>
        <v>-158</v>
      </c>
      <c r="AI35" s="220">
        <f t="shared" si="30"/>
        <v>-123</v>
      </c>
      <c r="AJ35" s="50">
        <f t="shared" si="13"/>
        <v>1.6280000000000003</v>
      </c>
      <c r="AK35" s="257"/>
      <c r="AL35" s="257">
        <f t="shared" si="14"/>
        <v>1.2</v>
      </c>
      <c r="AM35" s="52"/>
      <c r="AN35" s="88"/>
    </row>
    <row r="36" spans="1:40" s="29" customFormat="1" ht="17.25" customHeight="1">
      <c r="A36" s="48">
        <v>26</v>
      </c>
      <c r="B36" s="49">
        <f t="shared" si="7"/>
        <v>45601</v>
      </c>
      <c r="C36" s="220">
        <f t="shared" si="8"/>
        <v>1049</v>
      </c>
      <c r="D36" s="220">
        <f t="shared" ref="D36" si="37">D35-26</f>
        <v>2245</v>
      </c>
      <c r="E36" s="220">
        <f t="shared" si="9"/>
        <v>3294</v>
      </c>
      <c r="F36" s="220">
        <f t="shared" si="1"/>
        <v>762</v>
      </c>
      <c r="G36" s="220">
        <f t="shared" si="2"/>
        <v>847</v>
      </c>
      <c r="H36" s="220">
        <f t="shared" si="3"/>
        <v>874</v>
      </c>
      <c r="I36" s="220">
        <f t="shared" si="4"/>
        <v>903</v>
      </c>
      <c r="J36" s="220">
        <f t="shared" si="5"/>
        <v>863</v>
      </c>
      <c r="K36" s="220">
        <f t="shared" si="6"/>
        <v>2532</v>
      </c>
      <c r="L36" s="220">
        <f t="shared" si="6"/>
        <v>2447</v>
      </c>
      <c r="M36" s="220">
        <f t="shared" si="6"/>
        <v>2420</v>
      </c>
      <c r="N36" s="220">
        <f t="shared" si="6"/>
        <v>2391</v>
      </c>
      <c r="O36" s="220">
        <f t="shared" si="6"/>
        <v>2431</v>
      </c>
      <c r="P36" s="220">
        <f t="shared" si="28"/>
        <v>2000</v>
      </c>
      <c r="Q36" s="220">
        <f t="shared" si="28"/>
        <v>2000</v>
      </c>
      <c r="R36" s="220">
        <f t="shared" si="28"/>
        <v>2000</v>
      </c>
      <c r="S36" s="220">
        <f t="shared" si="28"/>
        <v>2000</v>
      </c>
      <c r="T36" s="220">
        <f t="shared" si="28"/>
        <v>2000</v>
      </c>
      <c r="U36" s="220">
        <f t="shared" si="29"/>
        <v>532</v>
      </c>
      <c r="V36" s="220">
        <f t="shared" si="29"/>
        <v>447</v>
      </c>
      <c r="W36" s="220">
        <f t="shared" si="29"/>
        <v>420</v>
      </c>
      <c r="X36" s="220">
        <f t="shared" si="29"/>
        <v>391</v>
      </c>
      <c r="Y36" s="220">
        <f t="shared" si="29"/>
        <v>431</v>
      </c>
      <c r="Z36" s="220">
        <v>4</v>
      </c>
      <c r="AA36" s="220">
        <v>7</v>
      </c>
      <c r="AB36" s="220">
        <v>8</v>
      </c>
      <c r="AC36" s="220">
        <v>5</v>
      </c>
      <c r="AD36" s="220">
        <v>5</v>
      </c>
      <c r="AE36" s="220">
        <f t="shared" si="30"/>
        <v>-117</v>
      </c>
      <c r="AF36" s="220">
        <f t="shared" si="30"/>
        <v>-182</v>
      </c>
      <c r="AG36" s="220">
        <f t="shared" si="30"/>
        <v>-179</v>
      </c>
      <c r="AH36" s="220">
        <f t="shared" si="30"/>
        <v>-163</v>
      </c>
      <c r="AI36" s="220">
        <f t="shared" si="30"/>
        <v>-128</v>
      </c>
      <c r="AJ36" s="50">
        <f t="shared" si="13"/>
        <v>1.6200000000000003</v>
      </c>
      <c r="AK36" s="257"/>
      <c r="AL36" s="257">
        <f t="shared" si="14"/>
        <v>1.2</v>
      </c>
      <c r="AM36" s="52"/>
      <c r="AN36" s="88"/>
    </row>
    <row r="37" spans="1:40" s="29" customFormat="1" ht="17.25" customHeight="1">
      <c r="A37" s="48">
        <v>27</v>
      </c>
      <c r="B37" s="49">
        <f t="shared" si="7"/>
        <v>45602</v>
      </c>
      <c r="C37" s="220">
        <f t="shared" si="8"/>
        <v>1049</v>
      </c>
      <c r="D37" s="220">
        <f t="shared" ref="D37" si="38">D36+15</f>
        <v>2260</v>
      </c>
      <c r="E37" s="220">
        <f t="shared" si="9"/>
        <v>3309</v>
      </c>
      <c r="F37" s="220">
        <f t="shared" si="1"/>
        <v>780</v>
      </c>
      <c r="G37" s="220">
        <f t="shared" si="2"/>
        <v>868</v>
      </c>
      <c r="H37" s="220">
        <f t="shared" si="3"/>
        <v>896</v>
      </c>
      <c r="I37" s="220">
        <f t="shared" si="4"/>
        <v>923</v>
      </c>
      <c r="J37" s="220">
        <f t="shared" si="5"/>
        <v>883</v>
      </c>
      <c r="K37" s="220">
        <f t="shared" si="6"/>
        <v>2529</v>
      </c>
      <c r="L37" s="220">
        <f t="shared" si="6"/>
        <v>2441</v>
      </c>
      <c r="M37" s="220">
        <f t="shared" si="6"/>
        <v>2413</v>
      </c>
      <c r="N37" s="220">
        <f t="shared" si="6"/>
        <v>2386</v>
      </c>
      <c r="O37" s="220">
        <f t="shared" si="6"/>
        <v>2426</v>
      </c>
      <c r="P37" s="220">
        <f t="shared" si="28"/>
        <v>2000</v>
      </c>
      <c r="Q37" s="220">
        <f t="shared" si="28"/>
        <v>2000</v>
      </c>
      <c r="R37" s="220">
        <f t="shared" si="28"/>
        <v>2000</v>
      </c>
      <c r="S37" s="220">
        <f t="shared" si="28"/>
        <v>2000</v>
      </c>
      <c r="T37" s="220">
        <f t="shared" si="28"/>
        <v>2000</v>
      </c>
      <c r="U37" s="220">
        <f t="shared" si="29"/>
        <v>529</v>
      </c>
      <c r="V37" s="220">
        <f t="shared" si="29"/>
        <v>441</v>
      </c>
      <c r="W37" s="220">
        <f t="shared" si="29"/>
        <v>413</v>
      </c>
      <c r="X37" s="220">
        <f t="shared" si="29"/>
        <v>386</v>
      </c>
      <c r="Y37" s="220">
        <f t="shared" si="29"/>
        <v>426</v>
      </c>
      <c r="Z37" s="220">
        <v>3</v>
      </c>
      <c r="AA37" s="220">
        <v>6</v>
      </c>
      <c r="AB37" s="220">
        <v>7</v>
      </c>
      <c r="AC37" s="220">
        <v>5</v>
      </c>
      <c r="AD37" s="220">
        <v>5</v>
      </c>
      <c r="AE37" s="220">
        <f t="shared" si="30"/>
        <v>-120</v>
      </c>
      <c r="AF37" s="220">
        <f t="shared" si="30"/>
        <v>-188</v>
      </c>
      <c r="AG37" s="220">
        <f t="shared" si="30"/>
        <v>-186</v>
      </c>
      <c r="AH37" s="220">
        <f t="shared" si="30"/>
        <v>-168</v>
      </c>
      <c r="AI37" s="220">
        <f t="shared" si="30"/>
        <v>-133</v>
      </c>
      <c r="AJ37" s="50">
        <f t="shared" si="13"/>
        <v>1.6130000000000004</v>
      </c>
      <c r="AK37" s="257"/>
      <c r="AL37" s="257">
        <f t="shared" si="14"/>
        <v>1.2</v>
      </c>
      <c r="AM37" s="52"/>
      <c r="AN37" s="88"/>
    </row>
    <row r="38" spans="1:40" s="29" customFormat="1" ht="17.25" customHeight="1">
      <c r="A38" s="48">
        <v>28</v>
      </c>
      <c r="B38" s="49">
        <f t="shared" si="7"/>
        <v>45603</v>
      </c>
      <c r="C38" s="220">
        <f t="shared" si="8"/>
        <v>1049</v>
      </c>
      <c r="D38" s="220">
        <f t="shared" ref="D38" si="39">D37+26</f>
        <v>2286</v>
      </c>
      <c r="E38" s="220">
        <f t="shared" si="9"/>
        <v>3335</v>
      </c>
      <c r="F38" s="220">
        <f t="shared" si="1"/>
        <v>810</v>
      </c>
      <c r="G38" s="220">
        <f t="shared" si="2"/>
        <v>900</v>
      </c>
      <c r="H38" s="220">
        <f t="shared" si="3"/>
        <v>929</v>
      </c>
      <c r="I38" s="220">
        <f t="shared" si="4"/>
        <v>954</v>
      </c>
      <c r="J38" s="220">
        <f t="shared" si="5"/>
        <v>914</v>
      </c>
      <c r="K38" s="220">
        <f t="shared" si="6"/>
        <v>2525</v>
      </c>
      <c r="L38" s="220">
        <f t="shared" si="6"/>
        <v>2435</v>
      </c>
      <c r="M38" s="220">
        <f t="shared" si="6"/>
        <v>2406</v>
      </c>
      <c r="N38" s="220">
        <f t="shared" si="6"/>
        <v>2381</v>
      </c>
      <c r="O38" s="220">
        <f t="shared" si="6"/>
        <v>2421</v>
      </c>
      <c r="P38" s="220">
        <f t="shared" si="28"/>
        <v>2000</v>
      </c>
      <c r="Q38" s="220">
        <f t="shared" si="28"/>
        <v>2000</v>
      </c>
      <c r="R38" s="220">
        <f t="shared" si="28"/>
        <v>2000</v>
      </c>
      <c r="S38" s="220">
        <f t="shared" si="28"/>
        <v>2000</v>
      </c>
      <c r="T38" s="220">
        <f t="shared" si="28"/>
        <v>2000</v>
      </c>
      <c r="U38" s="220">
        <f t="shared" si="29"/>
        <v>525</v>
      </c>
      <c r="V38" s="220">
        <f t="shared" si="29"/>
        <v>435</v>
      </c>
      <c r="W38" s="220">
        <f t="shared" si="29"/>
        <v>406</v>
      </c>
      <c r="X38" s="220">
        <f t="shared" si="29"/>
        <v>381</v>
      </c>
      <c r="Y38" s="220">
        <f t="shared" si="29"/>
        <v>421</v>
      </c>
      <c r="Z38" s="220">
        <v>4</v>
      </c>
      <c r="AA38" s="220">
        <v>6</v>
      </c>
      <c r="AB38" s="220">
        <v>7</v>
      </c>
      <c r="AC38" s="220">
        <v>5</v>
      </c>
      <c r="AD38" s="220">
        <v>5</v>
      </c>
      <c r="AE38" s="220">
        <f t="shared" si="30"/>
        <v>-124</v>
      </c>
      <c r="AF38" s="220">
        <f t="shared" si="30"/>
        <v>-194</v>
      </c>
      <c r="AG38" s="220">
        <f t="shared" si="30"/>
        <v>-193</v>
      </c>
      <c r="AH38" s="220">
        <f t="shared" si="30"/>
        <v>-173</v>
      </c>
      <c r="AI38" s="220">
        <f t="shared" si="30"/>
        <v>-138</v>
      </c>
      <c r="AJ38" s="50">
        <f t="shared" si="13"/>
        <v>1.6060000000000005</v>
      </c>
      <c r="AK38" s="257"/>
      <c r="AL38" s="257">
        <f t="shared" si="14"/>
        <v>1.2</v>
      </c>
      <c r="AM38" s="52"/>
      <c r="AN38" s="88"/>
    </row>
    <row r="39" spans="1:40" s="29" customFormat="1" ht="17.25" customHeight="1">
      <c r="A39" s="48">
        <v>29</v>
      </c>
      <c r="B39" s="49">
        <f t="shared" si="7"/>
        <v>45604</v>
      </c>
      <c r="C39" s="220">
        <f t="shared" si="8"/>
        <v>1049</v>
      </c>
      <c r="D39" s="220">
        <f t="shared" ref="D39" si="40">D38+32</f>
        <v>2318</v>
      </c>
      <c r="E39" s="220">
        <f t="shared" si="9"/>
        <v>3367</v>
      </c>
      <c r="F39" s="220">
        <f t="shared" si="1"/>
        <v>849</v>
      </c>
      <c r="G39" s="220">
        <f t="shared" si="2"/>
        <v>938</v>
      </c>
      <c r="H39" s="220">
        <f t="shared" si="3"/>
        <v>968</v>
      </c>
      <c r="I39" s="220">
        <f t="shared" si="4"/>
        <v>990</v>
      </c>
      <c r="J39" s="220">
        <f t="shared" si="5"/>
        <v>950</v>
      </c>
      <c r="K39" s="220">
        <f t="shared" si="6"/>
        <v>2518</v>
      </c>
      <c r="L39" s="220">
        <f t="shared" si="6"/>
        <v>2429</v>
      </c>
      <c r="M39" s="220">
        <f t="shared" si="6"/>
        <v>2399</v>
      </c>
      <c r="N39" s="220">
        <f t="shared" si="6"/>
        <v>2377</v>
      </c>
      <c r="O39" s="220">
        <f t="shared" si="6"/>
        <v>2417</v>
      </c>
      <c r="P39" s="220">
        <f t="shared" si="28"/>
        <v>2000</v>
      </c>
      <c r="Q39" s="220">
        <f t="shared" si="28"/>
        <v>2000</v>
      </c>
      <c r="R39" s="220">
        <f t="shared" si="28"/>
        <v>2000</v>
      </c>
      <c r="S39" s="220">
        <f t="shared" si="28"/>
        <v>2000</v>
      </c>
      <c r="T39" s="220">
        <f t="shared" si="28"/>
        <v>2000</v>
      </c>
      <c r="U39" s="220">
        <f t="shared" si="29"/>
        <v>518</v>
      </c>
      <c r="V39" s="220">
        <f t="shared" si="29"/>
        <v>429</v>
      </c>
      <c r="W39" s="220">
        <f t="shared" si="29"/>
        <v>399</v>
      </c>
      <c r="X39" s="220">
        <f t="shared" si="29"/>
        <v>377</v>
      </c>
      <c r="Y39" s="220">
        <f t="shared" si="29"/>
        <v>417</v>
      </c>
      <c r="Z39" s="220">
        <v>7</v>
      </c>
      <c r="AA39" s="220">
        <v>6</v>
      </c>
      <c r="AB39" s="220">
        <v>7</v>
      </c>
      <c r="AC39" s="220">
        <v>4</v>
      </c>
      <c r="AD39" s="220">
        <v>4</v>
      </c>
      <c r="AE39" s="220">
        <f t="shared" si="30"/>
        <v>-131</v>
      </c>
      <c r="AF39" s="220">
        <f t="shared" si="30"/>
        <v>-200</v>
      </c>
      <c r="AG39" s="220">
        <f t="shared" si="30"/>
        <v>-200</v>
      </c>
      <c r="AH39" s="220">
        <f t="shared" si="30"/>
        <v>-177</v>
      </c>
      <c r="AI39" s="220">
        <f t="shared" si="30"/>
        <v>-142</v>
      </c>
      <c r="AJ39" s="50">
        <f t="shared" si="13"/>
        <v>1.5990000000000006</v>
      </c>
      <c r="AK39" s="257"/>
      <c r="AL39" s="257">
        <f t="shared" si="14"/>
        <v>1.2</v>
      </c>
      <c r="AM39" s="52"/>
      <c r="AN39" s="88"/>
    </row>
    <row r="40" spans="1:40" s="29" customFormat="1" ht="17.25" customHeight="1">
      <c r="A40" s="48">
        <v>30</v>
      </c>
      <c r="B40" s="49">
        <f t="shared" si="7"/>
        <v>45605</v>
      </c>
      <c r="C40" s="220">
        <f t="shared" si="8"/>
        <v>1049</v>
      </c>
      <c r="D40" s="220">
        <f t="shared" ref="D40" si="41">D39-18</f>
        <v>2300</v>
      </c>
      <c r="E40" s="220">
        <f t="shared" si="9"/>
        <v>3349</v>
      </c>
      <c r="F40" s="220">
        <f t="shared" si="1"/>
        <v>837</v>
      </c>
      <c r="G40" s="220">
        <f t="shared" si="2"/>
        <v>927</v>
      </c>
      <c r="H40" s="220">
        <f t="shared" si="3"/>
        <v>957</v>
      </c>
      <c r="I40" s="220">
        <f t="shared" si="4"/>
        <v>977</v>
      </c>
      <c r="J40" s="220">
        <f t="shared" si="5"/>
        <v>935</v>
      </c>
      <c r="K40" s="220">
        <f t="shared" si="6"/>
        <v>2512</v>
      </c>
      <c r="L40" s="220">
        <f t="shared" si="6"/>
        <v>2422</v>
      </c>
      <c r="M40" s="220">
        <f t="shared" si="6"/>
        <v>2392</v>
      </c>
      <c r="N40" s="220">
        <f t="shared" si="6"/>
        <v>2372</v>
      </c>
      <c r="O40" s="220">
        <f t="shared" si="6"/>
        <v>2414</v>
      </c>
      <c r="P40" s="220">
        <f t="shared" si="28"/>
        <v>2000</v>
      </c>
      <c r="Q40" s="220">
        <f t="shared" si="28"/>
        <v>2000</v>
      </c>
      <c r="R40" s="220">
        <f t="shared" si="28"/>
        <v>2000</v>
      </c>
      <c r="S40" s="220">
        <f t="shared" si="28"/>
        <v>2000</v>
      </c>
      <c r="T40" s="220">
        <f t="shared" si="28"/>
        <v>2000</v>
      </c>
      <c r="U40" s="220">
        <f t="shared" si="29"/>
        <v>512</v>
      </c>
      <c r="V40" s="220">
        <f t="shared" si="29"/>
        <v>422</v>
      </c>
      <c r="W40" s="220">
        <f t="shared" si="29"/>
        <v>392</v>
      </c>
      <c r="X40" s="220">
        <f t="shared" si="29"/>
        <v>372</v>
      </c>
      <c r="Y40" s="220">
        <f t="shared" si="29"/>
        <v>414</v>
      </c>
      <c r="Z40" s="220">
        <v>6</v>
      </c>
      <c r="AA40" s="220">
        <v>7</v>
      </c>
      <c r="AB40" s="220">
        <v>7</v>
      </c>
      <c r="AC40" s="220">
        <v>5</v>
      </c>
      <c r="AD40" s="220">
        <v>3</v>
      </c>
      <c r="AE40" s="220">
        <f t="shared" si="30"/>
        <v>-137</v>
      </c>
      <c r="AF40" s="220">
        <f t="shared" si="30"/>
        <v>-207</v>
      </c>
      <c r="AG40" s="220">
        <f t="shared" si="30"/>
        <v>-207</v>
      </c>
      <c r="AH40" s="220">
        <f t="shared" si="30"/>
        <v>-182</v>
      </c>
      <c r="AI40" s="220">
        <f t="shared" si="30"/>
        <v>-145</v>
      </c>
      <c r="AJ40" s="50">
        <f t="shared" si="13"/>
        <v>1.5920000000000007</v>
      </c>
      <c r="AK40" s="257"/>
      <c r="AL40" s="257">
        <f t="shared" si="14"/>
        <v>1.2</v>
      </c>
      <c r="AM40" s="52"/>
      <c r="AN40" s="88"/>
    </row>
    <row r="41" spans="1:40" s="29" customFormat="1" ht="17.25" customHeight="1">
      <c r="A41" s="48">
        <v>31</v>
      </c>
      <c r="B41" s="49">
        <f t="shared" si="7"/>
        <v>45606</v>
      </c>
      <c r="C41" s="220">
        <f t="shared" si="8"/>
        <v>1049</v>
      </c>
      <c r="D41" s="220">
        <f t="shared" ref="D41" si="42">D40-26</f>
        <v>2274</v>
      </c>
      <c r="E41" s="220">
        <f t="shared" si="9"/>
        <v>3323</v>
      </c>
      <c r="F41" s="220">
        <f t="shared" si="1"/>
        <v>816</v>
      </c>
      <c r="G41" s="220">
        <f t="shared" si="2"/>
        <v>907</v>
      </c>
      <c r="H41" s="220">
        <f t="shared" si="3"/>
        <v>938</v>
      </c>
      <c r="I41" s="220">
        <f t="shared" si="4"/>
        <v>957</v>
      </c>
      <c r="J41" s="220">
        <f t="shared" si="5"/>
        <v>913</v>
      </c>
      <c r="K41" s="220">
        <f t="shared" si="6"/>
        <v>2507</v>
      </c>
      <c r="L41" s="220">
        <f t="shared" si="6"/>
        <v>2416</v>
      </c>
      <c r="M41" s="220">
        <f t="shared" si="6"/>
        <v>2385</v>
      </c>
      <c r="N41" s="220">
        <f t="shared" si="6"/>
        <v>2366</v>
      </c>
      <c r="O41" s="220">
        <f t="shared" si="6"/>
        <v>2410</v>
      </c>
      <c r="P41" s="220">
        <f t="shared" si="28"/>
        <v>2000</v>
      </c>
      <c r="Q41" s="220">
        <f t="shared" si="28"/>
        <v>2000</v>
      </c>
      <c r="R41" s="220">
        <f t="shared" si="28"/>
        <v>2000</v>
      </c>
      <c r="S41" s="220">
        <f t="shared" si="28"/>
        <v>2000</v>
      </c>
      <c r="T41" s="220">
        <f t="shared" si="28"/>
        <v>2000</v>
      </c>
      <c r="U41" s="220">
        <f t="shared" si="29"/>
        <v>507</v>
      </c>
      <c r="V41" s="220">
        <f t="shared" si="29"/>
        <v>416</v>
      </c>
      <c r="W41" s="220">
        <f t="shared" si="29"/>
        <v>385</v>
      </c>
      <c r="X41" s="220">
        <f t="shared" si="29"/>
        <v>366</v>
      </c>
      <c r="Y41" s="220">
        <f t="shared" si="29"/>
        <v>410</v>
      </c>
      <c r="Z41" s="220">
        <v>5</v>
      </c>
      <c r="AA41" s="220">
        <v>6</v>
      </c>
      <c r="AB41" s="220">
        <v>7</v>
      </c>
      <c r="AC41" s="220">
        <v>6</v>
      </c>
      <c r="AD41" s="220">
        <v>4</v>
      </c>
      <c r="AE41" s="220">
        <f t="shared" si="30"/>
        <v>-142</v>
      </c>
      <c r="AF41" s="220">
        <f t="shared" si="30"/>
        <v>-213</v>
      </c>
      <c r="AG41" s="220">
        <f t="shared" si="30"/>
        <v>-214</v>
      </c>
      <c r="AH41" s="220">
        <f t="shared" si="30"/>
        <v>-188</v>
      </c>
      <c r="AI41" s="220">
        <f t="shared" si="30"/>
        <v>-149</v>
      </c>
      <c r="AJ41" s="50">
        <f t="shared" si="13"/>
        <v>1.5850000000000009</v>
      </c>
      <c r="AK41" s="257"/>
      <c r="AL41" s="257">
        <f t="shared" si="14"/>
        <v>1.2</v>
      </c>
      <c r="AM41" s="52"/>
      <c r="AN41" s="88"/>
    </row>
    <row r="42" spans="1:40" s="29" customFormat="1" ht="17.25" customHeight="1">
      <c r="A42" s="48">
        <v>32</v>
      </c>
      <c r="B42" s="49">
        <f t="shared" si="7"/>
        <v>45607</v>
      </c>
      <c r="C42" s="220">
        <f t="shared" si="8"/>
        <v>1049</v>
      </c>
      <c r="D42" s="220">
        <f t="shared" ref="D42" si="43">D41+15</f>
        <v>2289</v>
      </c>
      <c r="E42" s="220">
        <f t="shared" si="9"/>
        <v>3338</v>
      </c>
      <c r="F42" s="220">
        <f t="shared" si="1"/>
        <v>835</v>
      </c>
      <c r="G42" s="220">
        <f t="shared" si="2"/>
        <v>928</v>
      </c>
      <c r="H42" s="220">
        <f t="shared" si="3"/>
        <v>960</v>
      </c>
      <c r="I42" s="220">
        <f t="shared" si="4"/>
        <v>977</v>
      </c>
      <c r="J42" s="220">
        <f t="shared" si="5"/>
        <v>931</v>
      </c>
      <c r="K42" s="220">
        <f t="shared" si="6"/>
        <v>2503</v>
      </c>
      <c r="L42" s="220">
        <f t="shared" si="6"/>
        <v>2410</v>
      </c>
      <c r="M42" s="220">
        <f t="shared" si="6"/>
        <v>2378</v>
      </c>
      <c r="N42" s="220">
        <f t="shared" si="6"/>
        <v>2361</v>
      </c>
      <c r="O42" s="220">
        <f t="shared" si="6"/>
        <v>2407</v>
      </c>
      <c r="P42" s="220">
        <f t="shared" si="28"/>
        <v>2000</v>
      </c>
      <c r="Q42" s="220">
        <f t="shared" si="28"/>
        <v>2000</v>
      </c>
      <c r="R42" s="220">
        <f t="shared" si="28"/>
        <v>2000</v>
      </c>
      <c r="S42" s="220">
        <f t="shared" si="28"/>
        <v>2000</v>
      </c>
      <c r="T42" s="220">
        <f t="shared" si="28"/>
        <v>2000</v>
      </c>
      <c r="U42" s="220">
        <f t="shared" si="29"/>
        <v>503</v>
      </c>
      <c r="V42" s="220">
        <f t="shared" si="29"/>
        <v>410</v>
      </c>
      <c r="W42" s="220">
        <f t="shared" si="29"/>
        <v>378</v>
      </c>
      <c r="X42" s="220">
        <f t="shared" si="29"/>
        <v>361</v>
      </c>
      <c r="Y42" s="220">
        <f t="shared" si="29"/>
        <v>407</v>
      </c>
      <c r="Z42" s="220">
        <v>4</v>
      </c>
      <c r="AA42" s="220">
        <v>6</v>
      </c>
      <c r="AB42" s="220">
        <v>7</v>
      </c>
      <c r="AC42" s="220">
        <v>5</v>
      </c>
      <c r="AD42" s="220">
        <v>3</v>
      </c>
      <c r="AE42" s="220">
        <f t="shared" si="30"/>
        <v>-146</v>
      </c>
      <c r="AF42" s="220">
        <f t="shared" si="30"/>
        <v>-219</v>
      </c>
      <c r="AG42" s="220">
        <f t="shared" si="30"/>
        <v>-221</v>
      </c>
      <c r="AH42" s="220">
        <f t="shared" si="30"/>
        <v>-193</v>
      </c>
      <c r="AI42" s="220">
        <f t="shared" si="30"/>
        <v>-152</v>
      </c>
      <c r="AJ42" s="50">
        <f t="shared" si="13"/>
        <v>1.578000000000001</v>
      </c>
      <c r="AK42" s="257"/>
      <c r="AL42" s="257">
        <f t="shared" si="14"/>
        <v>1.2</v>
      </c>
      <c r="AM42" s="52"/>
      <c r="AN42" s="88"/>
    </row>
    <row r="43" spans="1:40" s="29" customFormat="1" ht="17.25" customHeight="1">
      <c r="A43" s="48">
        <v>33</v>
      </c>
      <c r="B43" s="49">
        <f t="shared" si="7"/>
        <v>45608</v>
      </c>
      <c r="C43" s="220">
        <f t="shared" si="8"/>
        <v>1049</v>
      </c>
      <c r="D43" s="220">
        <f t="shared" ref="D43" si="44">D42+26</f>
        <v>2315</v>
      </c>
      <c r="E43" s="220">
        <f t="shared" si="9"/>
        <v>3364</v>
      </c>
      <c r="F43" s="220">
        <f t="shared" si="1"/>
        <v>865</v>
      </c>
      <c r="G43" s="220">
        <f t="shared" si="2"/>
        <v>959</v>
      </c>
      <c r="H43" s="220">
        <f t="shared" si="3"/>
        <v>992</v>
      </c>
      <c r="I43" s="220">
        <f t="shared" si="4"/>
        <v>1008</v>
      </c>
      <c r="J43" s="220">
        <f t="shared" si="5"/>
        <v>959</v>
      </c>
      <c r="K43" s="220">
        <f t="shared" si="6"/>
        <v>2499</v>
      </c>
      <c r="L43" s="220">
        <f t="shared" si="6"/>
        <v>2405</v>
      </c>
      <c r="M43" s="220">
        <f t="shared" si="6"/>
        <v>2372</v>
      </c>
      <c r="N43" s="220">
        <f t="shared" si="6"/>
        <v>2356</v>
      </c>
      <c r="O43" s="220">
        <f t="shared" si="6"/>
        <v>2405</v>
      </c>
      <c r="P43" s="220">
        <f t="shared" si="28"/>
        <v>2000</v>
      </c>
      <c r="Q43" s="220">
        <f t="shared" si="28"/>
        <v>2000</v>
      </c>
      <c r="R43" s="220">
        <f t="shared" si="28"/>
        <v>2000</v>
      </c>
      <c r="S43" s="220">
        <f t="shared" si="28"/>
        <v>2000</v>
      </c>
      <c r="T43" s="220">
        <f t="shared" si="28"/>
        <v>2000</v>
      </c>
      <c r="U43" s="220">
        <f t="shared" si="29"/>
        <v>499</v>
      </c>
      <c r="V43" s="220">
        <f t="shared" si="29"/>
        <v>405</v>
      </c>
      <c r="W43" s="220">
        <f t="shared" si="29"/>
        <v>372</v>
      </c>
      <c r="X43" s="220">
        <f t="shared" si="29"/>
        <v>356</v>
      </c>
      <c r="Y43" s="220">
        <f t="shared" si="29"/>
        <v>405</v>
      </c>
      <c r="Z43" s="220">
        <v>4</v>
      </c>
      <c r="AA43" s="220">
        <v>5</v>
      </c>
      <c r="AB43" s="220">
        <v>6</v>
      </c>
      <c r="AC43" s="220">
        <v>5</v>
      </c>
      <c r="AD43" s="220">
        <v>2</v>
      </c>
      <c r="AE43" s="220">
        <f t="shared" si="30"/>
        <v>-150</v>
      </c>
      <c r="AF43" s="220">
        <f t="shared" si="30"/>
        <v>-224</v>
      </c>
      <c r="AG43" s="220">
        <f t="shared" si="30"/>
        <v>-227</v>
      </c>
      <c r="AH43" s="220">
        <f t="shared" si="30"/>
        <v>-198</v>
      </c>
      <c r="AI43" s="220">
        <f t="shared" si="30"/>
        <v>-154</v>
      </c>
      <c r="AJ43" s="50">
        <f t="shared" si="13"/>
        <v>1.572000000000001</v>
      </c>
      <c r="AK43" s="257"/>
      <c r="AL43" s="257">
        <f t="shared" si="14"/>
        <v>1.2</v>
      </c>
      <c r="AM43" s="52"/>
      <c r="AN43" s="88"/>
    </row>
    <row r="44" spans="1:40" s="29" customFormat="1" ht="17.25" customHeight="1">
      <c r="A44" s="48">
        <v>34</v>
      </c>
      <c r="B44" s="49">
        <f t="shared" si="7"/>
        <v>45609</v>
      </c>
      <c r="C44" s="220">
        <f t="shared" si="8"/>
        <v>1049</v>
      </c>
      <c r="D44" s="220">
        <f t="shared" ref="D44" si="45">D43+32</f>
        <v>2347</v>
      </c>
      <c r="E44" s="220">
        <f t="shared" si="9"/>
        <v>3396</v>
      </c>
      <c r="F44" s="220">
        <f t="shared" si="1"/>
        <v>900</v>
      </c>
      <c r="G44" s="220">
        <f t="shared" si="2"/>
        <v>997</v>
      </c>
      <c r="H44" s="220">
        <f t="shared" si="3"/>
        <v>1030</v>
      </c>
      <c r="I44" s="220">
        <f t="shared" si="4"/>
        <v>1044</v>
      </c>
      <c r="J44" s="220">
        <f t="shared" si="5"/>
        <v>993</v>
      </c>
      <c r="K44" s="220">
        <f t="shared" si="6"/>
        <v>2496</v>
      </c>
      <c r="L44" s="220">
        <f t="shared" si="6"/>
        <v>2399</v>
      </c>
      <c r="M44" s="220">
        <f t="shared" si="6"/>
        <v>2366</v>
      </c>
      <c r="N44" s="220">
        <f t="shared" si="6"/>
        <v>2352</v>
      </c>
      <c r="O44" s="220">
        <f t="shared" si="6"/>
        <v>2403</v>
      </c>
      <c r="P44" s="220">
        <f t="shared" si="28"/>
        <v>2000</v>
      </c>
      <c r="Q44" s="220">
        <f t="shared" si="28"/>
        <v>2000</v>
      </c>
      <c r="R44" s="220">
        <f t="shared" si="28"/>
        <v>2000</v>
      </c>
      <c r="S44" s="220">
        <f t="shared" si="28"/>
        <v>2000</v>
      </c>
      <c r="T44" s="220">
        <f t="shared" si="28"/>
        <v>2000</v>
      </c>
      <c r="U44" s="220">
        <f t="shared" si="29"/>
        <v>496</v>
      </c>
      <c r="V44" s="220">
        <f t="shared" si="29"/>
        <v>399</v>
      </c>
      <c r="W44" s="220">
        <f t="shared" si="29"/>
        <v>366</v>
      </c>
      <c r="X44" s="220">
        <f t="shared" si="29"/>
        <v>352</v>
      </c>
      <c r="Y44" s="220">
        <f t="shared" si="29"/>
        <v>403</v>
      </c>
      <c r="Z44" s="220">
        <v>3</v>
      </c>
      <c r="AA44" s="220">
        <v>6</v>
      </c>
      <c r="AB44" s="220">
        <v>6</v>
      </c>
      <c r="AC44" s="220">
        <v>4</v>
      </c>
      <c r="AD44" s="220">
        <v>2</v>
      </c>
      <c r="AE44" s="220">
        <f t="shared" si="30"/>
        <v>-153</v>
      </c>
      <c r="AF44" s="220">
        <f t="shared" si="30"/>
        <v>-230</v>
      </c>
      <c r="AG44" s="220">
        <f t="shared" si="30"/>
        <v>-233</v>
      </c>
      <c r="AH44" s="220">
        <f t="shared" si="30"/>
        <v>-202</v>
      </c>
      <c r="AI44" s="220">
        <f t="shared" si="30"/>
        <v>-156</v>
      </c>
      <c r="AJ44" s="50">
        <f t="shared" si="13"/>
        <v>1.5660000000000009</v>
      </c>
      <c r="AK44" s="257"/>
      <c r="AL44" s="257">
        <f t="shared" si="14"/>
        <v>1.2</v>
      </c>
      <c r="AM44" s="52"/>
      <c r="AN44" s="88"/>
    </row>
    <row r="45" spans="1:40" s="29" customFormat="1" ht="17.25" customHeight="1">
      <c r="A45" s="48">
        <v>35</v>
      </c>
      <c r="B45" s="49">
        <f t="shared" si="7"/>
        <v>45610</v>
      </c>
      <c r="C45" s="220">
        <f t="shared" si="8"/>
        <v>1049</v>
      </c>
      <c r="D45" s="220">
        <f t="shared" ref="D45" si="46">D44-18</f>
        <v>2329</v>
      </c>
      <c r="E45" s="220">
        <f t="shared" si="9"/>
        <v>3378</v>
      </c>
      <c r="F45" s="220">
        <f t="shared" si="1"/>
        <v>885</v>
      </c>
      <c r="G45" s="220">
        <f t="shared" si="2"/>
        <v>984</v>
      </c>
      <c r="H45" s="220">
        <f t="shared" si="3"/>
        <v>1018</v>
      </c>
      <c r="I45" s="220">
        <f t="shared" si="4"/>
        <v>1031</v>
      </c>
      <c r="J45" s="220">
        <f t="shared" si="5"/>
        <v>977</v>
      </c>
      <c r="K45" s="220">
        <f t="shared" si="6"/>
        <v>2493</v>
      </c>
      <c r="L45" s="220">
        <f t="shared" si="6"/>
        <v>2394</v>
      </c>
      <c r="M45" s="220">
        <f t="shared" si="6"/>
        <v>2360</v>
      </c>
      <c r="N45" s="220">
        <f t="shared" si="6"/>
        <v>2347</v>
      </c>
      <c r="O45" s="220">
        <f t="shared" si="6"/>
        <v>2401</v>
      </c>
      <c r="P45" s="220">
        <f t="shared" ref="P45:T60" si="47">+P44</f>
        <v>2000</v>
      </c>
      <c r="Q45" s="220">
        <f t="shared" si="47"/>
        <v>2000</v>
      </c>
      <c r="R45" s="220">
        <f t="shared" si="47"/>
        <v>2000</v>
      </c>
      <c r="S45" s="220">
        <f t="shared" si="47"/>
        <v>2000</v>
      </c>
      <c r="T45" s="220">
        <f t="shared" si="47"/>
        <v>2000</v>
      </c>
      <c r="U45" s="220">
        <f t="shared" ref="U45:Y60" si="48">U44-Z45</f>
        <v>493</v>
      </c>
      <c r="V45" s="220">
        <f t="shared" si="48"/>
        <v>394</v>
      </c>
      <c r="W45" s="220">
        <f t="shared" si="48"/>
        <v>360</v>
      </c>
      <c r="X45" s="220">
        <f t="shared" si="48"/>
        <v>347</v>
      </c>
      <c r="Y45" s="220">
        <f t="shared" si="48"/>
        <v>401</v>
      </c>
      <c r="Z45" s="220">
        <v>3</v>
      </c>
      <c r="AA45" s="220">
        <v>5</v>
      </c>
      <c r="AB45" s="220">
        <v>6</v>
      </c>
      <c r="AC45" s="220">
        <v>5</v>
      </c>
      <c r="AD45" s="220">
        <v>2</v>
      </c>
      <c r="AE45" s="220">
        <f t="shared" ref="AE45:AI60" si="49">AE44-Z45</f>
        <v>-156</v>
      </c>
      <c r="AF45" s="220">
        <f t="shared" si="49"/>
        <v>-235</v>
      </c>
      <c r="AG45" s="220">
        <f t="shared" si="49"/>
        <v>-239</v>
      </c>
      <c r="AH45" s="220">
        <f t="shared" si="49"/>
        <v>-207</v>
      </c>
      <c r="AI45" s="220">
        <f t="shared" si="49"/>
        <v>-158</v>
      </c>
      <c r="AJ45" s="50">
        <f t="shared" si="13"/>
        <v>1.5600000000000009</v>
      </c>
      <c r="AK45" s="257"/>
      <c r="AL45" s="257">
        <f t="shared" si="14"/>
        <v>1.2</v>
      </c>
      <c r="AM45" s="52"/>
      <c r="AN45" s="88"/>
    </row>
    <row r="46" spans="1:40" s="29" customFormat="1" ht="17.25" customHeight="1">
      <c r="A46" s="48">
        <v>36</v>
      </c>
      <c r="B46" s="49">
        <f t="shared" si="7"/>
        <v>45611</v>
      </c>
      <c r="C46" s="220">
        <f t="shared" si="8"/>
        <v>1049</v>
      </c>
      <c r="D46" s="220">
        <f t="shared" ref="D46" si="50">D45-26</f>
        <v>2303</v>
      </c>
      <c r="E46" s="220">
        <f t="shared" si="9"/>
        <v>3352</v>
      </c>
      <c r="F46" s="220">
        <f t="shared" si="1"/>
        <v>862</v>
      </c>
      <c r="G46" s="220">
        <f t="shared" si="2"/>
        <v>963</v>
      </c>
      <c r="H46" s="220">
        <f t="shared" si="3"/>
        <v>998</v>
      </c>
      <c r="I46" s="220">
        <f t="shared" si="4"/>
        <v>1009</v>
      </c>
      <c r="J46" s="220">
        <f t="shared" si="5"/>
        <v>953</v>
      </c>
      <c r="K46" s="220">
        <f t="shared" si="6"/>
        <v>2490</v>
      </c>
      <c r="L46" s="220">
        <f t="shared" si="6"/>
        <v>2389</v>
      </c>
      <c r="M46" s="220">
        <f t="shared" si="6"/>
        <v>2354</v>
      </c>
      <c r="N46" s="220">
        <f t="shared" si="6"/>
        <v>2343</v>
      </c>
      <c r="O46" s="220">
        <f t="shared" si="6"/>
        <v>2399</v>
      </c>
      <c r="P46" s="220">
        <f t="shared" si="47"/>
        <v>2000</v>
      </c>
      <c r="Q46" s="220">
        <f t="shared" si="47"/>
        <v>2000</v>
      </c>
      <c r="R46" s="220">
        <f t="shared" si="47"/>
        <v>2000</v>
      </c>
      <c r="S46" s="220">
        <f t="shared" si="47"/>
        <v>2000</v>
      </c>
      <c r="T46" s="220">
        <f t="shared" si="47"/>
        <v>2000</v>
      </c>
      <c r="U46" s="220">
        <f t="shared" si="48"/>
        <v>490</v>
      </c>
      <c r="V46" s="220">
        <f t="shared" si="48"/>
        <v>389</v>
      </c>
      <c r="W46" s="220">
        <f t="shared" si="48"/>
        <v>354</v>
      </c>
      <c r="X46" s="220">
        <f t="shared" si="48"/>
        <v>343</v>
      </c>
      <c r="Y46" s="220">
        <f t="shared" si="48"/>
        <v>399</v>
      </c>
      <c r="Z46" s="220">
        <v>3</v>
      </c>
      <c r="AA46" s="220">
        <v>5</v>
      </c>
      <c r="AB46" s="220">
        <v>6</v>
      </c>
      <c r="AC46" s="220">
        <v>4</v>
      </c>
      <c r="AD46" s="220">
        <v>2</v>
      </c>
      <c r="AE46" s="220">
        <f t="shared" si="49"/>
        <v>-159</v>
      </c>
      <c r="AF46" s="220">
        <f t="shared" si="49"/>
        <v>-240</v>
      </c>
      <c r="AG46" s="220">
        <f t="shared" si="49"/>
        <v>-245</v>
      </c>
      <c r="AH46" s="220">
        <f t="shared" si="49"/>
        <v>-211</v>
      </c>
      <c r="AI46" s="220">
        <f t="shared" si="49"/>
        <v>-160</v>
      </c>
      <c r="AJ46" s="50">
        <f t="shared" si="13"/>
        <v>1.5540000000000009</v>
      </c>
      <c r="AK46" s="257"/>
      <c r="AL46" s="257">
        <f t="shared" si="14"/>
        <v>1.2</v>
      </c>
      <c r="AM46" s="52"/>
      <c r="AN46" s="88"/>
    </row>
    <row r="47" spans="1:40" s="29" customFormat="1" ht="17.25" customHeight="1">
      <c r="A47" s="48">
        <v>37</v>
      </c>
      <c r="B47" s="49">
        <f t="shared" si="7"/>
        <v>45612</v>
      </c>
      <c r="C47" s="220">
        <f t="shared" si="8"/>
        <v>1049</v>
      </c>
      <c r="D47" s="220">
        <f t="shared" ref="D47" si="51">D46+15</f>
        <v>2318</v>
      </c>
      <c r="E47" s="220">
        <f t="shared" si="9"/>
        <v>3367</v>
      </c>
      <c r="F47" s="220">
        <f t="shared" si="1"/>
        <v>879</v>
      </c>
      <c r="G47" s="220">
        <f t="shared" si="2"/>
        <v>983</v>
      </c>
      <c r="H47" s="220">
        <f t="shared" si="3"/>
        <v>1019</v>
      </c>
      <c r="I47" s="220">
        <f t="shared" si="4"/>
        <v>1028</v>
      </c>
      <c r="J47" s="220">
        <f t="shared" si="5"/>
        <v>969</v>
      </c>
      <c r="K47" s="220">
        <f t="shared" si="6"/>
        <v>2488</v>
      </c>
      <c r="L47" s="220">
        <f t="shared" si="6"/>
        <v>2384</v>
      </c>
      <c r="M47" s="220">
        <f t="shared" si="6"/>
        <v>2348</v>
      </c>
      <c r="N47" s="220">
        <f t="shared" si="6"/>
        <v>2339</v>
      </c>
      <c r="O47" s="220">
        <f t="shared" si="6"/>
        <v>2398</v>
      </c>
      <c r="P47" s="220">
        <f t="shared" si="47"/>
        <v>2000</v>
      </c>
      <c r="Q47" s="220">
        <f t="shared" si="47"/>
        <v>2000</v>
      </c>
      <c r="R47" s="220">
        <f t="shared" si="47"/>
        <v>2000</v>
      </c>
      <c r="S47" s="220">
        <f t="shared" si="47"/>
        <v>2000</v>
      </c>
      <c r="T47" s="220">
        <f t="shared" si="47"/>
        <v>2000</v>
      </c>
      <c r="U47" s="220">
        <f t="shared" si="48"/>
        <v>488</v>
      </c>
      <c r="V47" s="220">
        <f t="shared" si="48"/>
        <v>384</v>
      </c>
      <c r="W47" s="220">
        <f t="shared" si="48"/>
        <v>348</v>
      </c>
      <c r="X47" s="220">
        <f t="shared" si="48"/>
        <v>339</v>
      </c>
      <c r="Y47" s="220">
        <f t="shared" si="48"/>
        <v>398</v>
      </c>
      <c r="Z47" s="220">
        <v>2</v>
      </c>
      <c r="AA47" s="220">
        <v>5</v>
      </c>
      <c r="AB47" s="220">
        <v>6</v>
      </c>
      <c r="AC47" s="220">
        <v>4</v>
      </c>
      <c r="AD47" s="220">
        <v>1</v>
      </c>
      <c r="AE47" s="220">
        <f t="shared" si="49"/>
        <v>-161</v>
      </c>
      <c r="AF47" s="220">
        <f t="shared" si="49"/>
        <v>-245</v>
      </c>
      <c r="AG47" s="220">
        <f t="shared" si="49"/>
        <v>-251</v>
      </c>
      <c r="AH47" s="220">
        <f t="shared" si="49"/>
        <v>-215</v>
      </c>
      <c r="AI47" s="220">
        <f t="shared" si="49"/>
        <v>-161</v>
      </c>
      <c r="AJ47" s="50">
        <f t="shared" si="13"/>
        <v>1.5480000000000009</v>
      </c>
      <c r="AK47" s="257"/>
      <c r="AL47" s="257">
        <f t="shared" si="14"/>
        <v>1.2</v>
      </c>
      <c r="AM47" s="52"/>
      <c r="AN47" s="88"/>
    </row>
    <row r="48" spans="1:40" s="29" customFormat="1" ht="17.25" customHeight="1">
      <c r="A48" s="48">
        <v>38</v>
      </c>
      <c r="B48" s="49">
        <f t="shared" si="7"/>
        <v>45613</v>
      </c>
      <c r="C48" s="220">
        <f t="shared" si="8"/>
        <v>1049</v>
      </c>
      <c r="D48" s="220">
        <f t="shared" ref="D48" si="52">D47+26</f>
        <v>2344</v>
      </c>
      <c r="E48" s="220">
        <f t="shared" si="9"/>
        <v>3393</v>
      </c>
      <c r="F48" s="220">
        <f t="shared" si="1"/>
        <v>907</v>
      </c>
      <c r="G48" s="220">
        <f t="shared" si="2"/>
        <v>1012</v>
      </c>
      <c r="H48" s="220">
        <f t="shared" si="3"/>
        <v>1050</v>
      </c>
      <c r="I48" s="220">
        <f t="shared" si="4"/>
        <v>1057</v>
      </c>
      <c r="J48" s="220">
        <f t="shared" si="5"/>
        <v>996</v>
      </c>
      <c r="K48" s="220">
        <f t="shared" si="6"/>
        <v>2486</v>
      </c>
      <c r="L48" s="220">
        <f t="shared" si="6"/>
        <v>2381</v>
      </c>
      <c r="M48" s="220">
        <f t="shared" si="6"/>
        <v>2343</v>
      </c>
      <c r="N48" s="220">
        <f t="shared" si="6"/>
        <v>2336</v>
      </c>
      <c r="O48" s="220">
        <f t="shared" si="6"/>
        <v>2397</v>
      </c>
      <c r="P48" s="220">
        <f t="shared" si="47"/>
        <v>2000</v>
      </c>
      <c r="Q48" s="220">
        <f t="shared" si="47"/>
        <v>2000</v>
      </c>
      <c r="R48" s="220">
        <f t="shared" si="47"/>
        <v>2000</v>
      </c>
      <c r="S48" s="220">
        <f t="shared" si="47"/>
        <v>2000</v>
      </c>
      <c r="T48" s="220">
        <f t="shared" si="47"/>
        <v>2000</v>
      </c>
      <c r="U48" s="220">
        <f t="shared" si="48"/>
        <v>486</v>
      </c>
      <c r="V48" s="220">
        <f t="shared" si="48"/>
        <v>381</v>
      </c>
      <c r="W48" s="220">
        <f t="shared" si="48"/>
        <v>343</v>
      </c>
      <c r="X48" s="220">
        <f t="shared" si="48"/>
        <v>336</v>
      </c>
      <c r="Y48" s="220">
        <f t="shared" si="48"/>
        <v>397</v>
      </c>
      <c r="Z48" s="220">
        <v>2</v>
      </c>
      <c r="AA48" s="220">
        <v>3</v>
      </c>
      <c r="AB48" s="220">
        <v>5</v>
      </c>
      <c r="AC48" s="220">
        <v>3</v>
      </c>
      <c r="AD48" s="220">
        <v>1</v>
      </c>
      <c r="AE48" s="220">
        <f t="shared" si="49"/>
        <v>-163</v>
      </c>
      <c r="AF48" s="220">
        <f t="shared" si="49"/>
        <v>-248</v>
      </c>
      <c r="AG48" s="220">
        <f t="shared" si="49"/>
        <v>-256</v>
      </c>
      <c r="AH48" s="220">
        <f t="shared" si="49"/>
        <v>-218</v>
      </c>
      <c r="AI48" s="220">
        <f t="shared" si="49"/>
        <v>-162</v>
      </c>
      <c r="AJ48" s="50">
        <f t="shared" si="13"/>
        <v>1.543000000000001</v>
      </c>
      <c r="AK48" s="257"/>
      <c r="AL48" s="257">
        <f t="shared" si="14"/>
        <v>1.2</v>
      </c>
      <c r="AM48" s="52"/>
      <c r="AN48" s="88"/>
    </row>
    <row r="49" spans="1:40" s="29" customFormat="1" ht="17.25" customHeight="1">
      <c r="A49" s="48">
        <v>39</v>
      </c>
      <c r="B49" s="49">
        <f t="shared" si="7"/>
        <v>45614</v>
      </c>
      <c r="C49" s="220">
        <f t="shared" si="8"/>
        <v>1049</v>
      </c>
      <c r="D49" s="220">
        <f t="shared" ref="D49" si="53">D48+32</f>
        <v>2376</v>
      </c>
      <c r="E49" s="220">
        <f t="shared" si="9"/>
        <v>3425</v>
      </c>
      <c r="F49" s="220">
        <f t="shared" si="1"/>
        <v>941</v>
      </c>
      <c r="G49" s="220">
        <f t="shared" si="2"/>
        <v>1050</v>
      </c>
      <c r="H49" s="220">
        <f t="shared" si="3"/>
        <v>1087</v>
      </c>
      <c r="I49" s="220">
        <f t="shared" si="4"/>
        <v>1092</v>
      </c>
      <c r="J49" s="220">
        <f t="shared" si="5"/>
        <v>1029</v>
      </c>
      <c r="K49" s="220">
        <f t="shared" si="6"/>
        <v>2484</v>
      </c>
      <c r="L49" s="220">
        <f t="shared" si="6"/>
        <v>2375</v>
      </c>
      <c r="M49" s="220">
        <f t="shared" si="6"/>
        <v>2338</v>
      </c>
      <c r="N49" s="220">
        <f t="shared" si="6"/>
        <v>2333</v>
      </c>
      <c r="O49" s="220">
        <f t="shared" si="6"/>
        <v>2396</v>
      </c>
      <c r="P49" s="220">
        <f t="shared" si="47"/>
        <v>2000</v>
      </c>
      <c r="Q49" s="220">
        <f t="shared" si="47"/>
        <v>2000</v>
      </c>
      <c r="R49" s="220">
        <f t="shared" si="47"/>
        <v>2000</v>
      </c>
      <c r="S49" s="220">
        <f t="shared" si="47"/>
        <v>2000</v>
      </c>
      <c r="T49" s="220">
        <f t="shared" si="47"/>
        <v>2000</v>
      </c>
      <c r="U49" s="220">
        <f t="shared" si="48"/>
        <v>484</v>
      </c>
      <c r="V49" s="220">
        <f t="shared" si="48"/>
        <v>375</v>
      </c>
      <c r="W49" s="220">
        <f t="shared" si="48"/>
        <v>338</v>
      </c>
      <c r="X49" s="220">
        <f t="shared" si="48"/>
        <v>333</v>
      </c>
      <c r="Y49" s="220">
        <f t="shared" si="48"/>
        <v>396</v>
      </c>
      <c r="Z49" s="220">
        <v>2</v>
      </c>
      <c r="AA49" s="220">
        <v>6</v>
      </c>
      <c r="AB49" s="220">
        <v>5</v>
      </c>
      <c r="AC49" s="220">
        <v>3</v>
      </c>
      <c r="AD49" s="220">
        <v>1</v>
      </c>
      <c r="AE49" s="220">
        <f t="shared" si="49"/>
        <v>-165</v>
      </c>
      <c r="AF49" s="220">
        <f t="shared" si="49"/>
        <v>-254</v>
      </c>
      <c r="AG49" s="220">
        <f t="shared" si="49"/>
        <v>-261</v>
      </c>
      <c r="AH49" s="220">
        <f t="shared" si="49"/>
        <v>-221</v>
      </c>
      <c r="AI49" s="220">
        <f t="shared" si="49"/>
        <v>-163</v>
      </c>
      <c r="AJ49" s="50">
        <f t="shared" si="13"/>
        <v>1.5380000000000011</v>
      </c>
      <c r="AK49" s="257"/>
      <c r="AL49" s="257">
        <f t="shared" si="14"/>
        <v>1.2</v>
      </c>
      <c r="AM49" s="52"/>
      <c r="AN49" s="88"/>
    </row>
    <row r="50" spans="1:40" s="29" customFormat="1" ht="17.25" customHeight="1">
      <c r="A50" s="48">
        <v>40</v>
      </c>
      <c r="B50" s="49">
        <f t="shared" si="7"/>
        <v>45615</v>
      </c>
      <c r="C50" s="220">
        <f t="shared" si="8"/>
        <v>1049</v>
      </c>
      <c r="D50" s="220">
        <f t="shared" ref="D50" si="54">D49-18</f>
        <v>2358</v>
      </c>
      <c r="E50" s="220">
        <f t="shared" si="9"/>
        <v>3407</v>
      </c>
      <c r="F50" s="220">
        <f t="shared" si="1"/>
        <v>925</v>
      </c>
      <c r="G50" s="220">
        <f t="shared" si="2"/>
        <v>1035</v>
      </c>
      <c r="H50" s="220">
        <f t="shared" si="3"/>
        <v>1074</v>
      </c>
      <c r="I50" s="220">
        <f t="shared" si="4"/>
        <v>1077</v>
      </c>
      <c r="J50" s="220">
        <f t="shared" si="5"/>
        <v>1012</v>
      </c>
      <c r="K50" s="220">
        <f t="shared" si="6"/>
        <v>2482</v>
      </c>
      <c r="L50" s="220">
        <f t="shared" si="6"/>
        <v>2372</v>
      </c>
      <c r="M50" s="220">
        <f t="shared" si="6"/>
        <v>2333</v>
      </c>
      <c r="N50" s="220">
        <f t="shared" si="6"/>
        <v>2330</v>
      </c>
      <c r="O50" s="220">
        <f t="shared" si="6"/>
        <v>2395</v>
      </c>
      <c r="P50" s="220">
        <f t="shared" si="47"/>
        <v>2000</v>
      </c>
      <c r="Q50" s="220">
        <f t="shared" si="47"/>
        <v>2000</v>
      </c>
      <c r="R50" s="220">
        <f t="shared" si="47"/>
        <v>2000</v>
      </c>
      <c r="S50" s="220">
        <f t="shared" si="47"/>
        <v>2000</v>
      </c>
      <c r="T50" s="220">
        <f t="shared" si="47"/>
        <v>2000</v>
      </c>
      <c r="U50" s="220">
        <f t="shared" si="48"/>
        <v>482</v>
      </c>
      <c r="V50" s="220">
        <f t="shared" si="48"/>
        <v>372</v>
      </c>
      <c r="W50" s="220">
        <f t="shared" si="48"/>
        <v>333</v>
      </c>
      <c r="X50" s="220">
        <f t="shared" si="48"/>
        <v>330</v>
      </c>
      <c r="Y50" s="220">
        <f t="shared" si="48"/>
        <v>395</v>
      </c>
      <c r="Z50" s="220">
        <v>2</v>
      </c>
      <c r="AA50" s="220">
        <v>3</v>
      </c>
      <c r="AB50" s="220">
        <v>5</v>
      </c>
      <c r="AC50" s="220">
        <v>3</v>
      </c>
      <c r="AD50" s="220">
        <v>1</v>
      </c>
      <c r="AE50" s="220">
        <f t="shared" si="49"/>
        <v>-167</v>
      </c>
      <c r="AF50" s="220">
        <f t="shared" si="49"/>
        <v>-257</v>
      </c>
      <c r="AG50" s="220">
        <f t="shared" si="49"/>
        <v>-266</v>
      </c>
      <c r="AH50" s="220">
        <f t="shared" si="49"/>
        <v>-224</v>
      </c>
      <c r="AI50" s="220">
        <f t="shared" si="49"/>
        <v>-164</v>
      </c>
      <c r="AJ50" s="50">
        <f t="shared" si="13"/>
        <v>1.5330000000000013</v>
      </c>
      <c r="AK50" s="257"/>
      <c r="AL50" s="257">
        <f t="shared" si="14"/>
        <v>1.2</v>
      </c>
      <c r="AM50" s="52"/>
      <c r="AN50" s="88"/>
    </row>
    <row r="51" spans="1:40" s="29" customFormat="1" ht="17.25" customHeight="1">
      <c r="A51" s="48">
        <v>41</v>
      </c>
      <c r="B51" s="49">
        <f t="shared" si="7"/>
        <v>45616</v>
      </c>
      <c r="C51" s="220">
        <f t="shared" si="8"/>
        <v>1049</v>
      </c>
      <c r="D51" s="220">
        <f t="shared" ref="D51" si="55">D50-26</f>
        <v>2332</v>
      </c>
      <c r="E51" s="220">
        <f t="shared" si="9"/>
        <v>3381</v>
      </c>
      <c r="F51" s="220">
        <f t="shared" si="1"/>
        <v>900</v>
      </c>
      <c r="G51" s="220">
        <f t="shared" si="2"/>
        <v>1012</v>
      </c>
      <c r="H51" s="220">
        <f t="shared" si="3"/>
        <v>1053</v>
      </c>
      <c r="I51" s="220">
        <f t="shared" si="4"/>
        <v>1053</v>
      </c>
      <c r="J51" s="220">
        <f t="shared" si="5"/>
        <v>987</v>
      </c>
      <c r="K51" s="220">
        <f t="shared" si="6"/>
        <v>2481</v>
      </c>
      <c r="L51" s="220">
        <f t="shared" si="6"/>
        <v>2369</v>
      </c>
      <c r="M51" s="220">
        <f t="shared" si="6"/>
        <v>2328</v>
      </c>
      <c r="N51" s="220">
        <f t="shared" si="6"/>
        <v>2328</v>
      </c>
      <c r="O51" s="220">
        <f t="shared" si="6"/>
        <v>2394</v>
      </c>
      <c r="P51" s="220">
        <f t="shared" si="47"/>
        <v>2000</v>
      </c>
      <c r="Q51" s="220">
        <f t="shared" si="47"/>
        <v>2000</v>
      </c>
      <c r="R51" s="220">
        <f t="shared" si="47"/>
        <v>2000</v>
      </c>
      <c r="S51" s="220">
        <f t="shared" si="47"/>
        <v>2000</v>
      </c>
      <c r="T51" s="220">
        <f t="shared" si="47"/>
        <v>2000</v>
      </c>
      <c r="U51" s="220">
        <f t="shared" si="48"/>
        <v>481</v>
      </c>
      <c r="V51" s="220">
        <f t="shared" si="48"/>
        <v>369</v>
      </c>
      <c r="W51" s="220">
        <f t="shared" si="48"/>
        <v>328</v>
      </c>
      <c r="X51" s="220">
        <f t="shared" si="48"/>
        <v>328</v>
      </c>
      <c r="Y51" s="220">
        <f t="shared" si="48"/>
        <v>394</v>
      </c>
      <c r="Z51" s="220">
        <v>1</v>
      </c>
      <c r="AA51" s="220">
        <v>3</v>
      </c>
      <c r="AB51" s="220">
        <v>5</v>
      </c>
      <c r="AC51" s="220">
        <v>2</v>
      </c>
      <c r="AD51" s="220">
        <v>1</v>
      </c>
      <c r="AE51" s="220">
        <f t="shared" si="49"/>
        <v>-168</v>
      </c>
      <c r="AF51" s="220">
        <f t="shared" si="49"/>
        <v>-260</v>
      </c>
      <c r="AG51" s="220">
        <f t="shared" si="49"/>
        <v>-271</v>
      </c>
      <c r="AH51" s="220">
        <f t="shared" si="49"/>
        <v>-226</v>
      </c>
      <c r="AI51" s="220">
        <f t="shared" si="49"/>
        <v>-165</v>
      </c>
      <c r="AJ51" s="50">
        <f t="shared" si="13"/>
        <v>1.5280000000000014</v>
      </c>
      <c r="AK51" s="257"/>
      <c r="AL51" s="257">
        <f t="shared" si="14"/>
        <v>1.2</v>
      </c>
      <c r="AM51" s="52"/>
      <c r="AN51" s="88"/>
    </row>
    <row r="52" spans="1:40" s="29" customFormat="1" ht="17.25" customHeight="1">
      <c r="A52" s="48">
        <v>42</v>
      </c>
      <c r="B52" s="49">
        <f t="shared" si="7"/>
        <v>45617</v>
      </c>
      <c r="C52" s="220">
        <f t="shared" si="8"/>
        <v>1049</v>
      </c>
      <c r="D52" s="220">
        <f t="shared" ref="D52" si="56">D51+15</f>
        <v>2347</v>
      </c>
      <c r="E52" s="220">
        <f t="shared" si="9"/>
        <v>3396</v>
      </c>
      <c r="F52" s="220">
        <f t="shared" si="1"/>
        <v>916</v>
      </c>
      <c r="G52" s="220">
        <f t="shared" si="2"/>
        <v>1030</v>
      </c>
      <c r="H52" s="220">
        <f t="shared" si="3"/>
        <v>1073</v>
      </c>
      <c r="I52" s="220">
        <f t="shared" si="4"/>
        <v>1070</v>
      </c>
      <c r="J52" s="220">
        <f t="shared" si="5"/>
        <v>1003</v>
      </c>
      <c r="K52" s="220">
        <f t="shared" si="6"/>
        <v>2480</v>
      </c>
      <c r="L52" s="220">
        <f t="shared" si="6"/>
        <v>2366</v>
      </c>
      <c r="M52" s="220">
        <f t="shared" si="6"/>
        <v>2323</v>
      </c>
      <c r="N52" s="220">
        <f t="shared" si="6"/>
        <v>2326</v>
      </c>
      <c r="O52" s="220">
        <f t="shared" si="6"/>
        <v>2393</v>
      </c>
      <c r="P52" s="220">
        <f t="shared" si="47"/>
        <v>2000</v>
      </c>
      <c r="Q52" s="220">
        <f t="shared" si="47"/>
        <v>2000</v>
      </c>
      <c r="R52" s="220">
        <f t="shared" si="47"/>
        <v>2000</v>
      </c>
      <c r="S52" s="220">
        <f t="shared" si="47"/>
        <v>2000</v>
      </c>
      <c r="T52" s="220">
        <f t="shared" si="47"/>
        <v>2000</v>
      </c>
      <c r="U52" s="220">
        <f t="shared" si="48"/>
        <v>480</v>
      </c>
      <c r="V52" s="220">
        <f t="shared" si="48"/>
        <v>366</v>
      </c>
      <c r="W52" s="220">
        <f t="shared" si="48"/>
        <v>323</v>
      </c>
      <c r="X52" s="220">
        <f t="shared" si="48"/>
        <v>326</v>
      </c>
      <c r="Y52" s="220">
        <f t="shared" si="48"/>
        <v>393</v>
      </c>
      <c r="Z52" s="220">
        <v>1</v>
      </c>
      <c r="AA52" s="220">
        <v>3</v>
      </c>
      <c r="AB52" s="220">
        <v>5</v>
      </c>
      <c r="AC52" s="220">
        <v>2</v>
      </c>
      <c r="AD52" s="220">
        <v>1</v>
      </c>
      <c r="AE52" s="220">
        <f t="shared" si="49"/>
        <v>-169</v>
      </c>
      <c r="AF52" s="220">
        <f t="shared" si="49"/>
        <v>-263</v>
      </c>
      <c r="AG52" s="220">
        <f t="shared" si="49"/>
        <v>-276</v>
      </c>
      <c r="AH52" s="220">
        <f t="shared" si="49"/>
        <v>-228</v>
      </c>
      <c r="AI52" s="220">
        <f t="shared" si="49"/>
        <v>-166</v>
      </c>
      <c r="AJ52" s="50">
        <f t="shared" si="13"/>
        <v>1.5230000000000015</v>
      </c>
      <c r="AK52" s="257"/>
      <c r="AL52" s="257">
        <f t="shared" si="14"/>
        <v>1.2</v>
      </c>
      <c r="AM52" s="52"/>
      <c r="AN52" s="88"/>
    </row>
    <row r="53" spans="1:40" s="29" customFormat="1" ht="17.25" customHeight="1">
      <c r="A53" s="48">
        <v>43</v>
      </c>
      <c r="B53" s="49">
        <f t="shared" si="7"/>
        <v>45618</v>
      </c>
      <c r="C53" s="220">
        <f t="shared" si="8"/>
        <v>1049</v>
      </c>
      <c r="D53" s="220">
        <f t="shared" ref="D53" si="57">D52+26</f>
        <v>2373</v>
      </c>
      <c r="E53" s="220">
        <f t="shared" si="9"/>
        <v>3422</v>
      </c>
      <c r="F53" s="220">
        <f t="shared" si="1"/>
        <v>943</v>
      </c>
      <c r="G53" s="220">
        <f t="shared" si="2"/>
        <v>1059</v>
      </c>
      <c r="H53" s="220">
        <f t="shared" si="3"/>
        <v>1104</v>
      </c>
      <c r="I53" s="220">
        <f t="shared" si="4"/>
        <v>1098</v>
      </c>
      <c r="J53" s="220">
        <f t="shared" si="5"/>
        <v>1030</v>
      </c>
      <c r="K53" s="220">
        <f t="shared" si="6"/>
        <v>2479</v>
      </c>
      <c r="L53" s="220">
        <f t="shared" si="6"/>
        <v>2363</v>
      </c>
      <c r="M53" s="220">
        <f t="shared" si="6"/>
        <v>2318</v>
      </c>
      <c r="N53" s="220">
        <f t="shared" si="6"/>
        <v>2324</v>
      </c>
      <c r="O53" s="220">
        <f t="shared" si="6"/>
        <v>2392</v>
      </c>
      <c r="P53" s="220">
        <f t="shared" si="47"/>
        <v>2000</v>
      </c>
      <c r="Q53" s="220">
        <f t="shared" si="47"/>
        <v>2000</v>
      </c>
      <c r="R53" s="220">
        <f t="shared" si="47"/>
        <v>2000</v>
      </c>
      <c r="S53" s="220">
        <f t="shared" si="47"/>
        <v>2000</v>
      </c>
      <c r="T53" s="220">
        <f t="shared" si="47"/>
        <v>2000</v>
      </c>
      <c r="U53" s="220">
        <f t="shared" si="48"/>
        <v>479</v>
      </c>
      <c r="V53" s="220">
        <f t="shared" si="48"/>
        <v>363</v>
      </c>
      <c r="W53" s="220">
        <f t="shared" si="48"/>
        <v>318</v>
      </c>
      <c r="X53" s="220">
        <f t="shared" si="48"/>
        <v>324</v>
      </c>
      <c r="Y53" s="220">
        <f t="shared" si="48"/>
        <v>392</v>
      </c>
      <c r="Z53" s="220">
        <v>1</v>
      </c>
      <c r="AA53" s="220">
        <v>3</v>
      </c>
      <c r="AB53" s="220">
        <v>5</v>
      </c>
      <c r="AC53" s="220">
        <v>2</v>
      </c>
      <c r="AD53" s="220">
        <v>1</v>
      </c>
      <c r="AE53" s="220">
        <f t="shared" si="49"/>
        <v>-170</v>
      </c>
      <c r="AF53" s="220">
        <f t="shared" si="49"/>
        <v>-266</v>
      </c>
      <c r="AG53" s="220">
        <f t="shared" si="49"/>
        <v>-281</v>
      </c>
      <c r="AH53" s="220">
        <f t="shared" si="49"/>
        <v>-230</v>
      </c>
      <c r="AI53" s="220">
        <f t="shared" si="49"/>
        <v>-167</v>
      </c>
      <c r="AJ53" s="50">
        <f t="shared" si="13"/>
        <v>1.5180000000000016</v>
      </c>
      <c r="AK53" s="257"/>
      <c r="AL53" s="257">
        <f t="shared" si="14"/>
        <v>1.2</v>
      </c>
      <c r="AM53" s="52"/>
      <c r="AN53" s="88"/>
    </row>
    <row r="54" spans="1:40" s="29" customFormat="1" ht="17.25" customHeight="1">
      <c r="A54" s="48">
        <v>44</v>
      </c>
      <c r="B54" s="49">
        <f t="shared" si="7"/>
        <v>45619</v>
      </c>
      <c r="C54" s="220">
        <f t="shared" si="8"/>
        <v>1049</v>
      </c>
      <c r="D54" s="220">
        <f t="shared" ref="D54" si="58">D53+32</f>
        <v>2405</v>
      </c>
      <c r="E54" s="220">
        <f t="shared" si="9"/>
        <v>3454</v>
      </c>
      <c r="F54" s="220">
        <f t="shared" si="1"/>
        <v>976</v>
      </c>
      <c r="G54" s="220">
        <f t="shared" si="2"/>
        <v>1093</v>
      </c>
      <c r="H54" s="220">
        <f t="shared" si="3"/>
        <v>1141</v>
      </c>
      <c r="I54" s="220">
        <f t="shared" si="4"/>
        <v>1132</v>
      </c>
      <c r="J54" s="220">
        <f t="shared" si="5"/>
        <v>1062</v>
      </c>
      <c r="K54" s="220">
        <f t="shared" si="6"/>
        <v>2478</v>
      </c>
      <c r="L54" s="220">
        <f t="shared" si="6"/>
        <v>2361</v>
      </c>
      <c r="M54" s="220">
        <f t="shared" si="6"/>
        <v>2313</v>
      </c>
      <c r="N54" s="220">
        <f t="shared" si="6"/>
        <v>2322</v>
      </c>
      <c r="O54" s="220">
        <f t="shared" si="6"/>
        <v>2392</v>
      </c>
      <c r="P54" s="220">
        <f t="shared" si="47"/>
        <v>2000</v>
      </c>
      <c r="Q54" s="220">
        <f t="shared" si="47"/>
        <v>2000</v>
      </c>
      <c r="R54" s="220">
        <f t="shared" si="47"/>
        <v>2000</v>
      </c>
      <c r="S54" s="220">
        <f t="shared" si="47"/>
        <v>2000</v>
      </c>
      <c r="T54" s="220">
        <f t="shared" si="47"/>
        <v>2000</v>
      </c>
      <c r="U54" s="220">
        <f t="shared" si="48"/>
        <v>478</v>
      </c>
      <c r="V54" s="220">
        <f t="shared" si="48"/>
        <v>361</v>
      </c>
      <c r="W54" s="220">
        <f t="shared" si="48"/>
        <v>313</v>
      </c>
      <c r="X54" s="220">
        <f t="shared" si="48"/>
        <v>322</v>
      </c>
      <c r="Y54" s="220">
        <f t="shared" si="48"/>
        <v>392</v>
      </c>
      <c r="Z54" s="220">
        <v>1</v>
      </c>
      <c r="AA54" s="220">
        <v>2</v>
      </c>
      <c r="AB54" s="220">
        <v>5</v>
      </c>
      <c r="AC54" s="220">
        <v>2</v>
      </c>
      <c r="AD54" s="220">
        <v>0</v>
      </c>
      <c r="AE54" s="220">
        <f t="shared" si="49"/>
        <v>-171</v>
      </c>
      <c r="AF54" s="220">
        <f t="shared" si="49"/>
        <v>-268</v>
      </c>
      <c r="AG54" s="220">
        <f t="shared" si="49"/>
        <v>-286</v>
      </c>
      <c r="AH54" s="220">
        <f t="shared" si="49"/>
        <v>-232</v>
      </c>
      <c r="AI54" s="220">
        <f t="shared" si="49"/>
        <v>-167</v>
      </c>
      <c r="AJ54" s="50">
        <f t="shared" si="13"/>
        <v>1.5130000000000017</v>
      </c>
      <c r="AK54" s="257"/>
      <c r="AL54" s="257">
        <f t="shared" si="14"/>
        <v>1.2</v>
      </c>
      <c r="AM54" s="52"/>
      <c r="AN54" s="88"/>
    </row>
    <row r="55" spans="1:40" s="29" customFormat="1" ht="17.25" customHeight="1">
      <c r="A55" s="48">
        <v>45</v>
      </c>
      <c r="B55" s="49">
        <f t="shared" si="7"/>
        <v>45620</v>
      </c>
      <c r="C55" s="220">
        <f t="shared" si="8"/>
        <v>1049</v>
      </c>
      <c r="D55" s="220">
        <f t="shared" ref="D55" si="59">D54-18</f>
        <v>2387</v>
      </c>
      <c r="E55" s="220">
        <f t="shared" si="9"/>
        <v>3436</v>
      </c>
      <c r="F55" s="220">
        <f t="shared" si="1"/>
        <v>959</v>
      </c>
      <c r="G55" s="220">
        <f t="shared" si="2"/>
        <v>1077</v>
      </c>
      <c r="H55" s="220">
        <f t="shared" si="3"/>
        <v>1127</v>
      </c>
      <c r="I55" s="220">
        <f t="shared" si="4"/>
        <v>1115</v>
      </c>
      <c r="J55" s="220">
        <f t="shared" si="5"/>
        <v>1044</v>
      </c>
      <c r="K55" s="220">
        <f t="shared" si="6"/>
        <v>2477</v>
      </c>
      <c r="L55" s="220">
        <f t="shared" si="6"/>
        <v>2359</v>
      </c>
      <c r="M55" s="220">
        <f t="shared" si="6"/>
        <v>2309</v>
      </c>
      <c r="N55" s="220">
        <f t="shared" si="6"/>
        <v>2321</v>
      </c>
      <c r="O55" s="220">
        <f t="shared" si="6"/>
        <v>2392</v>
      </c>
      <c r="P55" s="220">
        <f t="shared" si="47"/>
        <v>2000</v>
      </c>
      <c r="Q55" s="220">
        <f t="shared" si="47"/>
        <v>2000</v>
      </c>
      <c r="R55" s="220">
        <f t="shared" si="47"/>
        <v>2000</v>
      </c>
      <c r="S55" s="220">
        <f t="shared" si="47"/>
        <v>2000</v>
      </c>
      <c r="T55" s="220">
        <f t="shared" si="47"/>
        <v>2000</v>
      </c>
      <c r="U55" s="220">
        <f t="shared" si="48"/>
        <v>477</v>
      </c>
      <c r="V55" s="220">
        <f t="shared" si="48"/>
        <v>359</v>
      </c>
      <c r="W55" s="220">
        <f t="shared" si="48"/>
        <v>309</v>
      </c>
      <c r="X55" s="220">
        <f t="shared" si="48"/>
        <v>321</v>
      </c>
      <c r="Y55" s="220">
        <f t="shared" si="48"/>
        <v>392</v>
      </c>
      <c r="Z55" s="220">
        <v>1</v>
      </c>
      <c r="AA55" s="220">
        <v>2</v>
      </c>
      <c r="AB55" s="220">
        <v>4</v>
      </c>
      <c r="AC55" s="220">
        <v>1</v>
      </c>
      <c r="AD55" s="220">
        <v>0</v>
      </c>
      <c r="AE55" s="220">
        <f t="shared" si="49"/>
        <v>-172</v>
      </c>
      <c r="AF55" s="220">
        <f t="shared" si="49"/>
        <v>-270</v>
      </c>
      <c r="AG55" s="220">
        <f t="shared" si="49"/>
        <v>-290</v>
      </c>
      <c r="AH55" s="220">
        <f t="shared" si="49"/>
        <v>-233</v>
      </c>
      <c r="AI55" s="220">
        <f t="shared" si="49"/>
        <v>-167</v>
      </c>
      <c r="AJ55" s="50">
        <f t="shared" si="13"/>
        <v>1.5090000000000017</v>
      </c>
      <c r="AK55" s="257"/>
      <c r="AL55" s="257">
        <f t="shared" si="14"/>
        <v>1.2</v>
      </c>
      <c r="AM55" s="52"/>
      <c r="AN55" s="88"/>
    </row>
    <row r="56" spans="1:40" s="29" customFormat="1" ht="17.25" customHeight="1">
      <c r="A56" s="48">
        <v>46</v>
      </c>
      <c r="B56" s="49">
        <f t="shared" si="7"/>
        <v>45621</v>
      </c>
      <c r="C56" s="220">
        <f t="shared" si="8"/>
        <v>1049</v>
      </c>
      <c r="D56" s="220">
        <v>1986</v>
      </c>
      <c r="E56" s="220">
        <f t="shared" si="9"/>
        <v>3035</v>
      </c>
      <c r="F56" s="220">
        <f t="shared" si="1"/>
        <v>559</v>
      </c>
      <c r="G56" s="220">
        <f t="shared" si="2"/>
        <v>678</v>
      </c>
      <c r="H56" s="220">
        <f t="shared" si="3"/>
        <v>730</v>
      </c>
      <c r="I56" s="220">
        <f t="shared" si="4"/>
        <v>715</v>
      </c>
      <c r="J56" s="220">
        <f t="shared" si="5"/>
        <v>645</v>
      </c>
      <c r="K56" s="220">
        <f t="shared" si="6"/>
        <v>2476</v>
      </c>
      <c r="L56" s="220">
        <f t="shared" si="6"/>
        <v>2357</v>
      </c>
      <c r="M56" s="220">
        <f t="shared" si="6"/>
        <v>2305</v>
      </c>
      <c r="N56" s="220">
        <f t="shared" si="6"/>
        <v>2320</v>
      </c>
      <c r="O56" s="220">
        <f t="shared" si="6"/>
        <v>2390</v>
      </c>
      <c r="P56" s="220">
        <f t="shared" si="47"/>
        <v>2000</v>
      </c>
      <c r="Q56" s="220">
        <f t="shared" si="47"/>
        <v>2000</v>
      </c>
      <c r="R56" s="220">
        <f t="shared" si="47"/>
        <v>2000</v>
      </c>
      <c r="S56" s="220">
        <f t="shared" si="47"/>
        <v>2000</v>
      </c>
      <c r="T56" s="220">
        <f t="shared" si="47"/>
        <v>2000</v>
      </c>
      <c r="U56" s="220">
        <f t="shared" si="48"/>
        <v>476</v>
      </c>
      <c r="V56" s="220">
        <f t="shared" si="48"/>
        <v>357</v>
      </c>
      <c r="W56" s="220">
        <f t="shared" si="48"/>
        <v>305</v>
      </c>
      <c r="X56" s="220">
        <f t="shared" si="48"/>
        <v>320</v>
      </c>
      <c r="Y56" s="220">
        <f t="shared" si="48"/>
        <v>390</v>
      </c>
      <c r="Z56" s="220">
        <v>1</v>
      </c>
      <c r="AA56" s="220">
        <v>2</v>
      </c>
      <c r="AB56" s="220">
        <v>4</v>
      </c>
      <c r="AC56" s="220">
        <v>1</v>
      </c>
      <c r="AD56" s="220">
        <v>2</v>
      </c>
      <c r="AE56" s="220">
        <f t="shared" si="49"/>
        <v>-173</v>
      </c>
      <c r="AF56" s="220">
        <f t="shared" si="49"/>
        <v>-272</v>
      </c>
      <c r="AG56" s="220">
        <f t="shared" si="49"/>
        <v>-294</v>
      </c>
      <c r="AH56" s="220">
        <f t="shared" si="49"/>
        <v>-234</v>
      </c>
      <c r="AI56" s="220">
        <f t="shared" si="49"/>
        <v>-169</v>
      </c>
      <c r="AJ56" s="50">
        <f t="shared" si="13"/>
        <v>1.5050000000000017</v>
      </c>
      <c r="AK56" s="257"/>
      <c r="AL56" s="257">
        <f t="shared" si="14"/>
        <v>1.2</v>
      </c>
      <c r="AM56" s="52"/>
      <c r="AN56" s="88"/>
    </row>
    <row r="57" spans="1:40" s="29" customFormat="1" ht="17.25" customHeight="1">
      <c r="A57" s="48">
        <v>47</v>
      </c>
      <c r="B57" s="49">
        <f t="shared" si="7"/>
        <v>45622</v>
      </c>
      <c r="C57" s="220">
        <f t="shared" si="8"/>
        <v>1049</v>
      </c>
      <c r="D57" s="220">
        <f t="shared" ref="D57" si="60">D56+15</f>
        <v>2001</v>
      </c>
      <c r="E57" s="220">
        <f t="shared" si="9"/>
        <v>3050</v>
      </c>
      <c r="F57" s="220">
        <f t="shared" si="1"/>
        <v>575</v>
      </c>
      <c r="G57" s="220">
        <f t="shared" si="2"/>
        <v>695</v>
      </c>
      <c r="H57" s="220">
        <f t="shared" si="3"/>
        <v>749</v>
      </c>
      <c r="I57" s="220">
        <f t="shared" si="4"/>
        <v>731</v>
      </c>
      <c r="J57" s="220">
        <f t="shared" si="5"/>
        <v>660</v>
      </c>
      <c r="K57" s="220">
        <f t="shared" si="6"/>
        <v>2475</v>
      </c>
      <c r="L57" s="220">
        <f t="shared" si="6"/>
        <v>2355</v>
      </c>
      <c r="M57" s="220">
        <f t="shared" si="6"/>
        <v>2301</v>
      </c>
      <c r="N57" s="220">
        <f t="shared" si="6"/>
        <v>2319</v>
      </c>
      <c r="O57" s="220">
        <f t="shared" si="6"/>
        <v>2390</v>
      </c>
      <c r="P57" s="220">
        <f t="shared" si="47"/>
        <v>2000</v>
      </c>
      <c r="Q57" s="220">
        <f t="shared" si="47"/>
        <v>2000</v>
      </c>
      <c r="R57" s="220">
        <f t="shared" si="47"/>
        <v>2000</v>
      </c>
      <c r="S57" s="220">
        <f t="shared" si="47"/>
        <v>2000</v>
      </c>
      <c r="T57" s="220">
        <f t="shared" si="47"/>
        <v>2000</v>
      </c>
      <c r="U57" s="220">
        <f t="shared" si="48"/>
        <v>475</v>
      </c>
      <c r="V57" s="220">
        <f t="shared" si="48"/>
        <v>355</v>
      </c>
      <c r="W57" s="220">
        <f t="shared" si="48"/>
        <v>301</v>
      </c>
      <c r="X57" s="220">
        <f t="shared" si="48"/>
        <v>319</v>
      </c>
      <c r="Y57" s="220">
        <f t="shared" si="48"/>
        <v>390</v>
      </c>
      <c r="Z57" s="220">
        <v>1</v>
      </c>
      <c r="AA57" s="220">
        <v>2</v>
      </c>
      <c r="AB57" s="220">
        <v>4</v>
      </c>
      <c r="AC57" s="220">
        <v>1</v>
      </c>
      <c r="AD57" s="220">
        <v>0</v>
      </c>
      <c r="AE57" s="220">
        <f t="shared" si="49"/>
        <v>-174</v>
      </c>
      <c r="AF57" s="220">
        <f t="shared" si="49"/>
        <v>-274</v>
      </c>
      <c r="AG57" s="220">
        <f t="shared" si="49"/>
        <v>-298</v>
      </c>
      <c r="AH57" s="220">
        <f t="shared" si="49"/>
        <v>-235</v>
      </c>
      <c r="AI57" s="220">
        <f t="shared" si="49"/>
        <v>-169</v>
      </c>
      <c r="AJ57" s="50">
        <f t="shared" si="13"/>
        <v>1.5010000000000017</v>
      </c>
      <c r="AK57" s="257"/>
      <c r="AL57" s="257">
        <f t="shared" si="14"/>
        <v>1.2</v>
      </c>
      <c r="AM57" s="52"/>
      <c r="AN57" s="88"/>
    </row>
    <row r="58" spans="1:40" s="29" customFormat="1" ht="17.25" customHeight="1">
      <c r="A58" s="48">
        <v>48</v>
      </c>
      <c r="B58" s="49">
        <f t="shared" si="7"/>
        <v>45623</v>
      </c>
      <c r="C58" s="220">
        <f t="shared" si="8"/>
        <v>1049</v>
      </c>
      <c r="D58" s="220">
        <f t="shared" ref="D58" si="61">D57+26</f>
        <v>2027</v>
      </c>
      <c r="E58" s="220">
        <f t="shared" si="9"/>
        <v>3076</v>
      </c>
      <c r="F58" s="220">
        <f t="shared" si="1"/>
        <v>601</v>
      </c>
      <c r="G58" s="220">
        <f t="shared" si="2"/>
        <v>724</v>
      </c>
      <c r="H58" s="220">
        <f t="shared" si="3"/>
        <v>779</v>
      </c>
      <c r="I58" s="220">
        <f t="shared" si="4"/>
        <v>758</v>
      </c>
      <c r="J58" s="220">
        <f t="shared" si="5"/>
        <v>686</v>
      </c>
      <c r="K58" s="220">
        <f t="shared" si="6"/>
        <v>2475</v>
      </c>
      <c r="L58" s="220">
        <f t="shared" si="6"/>
        <v>2352</v>
      </c>
      <c r="M58" s="220">
        <f t="shared" si="6"/>
        <v>2297</v>
      </c>
      <c r="N58" s="220">
        <f t="shared" si="6"/>
        <v>2318</v>
      </c>
      <c r="O58" s="220">
        <f t="shared" si="6"/>
        <v>2390</v>
      </c>
      <c r="P58" s="220">
        <f t="shared" si="47"/>
        <v>2000</v>
      </c>
      <c r="Q58" s="220">
        <f t="shared" si="47"/>
        <v>2000</v>
      </c>
      <c r="R58" s="220">
        <f t="shared" si="47"/>
        <v>2000</v>
      </c>
      <c r="S58" s="220">
        <f t="shared" si="47"/>
        <v>2000</v>
      </c>
      <c r="T58" s="220">
        <f t="shared" si="47"/>
        <v>2000</v>
      </c>
      <c r="U58" s="220">
        <f t="shared" si="48"/>
        <v>475</v>
      </c>
      <c r="V58" s="220">
        <f t="shared" si="48"/>
        <v>352</v>
      </c>
      <c r="W58" s="220">
        <f t="shared" si="48"/>
        <v>297</v>
      </c>
      <c r="X58" s="220">
        <f t="shared" si="48"/>
        <v>318</v>
      </c>
      <c r="Y58" s="220">
        <f t="shared" si="48"/>
        <v>390</v>
      </c>
      <c r="Z58" s="220">
        <v>0</v>
      </c>
      <c r="AA58" s="220">
        <v>3</v>
      </c>
      <c r="AB58" s="220">
        <v>4</v>
      </c>
      <c r="AC58" s="220">
        <v>1</v>
      </c>
      <c r="AD58" s="220">
        <v>0</v>
      </c>
      <c r="AE58" s="220">
        <f t="shared" si="49"/>
        <v>-174</v>
      </c>
      <c r="AF58" s="220">
        <f t="shared" si="49"/>
        <v>-277</v>
      </c>
      <c r="AG58" s="220">
        <f t="shared" si="49"/>
        <v>-302</v>
      </c>
      <c r="AH58" s="220">
        <f t="shared" si="49"/>
        <v>-236</v>
      </c>
      <c r="AI58" s="220">
        <f t="shared" si="49"/>
        <v>-169</v>
      </c>
      <c r="AJ58" s="50">
        <f t="shared" si="13"/>
        <v>1.4970000000000017</v>
      </c>
      <c r="AK58" s="257"/>
      <c r="AL58" s="257">
        <f t="shared" si="14"/>
        <v>1.2</v>
      </c>
      <c r="AM58" s="52"/>
      <c r="AN58" s="88"/>
    </row>
    <row r="59" spans="1:40" s="29" customFormat="1" ht="17.25" customHeight="1">
      <c r="A59" s="48">
        <v>49</v>
      </c>
      <c r="B59" s="49">
        <f t="shared" si="7"/>
        <v>45624</v>
      </c>
      <c r="C59" s="220">
        <f t="shared" si="8"/>
        <v>1049</v>
      </c>
      <c r="D59" s="220">
        <f t="shared" ref="D59" si="62">D58+32</f>
        <v>2059</v>
      </c>
      <c r="E59" s="220">
        <f t="shared" si="9"/>
        <v>3108</v>
      </c>
      <c r="F59" s="220">
        <f t="shared" si="1"/>
        <v>633</v>
      </c>
      <c r="G59" s="220">
        <f t="shared" si="2"/>
        <v>759</v>
      </c>
      <c r="H59" s="220">
        <f t="shared" si="3"/>
        <v>814</v>
      </c>
      <c r="I59" s="220">
        <f t="shared" si="4"/>
        <v>791</v>
      </c>
      <c r="J59" s="220">
        <f t="shared" si="5"/>
        <v>718</v>
      </c>
      <c r="K59" s="220">
        <f t="shared" si="6"/>
        <v>2475</v>
      </c>
      <c r="L59" s="220">
        <f t="shared" si="6"/>
        <v>2349</v>
      </c>
      <c r="M59" s="220">
        <f t="shared" si="6"/>
        <v>2294</v>
      </c>
      <c r="N59" s="220">
        <f t="shared" si="6"/>
        <v>2317</v>
      </c>
      <c r="O59" s="220">
        <f t="shared" si="6"/>
        <v>2390</v>
      </c>
      <c r="P59" s="220">
        <f t="shared" si="47"/>
        <v>2000</v>
      </c>
      <c r="Q59" s="220">
        <f t="shared" si="47"/>
        <v>2000</v>
      </c>
      <c r="R59" s="220">
        <f t="shared" si="47"/>
        <v>2000</v>
      </c>
      <c r="S59" s="220">
        <f t="shared" si="47"/>
        <v>2000</v>
      </c>
      <c r="T59" s="220">
        <f t="shared" si="47"/>
        <v>2000</v>
      </c>
      <c r="U59" s="220">
        <f t="shared" si="48"/>
        <v>475</v>
      </c>
      <c r="V59" s="220">
        <f t="shared" si="48"/>
        <v>349</v>
      </c>
      <c r="W59" s="220">
        <f t="shared" si="48"/>
        <v>294</v>
      </c>
      <c r="X59" s="220">
        <f t="shared" si="48"/>
        <v>317</v>
      </c>
      <c r="Y59" s="220">
        <f t="shared" si="48"/>
        <v>390</v>
      </c>
      <c r="Z59" s="220">
        <v>0</v>
      </c>
      <c r="AA59" s="220">
        <v>3</v>
      </c>
      <c r="AB59" s="220">
        <v>3</v>
      </c>
      <c r="AC59" s="220">
        <v>1</v>
      </c>
      <c r="AD59" s="220">
        <v>0</v>
      </c>
      <c r="AE59" s="220">
        <f t="shared" si="49"/>
        <v>-174</v>
      </c>
      <c r="AF59" s="220">
        <f t="shared" si="49"/>
        <v>-280</v>
      </c>
      <c r="AG59" s="220">
        <f t="shared" si="49"/>
        <v>-305</v>
      </c>
      <c r="AH59" s="220">
        <f t="shared" si="49"/>
        <v>-237</v>
      </c>
      <c r="AI59" s="220">
        <f t="shared" si="49"/>
        <v>-169</v>
      </c>
      <c r="AJ59" s="50">
        <f t="shared" si="13"/>
        <v>1.4940000000000018</v>
      </c>
      <c r="AK59" s="257"/>
      <c r="AL59" s="257">
        <f t="shared" si="14"/>
        <v>1.2</v>
      </c>
      <c r="AM59" s="52"/>
      <c r="AN59" s="88"/>
    </row>
    <row r="60" spans="1:40" s="29" customFormat="1" ht="17.25" customHeight="1">
      <c r="A60" s="48">
        <v>50</v>
      </c>
      <c r="B60" s="49">
        <f t="shared" si="7"/>
        <v>45625</v>
      </c>
      <c r="C60" s="220">
        <f t="shared" si="8"/>
        <v>1049</v>
      </c>
      <c r="D60" s="220">
        <f t="shared" ref="D60" si="63">D59-18</f>
        <v>2041</v>
      </c>
      <c r="E60" s="220">
        <f t="shared" si="9"/>
        <v>3090</v>
      </c>
      <c r="F60" s="220">
        <f t="shared" si="1"/>
        <v>617</v>
      </c>
      <c r="G60" s="220">
        <f t="shared" si="2"/>
        <v>744</v>
      </c>
      <c r="H60" s="220">
        <f t="shared" si="3"/>
        <v>799</v>
      </c>
      <c r="I60" s="220">
        <f t="shared" si="4"/>
        <v>774</v>
      </c>
      <c r="J60" s="220">
        <f t="shared" si="5"/>
        <v>700</v>
      </c>
      <c r="K60" s="220">
        <f t="shared" si="6"/>
        <v>2473</v>
      </c>
      <c r="L60" s="220">
        <f t="shared" si="6"/>
        <v>2346</v>
      </c>
      <c r="M60" s="220">
        <f t="shared" si="6"/>
        <v>2291</v>
      </c>
      <c r="N60" s="220">
        <f t="shared" si="6"/>
        <v>2316</v>
      </c>
      <c r="O60" s="220">
        <f t="shared" si="6"/>
        <v>2390</v>
      </c>
      <c r="P60" s="220">
        <f t="shared" si="47"/>
        <v>2000</v>
      </c>
      <c r="Q60" s="220">
        <f t="shared" si="47"/>
        <v>2000</v>
      </c>
      <c r="R60" s="220">
        <f t="shared" si="47"/>
        <v>2000</v>
      </c>
      <c r="S60" s="220">
        <f t="shared" si="47"/>
        <v>2000</v>
      </c>
      <c r="T60" s="220">
        <f t="shared" si="47"/>
        <v>2000</v>
      </c>
      <c r="U60" s="220">
        <f t="shared" si="48"/>
        <v>473</v>
      </c>
      <c r="V60" s="220">
        <f t="shared" si="48"/>
        <v>346</v>
      </c>
      <c r="W60" s="220">
        <f t="shared" si="48"/>
        <v>291</v>
      </c>
      <c r="X60" s="220">
        <f t="shared" si="48"/>
        <v>316</v>
      </c>
      <c r="Y60" s="220">
        <f t="shared" si="48"/>
        <v>390</v>
      </c>
      <c r="Z60" s="220">
        <v>2</v>
      </c>
      <c r="AA60" s="220">
        <v>3</v>
      </c>
      <c r="AB60" s="220">
        <v>3</v>
      </c>
      <c r="AC60" s="220">
        <v>1</v>
      </c>
      <c r="AD60" s="220">
        <v>0</v>
      </c>
      <c r="AE60" s="220">
        <f t="shared" si="49"/>
        <v>-176</v>
      </c>
      <c r="AF60" s="220">
        <f t="shared" si="49"/>
        <v>-283</v>
      </c>
      <c r="AG60" s="220">
        <f t="shared" si="49"/>
        <v>-308</v>
      </c>
      <c r="AH60" s="220">
        <f t="shared" si="49"/>
        <v>-238</v>
      </c>
      <c r="AI60" s="220">
        <f t="shared" si="49"/>
        <v>-169</v>
      </c>
      <c r="AJ60" s="50">
        <f t="shared" si="13"/>
        <v>1.4910000000000019</v>
      </c>
      <c r="AK60" s="257"/>
      <c r="AL60" s="257">
        <f t="shared" si="14"/>
        <v>1.2</v>
      </c>
      <c r="AM60" s="52"/>
      <c r="AN60" s="88"/>
    </row>
    <row r="61" spans="1:40" s="29" customFormat="1" ht="17.25" customHeight="1">
      <c r="A61" s="48">
        <v>51</v>
      </c>
      <c r="B61" s="49">
        <f t="shared" si="7"/>
        <v>45626</v>
      </c>
      <c r="C61" s="220">
        <f t="shared" si="8"/>
        <v>1049</v>
      </c>
      <c r="D61" s="220">
        <f t="shared" ref="D61" si="64">D60-26</f>
        <v>2015</v>
      </c>
      <c r="E61" s="220">
        <f t="shared" si="9"/>
        <v>3064</v>
      </c>
      <c r="F61" s="220">
        <f t="shared" si="1"/>
        <v>591</v>
      </c>
      <c r="G61" s="220">
        <f t="shared" si="2"/>
        <v>719</v>
      </c>
      <c r="H61" s="220">
        <f t="shared" si="3"/>
        <v>776</v>
      </c>
      <c r="I61" s="220">
        <f t="shared" si="4"/>
        <v>749</v>
      </c>
      <c r="J61" s="220">
        <f t="shared" si="5"/>
        <v>674</v>
      </c>
      <c r="K61" s="220">
        <f t="shared" si="6"/>
        <v>2473</v>
      </c>
      <c r="L61" s="220">
        <f t="shared" si="6"/>
        <v>2345</v>
      </c>
      <c r="M61" s="220">
        <f t="shared" si="6"/>
        <v>2288</v>
      </c>
      <c r="N61" s="220">
        <f t="shared" si="6"/>
        <v>2315</v>
      </c>
      <c r="O61" s="220">
        <f t="shared" si="6"/>
        <v>2390</v>
      </c>
      <c r="P61" s="220">
        <f t="shared" ref="P61:T76" si="65">+P60</f>
        <v>2000</v>
      </c>
      <c r="Q61" s="220">
        <f t="shared" si="65"/>
        <v>2000</v>
      </c>
      <c r="R61" s="220">
        <f t="shared" si="65"/>
        <v>2000</v>
      </c>
      <c r="S61" s="220">
        <f t="shared" si="65"/>
        <v>2000</v>
      </c>
      <c r="T61" s="220">
        <f t="shared" si="65"/>
        <v>2000</v>
      </c>
      <c r="U61" s="220">
        <f t="shared" ref="U61:Y76" si="66">U60-Z61</f>
        <v>473</v>
      </c>
      <c r="V61" s="220">
        <f t="shared" si="66"/>
        <v>345</v>
      </c>
      <c r="W61" s="220">
        <f t="shared" si="66"/>
        <v>288</v>
      </c>
      <c r="X61" s="220">
        <f t="shared" si="66"/>
        <v>315</v>
      </c>
      <c r="Y61" s="220">
        <f t="shared" si="66"/>
        <v>390</v>
      </c>
      <c r="Z61" s="220">
        <v>0</v>
      </c>
      <c r="AA61" s="220">
        <v>1</v>
      </c>
      <c r="AB61" s="220">
        <v>3</v>
      </c>
      <c r="AC61" s="220">
        <v>1</v>
      </c>
      <c r="AD61" s="220">
        <v>0</v>
      </c>
      <c r="AE61" s="220">
        <f t="shared" ref="AE61:AI76" si="67">AE60-Z61</f>
        <v>-176</v>
      </c>
      <c r="AF61" s="220">
        <f t="shared" si="67"/>
        <v>-284</v>
      </c>
      <c r="AG61" s="220">
        <f t="shared" si="67"/>
        <v>-311</v>
      </c>
      <c r="AH61" s="220">
        <f t="shared" si="67"/>
        <v>-239</v>
      </c>
      <c r="AI61" s="220">
        <f t="shared" si="67"/>
        <v>-169</v>
      </c>
      <c r="AJ61" s="50">
        <f t="shared" si="13"/>
        <v>1.488000000000002</v>
      </c>
      <c r="AK61" s="257"/>
      <c r="AL61" s="257">
        <f t="shared" si="14"/>
        <v>1.2</v>
      </c>
      <c r="AM61" s="52"/>
      <c r="AN61" s="88"/>
    </row>
    <row r="62" spans="1:40" s="29" customFormat="1" ht="17.25" customHeight="1">
      <c r="A62" s="48">
        <v>52</v>
      </c>
      <c r="B62" s="49">
        <f t="shared" si="7"/>
        <v>45627</v>
      </c>
      <c r="C62" s="220">
        <f t="shared" si="8"/>
        <v>1049</v>
      </c>
      <c r="D62" s="220">
        <f t="shared" ref="D62" si="68">D61+15</f>
        <v>2030</v>
      </c>
      <c r="E62" s="220">
        <f t="shared" si="9"/>
        <v>3079</v>
      </c>
      <c r="F62" s="220">
        <f t="shared" si="1"/>
        <v>606</v>
      </c>
      <c r="G62" s="220">
        <f t="shared" si="2"/>
        <v>735</v>
      </c>
      <c r="H62" s="220">
        <f t="shared" si="3"/>
        <v>793</v>
      </c>
      <c r="I62" s="220">
        <f t="shared" si="4"/>
        <v>764</v>
      </c>
      <c r="J62" s="220">
        <f t="shared" si="5"/>
        <v>689</v>
      </c>
      <c r="K62" s="220">
        <f t="shared" si="6"/>
        <v>2473</v>
      </c>
      <c r="L62" s="220">
        <f t="shared" si="6"/>
        <v>2344</v>
      </c>
      <c r="M62" s="220">
        <f t="shared" si="6"/>
        <v>2286</v>
      </c>
      <c r="N62" s="220">
        <f t="shared" si="6"/>
        <v>2315</v>
      </c>
      <c r="O62" s="220">
        <f t="shared" si="6"/>
        <v>2390</v>
      </c>
      <c r="P62" s="220">
        <f t="shared" si="65"/>
        <v>2000</v>
      </c>
      <c r="Q62" s="220">
        <f t="shared" si="65"/>
        <v>2000</v>
      </c>
      <c r="R62" s="220">
        <f t="shared" si="65"/>
        <v>2000</v>
      </c>
      <c r="S62" s="220">
        <f t="shared" si="65"/>
        <v>2000</v>
      </c>
      <c r="T62" s="220">
        <f t="shared" si="65"/>
        <v>2000</v>
      </c>
      <c r="U62" s="220">
        <f t="shared" si="66"/>
        <v>473</v>
      </c>
      <c r="V62" s="220">
        <f t="shared" si="66"/>
        <v>344</v>
      </c>
      <c r="W62" s="220">
        <f t="shared" si="66"/>
        <v>286</v>
      </c>
      <c r="X62" s="220">
        <f t="shared" si="66"/>
        <v>315</v>
      </c>
      <c r="Y62" s="220">
        <f t="shared" si="66"/>
        <v>390</v>
      </c>
      <c r="Z62" s="220">
        <v>0</v>
      </c>
      <c r="AA62" s="220">
        <v>1</v>
      </c>
      <c r="AB62" s="220">
        <v>2</v>
      </c>
      <c r="AC62" s="220">
        <v>0</v>
      </c>
      <c r="AD62" s="220">
        <v>0</v>
      </c>
      <c r="AE62" s="220">
        <f t="shared" si="67"/>
        <v>-176</v>
      </c>
      <c r="AF62" s="220">
        <f t="shared" si="67"/>
        <v>-285</v>
      </c>
      <c r="AG62" s="220">
        <f t="shared" si="67"/>
        <v>-313</v>
      </c>
      <c r="AH62" s="220">
        <f t="shared" si="67"/>
        <v>-239</v>
      </c>
      <c r="AI62" s="220">
        <f t="shared" si="67"/>
        <v>-169</v>
      </c>
      <c r="AJ62" s="50">
        <f t="shared" si="13"/>
        <v>1.486000000000002</v>
      </c>
      <c r="AK62" s="257"/>
      <c r="AL62" s="257">
        <f t="shared" si="14"/>
        <v>1.2</v>
      </c>
      <c r="AM62" s="52"/>
      <c r="AN62" s="88"/>
    </row>
    <row r="63" spans="1:40" s="29" customFormat="1" ht="17.25" customHeight="1">
      <c r="A63" s="48">
        <v>53</v>
      </c>
      <c r="B63" s="49">
        <f t="shared" si="7"/>
        <v>45628</v>
      </c>
      <c r="C63" s="220">
        <f t="shared" si="8"/>
        <v>1049</v>
      </c>
      <c r="D63" s="220">
        <f t="shared" ref="D63" si="69">D62+26</f>
        <v>2056</v>
      </c>
      <c r="E63" s="220">
        <f t="shared" si="9"/>
        <v>3105</v>
      </c>
      <c r="F63" s="220">
        <f t="shared" si="1"/>
        <v>634</v>
      </c>
      <c r="G63" s="220">
        <f t="shared" si="2"/>
        <v>762</v>
      </c>
      <c r="H63" s="220">
        <f t="shared" si="3"/>
        <v>821</v>
      </c>
      <c r="I63" s="220">
        <f t="shared" si="4"/>
        <v>790</v>
      </c>
      <c r="J63" s="220">
        <f t="shared" si="5"/>
        <v>717</v>
      </c>
      <c r="K63" s="220">
        <f t="shared" ref="K63:O113" si="70">P63+U63</f>
        <v>2471</v>
      </c>
      <c r="L63" s="220">
        <f t="shared" si="70"/>
        <v>2343</v>
      </c>
      <c r="M63" s="220">
        <f t="shared" si="70"/>
        <v>2284</v>
      </c>
      <c r="N63" s="220">
        <f t="shared" si="70"/>
        <v>2315</v>
      </c>
      <c r="O63" s="220">
        <f t="shared" si="70"/>
        <v>2388</v>
      </c>
      <c r="P63" s="220">
        <f t="shared" si="65"/>
        <v>2000</v>
      </c>
      <c r="Q63" s="220">
        <f t="shared" si="65"/>
        <v>2000</v>
      </c>
      <c r="R63" s="220">
        <f t="shared" si="65"/>
        <v>2000</v>
      </c>
      <c r="S63" s="220">
        <f t="shared" si="65"/>
        <v>2000</v>
      </c>
      <c r="T63" s="220">
        <f t="shared" si="65"/>
        <v>2000</v>
      </c>
      <c r="U63" s="220">
        <f t="shared" si="66"/>
        <v>471</v>
      </c>
      <c r="V63" s="220">
        <f t="shared" si="66"/>
        <v>343</v>
      </c>
      <c r="W63" s="220">
        <f t="shared" si="66"/>
        <v>284</v>
      </c>
      <c r="X63" s="220">
        <f t="shared" si="66"/>
        <v>315</v>
      </c>
      <c r="Y63" s="220">
        <f t="shared" si="66"/>
        <v>388</v>
      </c>
      <c r="Z63" s="220">
        <v>2</v>
      </c>
      <c r="AA63" s="220">
        <v>1</v>
      </c>
      <c r="AB63" s="220">
        <v>2</v>
      </c>
      <c r="AC63" s="220">
        <v>0</v>
      </c>
      <c r="AD63" s="220">
        <v>2</v>
      </c>
      <c r="AE63" s="220">
        <f t="shared" si="67"/>
        <v>-178</v>
      </c>
      <c r="AF63" s="220">
        <f t="shared" si="67"/>
        <v>-286</v>
      </c>
      <c r="AG63" s="220">
        <f t="shared" si="67"/>
        <v>-315</v>
      </c>
      <c r="AH63" s="220">
        <f t="shared" si="67"/>
        <v>-239</v>
      </c>
      <c r="AI63" s="220">
        <f t="shared" si="67"/>
        <v>-171</v>
      </c>
      <c r="AJ63" s="50">
        <f t="shared" si="13"/>
        <v>1.484000000000002</v>
      </c>
      <c r="AK63" s="257"/>
      <c r="AL63" s="257">
        <f t="shared" si="14"/>
        <v>1.2</v>
      </c>
      <c r="AM63" s="52"/>
      <c r="AN63" s="88"/>
    </row>
    <row r="64" spans="1:40" s="29" customFormat="1" ht="17.25" customHeight="1">
      <c r="A64" s="48">
        <v>54</v>
      </c>
      <c r="B64" s="49">
        <f t="shared" si="7"/>
        <v>45629</v>
      </c>
      <c r="C64" s="220">
        <f t="shared" si="8"/>
        <v>1049</v>
      </c>
      <c r="D64" s="220">
        <f t="shared" ref="D64" si="71">D63+32</f>
        <v>2088</v>
      </c>
      <c r="E64" s="220">
        <f t="shared" si="9"/>
        <v>3137</v>
      </c>
      <c r="F64" s="220">
        <f t="shared" si="1"/>
        <v>666</v>
      </c>
      <c r="G64" s="220">
        <f t="shared" si="2"/>
        <v>795</v>
      </c>
      <c r="H64" s="220">
        <f t="shared" si="3"/>
        <v>855</v>
      </c>
      <c r="I64" s="220">
        <f t="shared" si="4"/>
        <v>824</v>
      </c>
      <c r="J64" s="220">
        <f t="shared" si="5"/>
        <v>749</v>
      </c>
      <c r="K64" s="220">
        <f t="shared" si="70"/>
        <v>2471</v>
      </c>
      <c r="L64" s="220">
        <f t="shared" si="70"/>
        <v>2342</v>
      </c>
      <c r="M64" s="220">
        <f t="shared" si="70"/>
        <v>2282</v>
      </c>
      <c r="N64" s="220">
        <f t="shared" si="70"/>
        <v>2313</v>
      </c>
      <c r="O64" s="220">
        <f t="shared" si="70"/>
        <v>2388</v>
      </c>
      <c r="P64" s="220">
        <f t="shared" si="65"/>
        <v>2000</v>
      </c>
      <c r="Q64" s="220">
        <f t="shared" si="65"/>
        <v>2000</v>
      </c>
      <c r="R64" s="220">
        <f t="shared" si="65"/>
        <v>2000</v>
      </c>
      <c r="S64" s="220">
        <f t="shared" si="65"/>
        <v>2000</v>
      </c>
      <c r="T64" s="220">
        <f t="shared" si="65"/>
        <v>2000</v>
      </c>
      <c r="U64" s="220">
        <f t="shared" si="66"/>
        <v>471</v>
      </c>
      <c r="V64" s="220">
        <f t="shared" si="66"/>
        <v>342</v>
      </c>
      <c r="W64" s="220">
        <f t="shared" si="66"/>
        <v>282</v>
      </c>
      <c r="X64" s="220">
        <f t="shared" si="66"/>
        <v>313</v>
      </c>
      <c r="Y64" s="220">
        <f t="shared" si="66"/>
        <v>388</v>
      </c>
      <c r="Z64" s="220">
        <v>0</v>
      </c>
      <c r="AA64" s="220">
        <v>1</v>
      </c>
      <c r="AB64" s="220">
        <v>2</v>
      </c>
      <c r="AC64" s="220">
        <v>2</v>
      </c>
      <c r="AD64" s="220">
        <v>0</v>
      </c>
      <c r="AE64" s="220">
        <f t="shared" si="67"/>
        <v>-178</v>
      </c>
      <c r="AF64" s="220">
        <f t="shared" si="67"/>
        <v>-287</v>
      </c>
      <c r="AG64" s="220">
        <f t="shared" si="67"/>
        <v>-317</v>
      </c>
      <c r="AH64" s="220">
        <f t="shared" si="67"/>
        <v>-241</v>
      </c>
      <c r="AI64" s="220">
        <f t="shared" si="67"/>
        <v>-171</v>
      </c>
      <c r="AJ64" s="50">
        <f t="shared" si="13"/>
        <v>1.482000000000002</v>
      </c>
      <c r="AK64" s="257"/>
      <c r="AL64" s="257">
        <f t="shared" si="14"/>
        <v>1.2</v>
      </c>
      <c r="AM64" s="52"/>
      <c r="AN64" s="88"/>
    </row>
    <row r="65" spans="1:40" s="29" customFormat="1" ht="17.25" customHeight="1">
      <c r="A65" s="48">
        <v>55</v>
      </c>
      <c r="B65" s="49">
        <f t="shared" si="7"/>
        <v>45630</v>
      </c>
      <c r="C65" s="220">
        <f t="shared" si="8"/>
        <v>1049</v>
      </c>
      <c r="D65" s="220">
        <f t="shared" ref="D65" si="72">D64-18</f>
        <v>2070</v>
      </c>
      <c r="E65" s="220">
        <f t="shared" si="9"/>
        <v>3119</v>
      </c>
      <c r="F65" s="220">
        <f t="shared" si="1"/>
        <v>648</v>
      </c>
      <c r="G65" s="220">
        <f t="shared" si="2"/>
        <v>778</v>
      </c>
      <c r="H65" s="220">
        <f t="shared" si="3"/>
        <v>839</v>
      </c>
      <c r="I65" s="220">
        <f t="shared" si="4"/>
        <v>806</v>
      </c>
      <c r="J65" s="220">
        <f t="shared" si="5"/>
        <v>731</v>
      </c>
      <c r="K65" s="220">
        <f t="shared" si="70"/>
        <v>2471</v>
      </c>
      <c r="L65" s="220">
        <f t="shared" si="70"/>
        <v>2341</v>
      </c>
      <c r="M65" s="220">
        <f t="shared" si="70"/>
        <v>2280</v>
      </c>
      <c r="N65" s="220">
        <f t="shared" si="70"/>
        <v>2313</v>
      </c>
      <c r="O65" s="220">
        <f t="shared" si="70"/>
        <v>2388</v>
      </c>
      <c r="P65" s="220">
        <f t="shared" si="65"/>
        <v>2000</v>
      </c>
      <c r="Q65" s="220">
        <f t="shared" si="65"/>
        <v>2000</v>
      </c>
      <c r="R65" s="220">
        <f t="shared" si="65"/>
        <v>2000</v>
      </c>
      <c r="S65" s="220">
        <f t="shared" si="65"/>
        <v>2000</v>
      </c>
      <c r="T65" s="220">
        <f t="shared" si="65"/>
        <v>2000</v>
      </c>
      <c r="U65" s="220">
        <f t="shared" si="66"/>
        <v>471</v>
      </c>
      <c r="V65" s="220">
        <f t="shared" si="66"/>
        <v>341</v>
      </c>
      <c r="W65" s="220">
        <f t="shared" si="66"/>
        <v>280</v>
      </c>
      <c r="X65" s="220">
        <f t="shared" si="66"/>
        <v>313</v>
      </c>
      <c r="Y65" s="220">
        <f t="shared" si="66"/>
        <v>388</v>
      </c>
      <c r="Z65" s="220">
        <v>0</v>
      </c>
      <c r="AA65" s="220">
        <v>1</v>
      </c>
      <c r="AB65" s="220">
        <v>2</v>
      </c>
      <c r="AC65" s="220">
        <v>0</v>
      </c>
      <c r="AD65" s="220">
        <v>0</v>
      </c>
      <c r="AE65" s="220">
        <f t="shared" si="67"/>
        <v>-178</v>
      </c>
      <c r="AF65" s="220">
        <f t="shared" si="67"/>
        <v>-288</v>
      </c>
      <c r="AG65" s="220">
        <f t="shared" si="67"/>
        <v>-319</v>
      </c>
      <c r="AH65" s="220">
        <f t="shared" si="67"/>
        <v>-241</v>
      </c>
      <c r="AI65" s="220">
        <f t="shared" si="67"/>
        <v>-171</v>
      </c>
      <c r="AJ65" s="50">
        <f t="shared" si="13"/>
        <v>1.480000000000002</v>
      </c>
      <c r="AK65" s="257"/>
      <c r="AL65" s="257">
        <f t="shared" si="14"/>
        <v>1.2</v>
      </c>
      <c r="AM65" s="52"/>
      <c r="AN65" s="88"/>
    </row>
    <row r="66" spans="1:40" s="29" customFormat="1" ht="17.25" customHeight="1">
      <c r="A66" s="48">
        <v>56</v>
      </c>
      <c r="B66" s="49">
        <f t="shared" si="7"/>
        <v>45631</v>
      </c>
      <c r="C66" s="220">
        <f t="shared" si="8"/>
        <v>1049</v>
      </c>
      <c r="D66" s="220">
        <f t="shared" ref="D66" si="73">D65-26</f>
        <v>2044</v>
      </c>
      <c r="E66" s="220">
        <f t="shared" si="9"/>
        <v>3093</v>
      </c>
      <c r="F66" s="220">
        <f t="shared" si="1"/>
        <v>622</v>
      </c>
      <c r="G66" s="220">
        <f t="shared" si="2"/>
        <v>752</v>
      </c>
      <c r="H66" s="220">
        <f t="shared" si="3"/>
        <v>814</v>
      </c>
      <c r="I66" s="220">
        <f t="shared" si="4"/>
        <v>783</v>
      </c>
      <c r="J66" s="220">
        <f t="shared" si="5"/>
        <v>705</v>
      </c>
      <c r="K66" s="220">
        <f t="shared" si="70"/>
        <v>2471</v>
      </c>
      <c r="L66" s="220">
        <f t="shared" si="70"/>
        <v>2341</v>
      </c>
      <c r="M66" s="220">
        <f t="shared" si="70"/>
        <v>2279</v>
      </c>
      <c r="N66" s="220">
        <f t="shared" si="70"/>
        <v>2310</v>
      </c>
      <c r="O66" s="220">
        <f t="shared" si="70"/>
        <v>2388</v>
      </c>
      <c r="P66" s="220">
        <f t="shared" si="65"/>
        <v>2000</v>
      </c>
      <c r="Q66" s="220">
        <f t="shared" si="65"/>
        <v>2000</v>
      </c>
      <c r="R66" s="220">
        <f t="shared" si="65"/>
        <v>2000</v>
      </c>
      <c r="S66" s="220">
        <f t="shared" si="65"/>
        <v>2000</v>
      </c>
      <c r="T66" s="220">
        <f t="shared" si="65"/>
        <v>2000</v>
      </c>
      <c r="U66" s="220">
        <f t="shared" si="66"/>
        <v>471</v>
      </c>
      <c r="V66" s="220">
        <f t="shared" si="66"/>
        <v>341</v>
      </c>
      <c r="W66" s="220">
        <f t="shared" si="66"/>
        <v>279</v>
      </c>
      <c r="X66" s="220">
        <f t="shared" si="66"/>
        <v>310</v>
      </c>
      <c r="Y66" s="220">
        <f t="shared" si="66"/>
        <v>388</v>
      </c>
      <c r="Z66" s="220">
        <v>0</v>
      </c>
      <c r="AA66" s="220">
        <v>0</v>
      </c>
      <c r="AB66" s="220">
        <v>1</v>
      </c>
      <c r="AC66" s="220">
        <v>3</v>
      </c>
      <c r="AD66" s="220">
        <v>0</v>
      </c>
      <c r="AE66" s="220">
        <f t="shared" si="67"/>
        <v>-178</v>
      </c>
      <c r="AF66" s="220">
        <f t="shared" si="67"/>
        <v>-288</v>
      </c>
      <c r="AG66" s="220">
        <f t="shared" si="67"/>
        <v>-320</v>
      </c>
      <c r="AH66" s="220">
        <f t="shared" si="67"/>
        <v>-244</v>
      </c>
      <c r="AI66" s="220">
        <f t="shared" si="67"/>
        <v>-171</v>
      </c>
      <c r="AJ66" s="50">
        <f t="shared" si="13"/>
        <v>1.4790000000000021</v>
      </c>
      <c r="AK66" s="257"/>
      <c r="AL66" s="257">
        <f t="shared" si="14"/>
        <v>1.2</v>
      </c>
      <c r="AM66" s="52"/>
      <c r="AN66" s="88"/>
    </row>
    <row r="67" spans="1:40" s="29" customFormat="1" ht="17.25" customHeight="1">
      <c r="A67" s="48">
        <v>57</v>
      </c>
      <c r="B67" s="49">
        <f t="shared" si="7"/>
        <v>45632</v>
      </c>
      <c r="C67" s="220">
        <f t="shared" si="8"/>
        <v>1049</v>
      </c>
      <c r="D67" s="220">
        <f t="shared" ref="D67" si="74">D66+15</f>
        <v>2059</v>
      </c>
      <c r="E67" s="220">
        <f t="shared" si="9"/>
        <v>3108</v>
      </c>
      <c r="F67" s="220">
        <f t="shared" si="1"/>
        <v>637</v>
      </c>
      <c r="G67" s="220">
        <f t="shared" si="2"/>
        <v>770</v>
      </c>
      <c r="H67" s="220">
        <f t="shared" si="3"/>
        <v>830</v>
      </c>
      <c r="I67" s="220">
        <f t="shared" si="4"/>
        <v>798</v>
      </c>
      <c r="J67" s="220">
        <f t="shared" si="5"/>
        <v>720</v>
      </c>
      <c r="K67" s="220">
        <f t="shared" si="70"/>
        <v>2471</v>
      </c>
      <c r="L67" s="220">
        <f t="shared" si="70"/>
        <v>2338</v>
      </c>
      <c r="M67" s="220">
        <f t="shared" si="70"/>
        <v>2278</v>
      </c>
      <c r="N67" s="220">
        <f t="shared" si="70"/>
        <v>2310</v>
      </c>
      <c r="O67" s="220">
        <f t="shared" si="70"/>
        <v>2388</v>
      </c>
      <c r="P67" s="220">
        <f t="shared" si="65"/>
        <v>2000</v>
      </c>
      <c r="Q67" s="220">
        <f t="shared" si="65"/>
        <v>2000</v>
      </c>
      <c r="R67" s="220">
        <f t="shared" si="65"/>
        <v>2000</v>
      </c>
      <c r="S67" s="220">
        <f t="shared" si="65"/>
        <v>2000</v>
      </c>
      <c r="T67" s="220">
        <f t="shared" si="65"/>
        <v>2000</v>
      </c>
      <c r="U67" s="220">
        <f t="shared" si="66"/>
        <v>471</v>
      </c>
      <c r="V67" s="220">
        <f t="shared" si="66"/>
        <v>338</v>
      </c>
      <c r="W67" s="220">
        <f t="shared" si="66"/>
        <v>278</v>
      </c>
      <c r="X67" s="220">
        <f t="shared" si="66"/>
        <v>310</v>
      </c>
      <c r="Y67" s="220">
        <f t="shared" si="66"/>
        <v>388</v>
      </c>
      <c r="Z67" s="220">
        <v>0</v>
      </c>
      <c r="AA67" s="220">
        <v>3</v>
      </c>
      <c r="AB67" s="220">
        <v>1</v>
      </c>
      <c r="AC67" s="220">
        <v>0</v>
      </c>
      <c r="AD67" s="220">
        <v>0</v>
      </c>
      <c r="AE67" s="220">
        <f t="shared" si="67"/>
        <v>-178</v>
      </c>
      <c r="AF67" s="220">
        <f t="shared" si="67"/>
        <v>-291</v>
      </c>
      <c r="AG67" s="220">
        <f t="shared" si="67"/>
        <v>-321</v>
      </c>
      <c r="AH67" s="220">
        <f t="shared" si="67"/>
        <v>-244</v>
      </c>
      <c r="AI67" s="220">
        <f t="shared" si="67"/>
        <v>-171</v>
      </c>
      <c r="AJ67" s="50">
        <f t="shared" si="13"/>
        <v>1.4780000000000022</v>
      </c>
      <c r="AK67" s="257"/>
      <c r="AL67" s="257">
        <f t="shared" si="14"/>
        <v>1.2</v>
      </c>
      <c r="AM67" s="52"/>
      <c r="AN67" s="88"/>
    </row>
    <row r="68" spans="1:40" s="29" customFormat="1" ht="17.25" customHeight="1">
      <c r="A68" s="48">
        <v>58</v>
      </c>
      <c r="B68" s="49">
        <f t="shared" si="7"/>
        <v>45633</v>
      </c>
      <c r="C68" s="220">
        <f t="shared" si="8"/>
        <v>1049</v>
      </c>
      <c r="D68" s="220">
        <f t="shared" ref="D68" si="75">D67+26</f>
        <v>2085</v>
      </c>
      <c r="E68" s="220">
        <f t="shared" si="9"/>
        <v>3134</v>
      </c>
      <c r="F68" s="220">
        <f t="shared" si="1"/>
        <v>664</v>
      </c>
      <c r="G68" s="220">
        <f t="shared" si="2"/>
        <v>796</v>
      </c>
      <c r="H68" s="220">
        <f t="shared" si="3"/>
        <v>857</v>
      </c>
      <c r="I68" s="220">
        <f t="shared" si="4"/>
        <v>827</v>
      </c>
      <c r="J68" s="220">
        <f t="shared" si="5"/>
        <v>746</v>
      </c>
      <c r="K68" s="220">
        <f t="shared" si="70"/>
        <v>2470</v>
      </c>
      <c r="L68" s="220">
        <f t="shared" si="70"/>
        <v>2338</v>
      </c>
      <c r="M68" s="220">
        <f t="shared" si="70"/>
        <v>2277</v>
      </c>
      <c r="N68" s="220">
        <f t="shared" si="70"/>
        <v>2307</v>
      </c>
      <c r="O68" s="220">
        <f t="shared" si="70"/>
        <v>2388</v>
      </c>
      <c r="P68" s="220">
        <f t="shared" si="65"/>
        <v>2000</v>
      </c>
      <c r="Q68" s="220">
        <f t="shared" si="65"/>
        <v>2000</v>
      </c>
      <c r="R68" s="220">
        <f t="shared" si="65"/>
        <v>2000</v>
      </c>
      <c r="S68" s="220">
        <f t="shared" si="65"/>
        <v>2000</v>
      </c>
      <c r="T68" s="220">
        <f t="shared" si="65"/>
        <v>2000</v>
      </c>
      <c r="U68" s="220">
        <f t="shared" si="66"/>
        <v>470</v>
      </c>
      <c r="V68" s="220">
        <f t="shared" si="66"/>
        <v>338</v>
      </c>
      <c r="W68" s="220">
        <f t="shared" si="66"/>
        <v>277</v>
      </c>
      <c r="X68" s="220">
        <f t="shared" si="66"/>
        <v>307</v>
      </c>
      <c r="Y68" s="220">
        <f t="shared" si="66"/>
        <v>388</v>
      </c>
      <c r="Z68" s="220">
        <v>1</v>
      </c>
      <c r="AA68" s="220">
        <v>0</v>
      </c>
      <c r="AB68" s="220">
        <v>1</v>
      </c>
      <c r="AC68" s="220">
        <v>3</v>
      </c>
      <c r="AD68" s="220">
        <v>0</v>
      </c>
      <c r="AE68" s="220">
        <f t="shared" si="67"/>
        <v>-179</v>
      </c>
      <c r="AF68" s="220">
        <f t="shared" si="67"/>
        <v>-291</v>
      </c>
      <c r="AG68" s="220">
        <f t="shared" si="67"/>
        <v>-322</v>
      </c>
      <c r="AH68" s="220">
        <f t="shared" si="67"/>
        <v>-247</v>
      </c>
      <c r="AI68" s="220">
        <f t="shared" si="67"/>
        <v>-171</v>
      </c>
      <c r="AJ68" s="50">
        <f t="shared" si="13"/>
        <v>1.4770000000000023</v>
      </c>
      <c r="AK68" s="257"/>
      <c r="AL68" s="257">
        <f t="shared" si="14"/>
        <v>1.2</v>
      </c>
      <c r="AM68" s="52"/>
      <c r="AN68" s="88"/>
    </row>
    <row r="69" spans="1:40" s="29" customFormat="1" ht="17.25" customHeight="1">
      <c r="A69" s="48">
        <v>59</v>
      </c>
      <c r="B69" s="49">
        <f t="shared" si="7"/>
        <v>45634</v>
      </c>
      <c r="C69" s="220">
        <f t="shared" si="8"/>
        <v>1049</v>
      </c>
      <c r="D69" s="220">
        <f t="shared" ref="D69" si="76">D68+32</f>
        <v>2117</v>
      </c>
      <c r="E69" s="220">
        <f t="shared" si="9"/>
        <v>3166</v>
      </c>
      <c r="F69" s="220">
        <f t="shared" si="1"/>
        <v>696</v>
      </c>
      <c r="G69" s="220">
        <f t="shared" si="2"/>
        <v>828</v>
      </c>
      <c r="H69" s="220">
        <f t="shared" si="3"/>
        <v>892</v>
      </c>
      <c r="I69" s="220">
        <f t="shared" si="4"/>
        <v>859</v>
      </c>
      <c r="J69" s="220">
        <f t="shared" si="5"/>
        <v>780</v>
      </c>
      <c r="K69" s="220">
        <f t="shared" si="70"/>
        <v>2470</v>
      </c>
      <c r="L69" s="220">
        <f t="shared" si="70"/>
        <v>2338</v>
      </c>
      <c r="M69" s="220">
        <f t="shared" si="70"/>
        <v>2274</v>
      </c>
      <c r="N69" s="220">
        <f t="shared" si="70"/>
        <v>2307</v>
      </c>
      <c r="O69" s="220">
        <f t="shared" si="70"/>
        <v>2386</v>
      </c>
      <c r="P69" s="220">
        <f t="shared" si="65"/>
        <v>2000</v>
      </c>
      <c r="Q69" s="220">
        <f t="shared" si="65"/>
        <v>2000</v>
      </c>
      <c r="R69" s="220">
        <f t="shared" si="65"/>
        <v>2000</v>
      </c>
      <c r="S69" s="220">
        <f t="shared" si="65"/>
        <v>2000</v>
      </c>
      <c r="T69" s="220">
        <f t="shared" si="65"/>
        <v>2000</v>
      </c>
      <c r="U69" s="220">
        <f t="shared" si="66"/>
        <v>470</v>
      </c>
      <c r="V69" s="220">
        <f t="shared" si="66"/>
        <v>338</v>
      </c>
      <c r="W69" s="220">
        <f t="shared" si="66"/>
        <v>274</v>
      </c>
      <c r="X69" s="220">
        <f t="shared" si="66"/>
        <v>307</v>
      </c>
      <c r="Y69" s="220">
        <f t="shared" si="66"/>
        <v>386</v>
      </c>
      <c r="Z69" s="220">
        <v>0</v>
      </c>
      <c r="AA69" s="220">
        <v>0</v>
      </c>
      <c r="AB69" s="220">
        <v>3</v>
      </c>
      <c r="AC69" s="220">
        <v>0</v>
      </c>
      <c r="AD69" s="220">
        <v>2</v>
      </c>
      <c r="AE69" s="220">
        <f t="shared" si="67"/>
        <v>-179</v>
      </c>
      <c r="AF69" s="220">
        <f t="shared" si="67"/>
        <v>-291</v>
      </c>
      <c r="AG69" s="220">
        <f t="shared" si="67"/>
        <v>-325</v>
      </c>
      <c r="AH69" s="220">
        <f t="shared" si="67"/>
        <v>-247</v>
      </c>
      <c r="AI69" s="220">
        <f t="shared" si="67"/>
        <v>-173</v>
      </c>
      <c r="AJ69" s="50">
        <f t="shared" si="13"/>
        <v>1.4740000000000024</v>
      </c>
      <c r="AK69" s="257"/>
      <c r="AL69" s="257">
        <f t="shared" si="14"/>
        <v>1.2</v>
      </c>
      <c r="AM69" s="52"/>
      <c r="AN69" s="88"/>
    </row>
    <row r="70" spans="1:40" s="29" customFormat="1" ht="17.25" customHeight="1">
      <c r="A70" s="48">
        <v>60</v>
      </c>
      <c r="B70" s="49">
        <f t="shared" si="7"/>
        <v>45635</v>
      </c>
      <c r="C70" s="220">
        <f t="shared" si="8"/>
        <v>1049</v>
      </c>
      <c r="D70" s="220">
        <f t="shared" ref="D70" si="77">D69-18</f>
        <v>2099</v>
      </c>
      <c r="E70" s="220">
        <f t="shared" si="9"/>
        <v>3148</v>
      </c>
      <c r="F70" s="220">
        <f t="shared" si="1"/>
        <v>679</v>
      </c>
      <c r="G70" s="220">
        <f t="shared" si="2"/>
        <v>812</v>
      </c>
      <c r="H70" s="220">
        <f t="shared" si="3"/>
        <v>876</v>
      </c>
      <c r="I70" s="220">
        <f t="shared" si="4"/>
        <v>843</v>
      </c>
      <c r="J70" s="220">
        <f t="shared" si="5"/>
        <v>762</v>
      </c>
      <c r="K70" s="220">
        <f t="shared" si="70"/>
        <v>2469</v>
      </c>
      <c r="L70" s="220">
        <f t="shared" si="70"/>
        <v>2336</v>
      </c>
      <c r="M70" s="220">
        <f t="shared" si="70"/>
        <v>2272</v>
      </c>
      <c r="N70" s="220">
        <f t="shared" si="70"/>
        <v>2305</v>
      </c>
      <c r="O70" s="220">
        <f t="shared" si="70"/>
        <v>2386</v>
      </c>
      <c r="P70" s="220">
        <f t="shared" si="65"/>
        <v>2000</v>
      </c>
      <c r="Q70" s="220">
        <f t="shared" si="65"/>
        <v>2000</v>
      </c>
      <c r="R70" s="220">
        <f t="shared" si="65"/>
        <v>2000</v>
      </c>
      <c r="S70" s="220">
        <f t="shared" si="65"/>
        <v>2000</v>
      </c>
      <c r="T70" s="220">
        <f t="shared" si="65"/>
        <v>2000</v>
      </c>
      <c r="U70" s="220">
        <f t="shared" si="66"/>
        <v>469</v>
      </c>
      <c r="V70" s="220">
        <f t="shared" si="66"/>
        <v>336</v>
      </c>
      <c r="W70" s="220">
        <f t="shared" si="66"/>
        <v>272</v>
      </c>
      <c r="X70" s="220">
        <f t="shared" si="66"/>
        <v>305</v>
      </c>
      <c r="Y70" s="220">
        <f t="shared" si="66"/>
        <v>386</v>
      </c>
      <c r="Z70" s="220">
        <v>1</v>
      </c>
      <c r="AA70" s="220">
        <v>2</v>
      </c>
      <c r="AB70" s="220">
        <v>2</v>
      </c>
      <c r="AC70" s="220">
        <v>2</v>
      </c>
      <c r="AD70" s="220">
        <v>0</v>
      </c>
      <c r="AE70" s="220">
        <f t="shared" si="67"/>
        <v>-180</v>
      </c>
      <c r="AF70" s="220">
        <f t="shared" si="67"/>
        <v>-293</v>
      </c>
      <c r="AG70" s="220">
        <f t="shared" si="67"/>
        <v>-327</v>
      </c>
      <c r="AH70" s="220">
        <f t="shared" si="67"/>
        <v>-249</v>
      </c>
      <c r="AI70" s="220">
        <f t="shared" si="67"/>
        <v>-173</v>
      </c>
      <c r="AJ70" s="50">
        <f t="shared" si="13"/>
        <v>1.4720000000000024</v>
      </c>
      <c r="AK70" s="257"/>
      <c r="AL70" s="257">
        <f t="shared" si="14"/>
        <v>1.2</v>
      </c>
      <c r="AM70" s="52"/>
      <c r="AN70" s="88"/>
    </row>
    <row r="71" spans="1:40" s="29" customFormat="1" ht="17.25" customHeight="1">
      <c r="A71" s="48">
        <v>61</v>
      </c>
      <c r="B71" s="49">
        <f t="shared" si="7"/>
        <v>45636</v>
      </c>
      <c r="C71" s="220">
        <f t="shared" si="8"/>
        <v>1049</v>
      </c>
      <c r="D71" s="220">
        <f t="shared" ref="D71" si="78">D70-26</f>
        <v>2073</v>
      </c>
      <c r="E71" s="220">
        <f t="shared" si="9"/>
        <v>3122</v>
      </c>
      <c r="F71" s="220">
        <f t="shared" si="1"/>
        <v>654</v>
      </c>
      <c r="G71" s="220">
        <f t="shared" si="2"/>
        <v>786</v>
      </c>
      <c r="H71" s="220">
        <f t="shared" si="3"/>
        <v>852</v>
      </c>
      <c r="I71" s="220">
        <f t="shared" si="4"/>
        <v>817</v>
      </c>
      <c r="J71" s="220">
        <f t="shared" si="5"/>
        <v>736</v>
      </c>
      <c r="K71" s="220">
        <f t="shared" si="70"/>
        <v>2468</v>
      </c>
      <c r="L71" s="220">
        <f t="shared" si="70"/>
        <v>2336</v>
      </c>
      <c r="M71" s="220">
        <f t="shared" si="70"/>
        <v>2270</v>
      </c>
      <c r="N71" s="220">
        <f t="shared" si="70"/>
        <v>2305</v>
      </c>
      <c r="O71" s="220">
        <f t="shared" si="70"/>
        <v>2386</v>
      </c>
      <c r="P71" s="220">
        <f t="shared" si="65"/>
        <v>2000</v>
      </c>
      <c r="Q71" s="220">
        <f t="shared" si="65"/>
        <v>2000</v>
      </c>
      <c r="R71" s="220">
        <f t="shared" si="65"/>
        <v>2000</v>
      </c>
      <c r="S71" s="220">
        <f t="shared" si="65"/>
        <v>2000</v>
      </c>
      <c r="T71" s="220">
        <f t="shared" si="65"/>
        <v>2000</v>
      </c>
      <c r="U71" s="220">
        <f t="shared" si="66"/>
        <v>468</v>
      </c>
      <c r="V71" s="220">
        <f t="shared" si="66"/>
        <v>336</v>
      </c>
      <c r="W71" s="220">
        <f t="shared" si="66"/>
        <v>270</v>
      </c>
      <c r="X71" s="220">
        <f t="shared" si="66"/>
        <v>305</v>
      </c>
      <c r="Y71" s="220">
        <f t="shared" si="66"/>
        <v>386</v>
      </c>
      <c r="Z71" s="220">
        <v>1</v>
      </c>
      <c r="AA71" s="220">
        <v>0</v>
      </c>
      <c r="AB71" s="220">
        <v>2</v>
      </c>
      <c r="AC71" s="220">
        <v>0</v>
      </c>
      <c r="AD71" s="220">
        <v>0</v>
      </c>
      <c r="AE71" s="220">
        <f t="shared" si="67"/>
        <v>-181</v>
      </c>
      <c r="AF71" s="220">
        <f t="shared" si="67"/>
        <v>-293</v>
      </c>
      <c r="AG71" s="220">
        <f t="shared" si="67"/>
        <v>-329</v>
      </c>
      <c r="AH71" s="220">
        <f t="shared" si="67"/>
        <v>-249</v>
      </c>
      <c r="AI71" s="220">
        <f t="shared" si="67"/>
        <v>-173</v>
      </c>
      <c r="AJ71" s="50">
        <f t="shared" si="13"/>
        <v>1.4700000000000024</v>
      </c>
      <c r="AK71" s="257"/>
      <c r="AL71" s="257">
        <f t="shared" si="14"/>
        <v>1.2</v>
      </c>
      <c r="AM71" s="52"/>
      <c r="AN71" s="88"/>
    </row>
    <row r="72" spans="1:40" s="29" customFormat="1" ht="17.25" customHeight="1">
      <c r="A72" s="48">
        <v>62</v>
      </c>
      <c r="B72" s="49">
        <f t="shared" si="7"/>
        <v>45637</v>
      </c>
      <c r="C72" s="220">
        <f t="shared" si="8"/>
        <v>1049</v>
      </c>
      <c r="D72" s="220">
        <f t="shared" ref="D72" si="79">D71+15</f>
        <v>2088</v>
      </c>
      <c r="E72" s="220">
        <f t="shared" si="9"/>
        <v>3137</v>
      </c>
      <c r="F72" s="220">
        <f t="shared" si="1"/>
        <v>669</v>
      </c>
      <c r="G72" s="220">
        <f t="shared" si="2"/>
        <v>802</v>
      </c>
      <c r="H72" s="220">
        <f t="shared" si="3"/>
        <v>869</v>
      </c>
      <c r="I72" s="220">
        <f t="shared" si="4"/>
        <v>835</v>
      </c>
      <c r="J72" s="220">
        <f t="shared" si="5"/>
        <v>751</v>
      </c>
      <c r="K72" s="220">
        <f t="shared" si="70"/>
        <v>2468</v>
      </c>
      <c r="L72" s="220">
        <f t="shared" si="70"/>
        <v>2335</v>
      </c>
      <c r="M72" s="220">
        <f t="shared" si="70"/>
        <v>2268</v>
      </c>
      <c r="N72" s="220">
        <f t="shared" si="70"/>
        <v>2302</v>
      </c>
      <c r="O72" s="220">
        <f t="shared" si="70"/>
        <v>2386</v>
      </c>
      <c r="P72" s="220">
        <f t="shared" si="65"/>
        <v>2000</v>
      </c>
      <c r="Q72" s="220">
        <f t="shared" si="65"/>
        <v>2000</v>
      </c>
      <c r="R72" s="220">
        <f t="shared" si="65"/>
        <v>2000</v>
      </c>
      <c r="S72" s="220">
        <f t="shared" si="65"/>
        <v>2000</v>
      </c>
      <c r="T72" s="220">
        <f t="shared" si="65"/>
        <v>2000</v>
      </c>
      <c r="U72" s="220">
        <f t="shared" si="66"/>
        <v>468</v>
      </c>
      <c r="V72" s="220">
        <f t="shared" si="66"/>
        <v>335</v>
      </c>
      <c r="W72" s="220">
        <f t="shared" si="66"/>
        <v>268</v>
      </c>
      <c r="X72" s="220">
        <f t="shared" si="66"/>
        <v>302</v>
      </c>
      <c r="Y72" s="220">
        <f t="shared" si="66"/>
        <v>386</v>
      </c>
      <c r="Z72" s="220">
        <v>0</v>
      </c>
      <c r="AA72" s="220">
        <v>1</v>
      </c>
      <c r="AB72" s="220">
        <v>2</v>
      </c>
      <c r="AC72" s="220">
        <v>3</v>
      </c>
      <c r="AD72" s="220">
        <v>0</v>
      </c>
      <c r="AE72" s="220">
        <f t="shared" si="67"/>
        <v>-181</v>
      </c>
      <c r="AF72" s="220">
        <f t="shared" si="67"/>
        <v>-294</v>
      </c>
      <c r="AG72" s="220">
        <f t="shared" si="67"/>
        <v>-331</v>
      </c>
      <c r="AH72" s="220">
        <f t="shared" si="67"/>
        <v>-252</v>
      </c>
      <c r="AI72" s="220">
        <f t="shared" si="67"/>
        <v>-173</v>
      </c>
      <c r="AJ72" s="50">
        <f t="shared" si="13"/>
        <v>1.4680000000000024</v>
      </c>
      <c r="AK72" s="257"/>
      <c r="AL72" s="257">
        <f t="shared" si="14"/>
        <v>1.2</v>
      </c>
      <c r="AM72" s="52"/>
      <c r="AN72" s="88"/>
    </row>
    <row r="73" spans="1:40" s="29" customFormat="1" ht="17.25" customHeight="1">
      <c r="A73" s="48">
        <v>63</v>
      </c>
      <c r="B73" s="49">
        <f t="shared" si="7"/>
        <v>45638</v>
      </c>
      <c r="C73" s="220">
        <f t="shared" si="8"/>
        <v>1049</v>
      </c>
      <c r="D73" s="220">
        <f t="shared" ref="D73" si="80">D72+26</f>
        <v>2114</v>
      </c>
      <c r="E73" s="220">
        <f t="shared" si="9"/>
        <v>3163</v>
      </c>
      <c r="F73" s="220">
        <f t="shared" si="1"/>
        <v>696</v>
      </c>
      <c r="G73" s="220">
        <f t="shared" si="2"/>
        <v>829</v>
      </c>
      <c r="H73" s="220">
        <f t="shared" si="3"/>
        <v>897</v>
      </c>
      <c r="I73" s="220">
        <f t="shared" si="4"/>
        <v>862</v>
      </c>
      <c r="J73" s="220">
        <f t="shared" si="5"/>
        <v>777</v>
      </c>
      <c r="K73" s="220">
        <f t="shared" si="70"/>
        <v>2467</v>
      </c>
      <c r="L73" s="220">
        <f t="shared" si="70"/>
        <v>2334</v>
      </c>
      <c r="M73" s="220">
        <f t="shared" si="70"/>
        <v>2266</v>
      </c>
      <c r="N73" s="220">
        <f t="shared" si="70"/>
        <v>2301</v>
      </c>
      <c r="O73" s="220">
        <f t="shared" si="70"/>
        <v>2386</v>
      </c>
      <c r="P73" s="220">
        <f t="shared" si="65"/>
        <v>2000</v>
      </c>
      <c r="Q73" s="220">
        <f t="shared" si="65"/>
        <v>2000</v>
      </c>
      <c r="R73" s="220">
        <f t="shared" si="65"/>
        <v>2000</v>
      </c>
      <c r="S73" s="220">
        <f t="shared" si="65"/>
        <v>2000</v>
      </c>
      <c r="T73" s="220">
        <f t="shared" si="65"/>
        <v>2000</v>
      </c>
      <c r="U73" s="220">
        <f t="shared" si="66"/>
        <v>467</v>
      </c>
      <c r="V73" s="220">
        <f t="shared" si="66"/>
        <v>334</v>
      </c>
      <c r="W73" s="220">
        <f t="shared" si="66"/>
        <v>266</v>
      </c>
      <c r="X73" s="220">
        <f t="shared" si="66"/>
        <v>301</v>
      </c>
      <c r="Y73" s="220">
        <f t="shared" si="66"/>
        <v>386</v>
      </c>
      <c r="Z73" s="220">
        <v>1</v>
      </c>
      <c r="AA73" s="220">
        <v>1</v>
      </c>
      <c r="AB73" s="220">
        <v>2</v>
      </c>
      <c r="AC73" s="220">
        <v>1</v>
      </c>
      <c r="AD73" s="220">
        <v>0</v>
      </c>
      <c r="AE73" s="220">
        <f t="shared" si="67"/>
        <v>-182</v>
      </c>
      <c r="AF73" s="220">
        <f t="shared" si="67"/>
        <v>-295</v>
      </c>
      <c r="AG73" s="220">
        <f t="shared" si="67"/>
        <v>-333</v>
      </c>
      <c r="AH73" s="220">
        <f t="shared" si="67"/>
        <v>-253</v>
      </c>
      <c r="AI73" s="220">
        <f t="shared" si="67"/>
        <v>-173</v>
      </c>
      <c r="AJ73" s="50">
        <f t="shared" si="13"/>
        <v>1.4660000000000024</v>
      </c>
      <c r="AK73" s="257"/>
      <c r="AL73" s="257">
        <f t="shared" si="14"/>
        <v>1.2</v>
      </c>
      <c r="AM73" s="52"/>
      <c r="AN73" s="88"/>
    </row>
    <row r="74" spans="1:40" s="29" customFormat="1" ht="17.25" customHeight="1">
      <c r="A74" s="48">
        <v>64</v>
      </c>
      <c r="B74" s="49">
        <f t="shared" si="7"/>
        <v>45639</v>
      </c>
      <c r="C74" s="220">
        <f t="shared" si="8"/>
        <v>1049</v>
      </c>
      <c r="D74" s="220">
        <f t="shared" ref="D74" si="81">D73+32</f>
        <v>2146</v>
      </c>
      <c r="E74" s="220">
        <f t="shared" si="9"/>
        <v>3195</v>
      </c>
      <c r="F74" s="220">
        <f t="shared" si="1"/>
        <v>728</v>
      </c>
      <c r="G74" s="220">
        <f t="shared" si="2"/>
        <v>861</v>
      </c>
      <c r="H74" s="220">
        <f t="shared" si="3"/>
        <v>930</v>
      </c>
      <c r="I74" s="220">
        <f t="shared" si="4"/>
        <v>894</v>
      </c>
      <c r="J74" s="220">
        <f t="shared" si="5"/>
        <v>809</v>
      </c>
      <c r="K74" s="220">
        <f t="shared" si="70"/>
        <v>2467</v>
      </c>
      <c r="L74" s="220">
        <f t="shared" si="70"/>
        <v>2334</v>
      </c>
      <c r="M74" s="220">
        <f t="shared" si="70"/>
        <v>2265</v>
      </c>
      <c r="N74" s="220">
        <f t="shared" si="70"/>
        <v>2301</v>
      </c>
      <c r="O74" s="220">
        <f t="shared" si="70"/>
        <v>2386</v>
      </c>
      <c r="P74" s="220">
        <f t="shared" si="65"/>
        <v>2000</v>
      </c>
      <c r="Q74" s="220">
        <f t="shared" si="65"/>
        <v>2000</v>
      </c>
      <c r="R74" s="220">
        <f t="shared" si="65"/>
        <v>2000</v>
      </c>
      <c r="S74" s="220">
        <f t="shared" si="65"/>
        <v>2000</v>
      </c>
      <c r="T74" s="220">
        <f t="shared" si="65"/>
        <v>2000</v>
      </c>
      <c r="U74" s="220">
        <f t="shared" si="66"/>
        <v>467</v>
      </c>
      <c r="V74" s="220">
        <f t="shared" si="66"/>
        <v>334</v>
      </c>
      <c r="W74" s="220">
        <f t="shared" si="66"/>
        <v>265</v>
      </c>
      <c r="X74" s="220">
        <f t="shared" si="66"/>
        <v>301</v>
      </c>
      <c r="Y74" s="220">
        <f t="shared" si="66"/>
        <v>386</v>
      </c>
      <c r="Z74" s="220">
        <v>0</v>
      </c>
      <c r="AA74" s="220">
        <v>0</v>
      </c>
      <c r="AB74" s="220">
        <v>1</v>
      </c>
      <c r="AC74" s="220">
        <v>0</v>
      </c>
      <c r="AD74" s="220">
        <v>0</v>
      </c>
      <c r="AE74" s="220">
        <f t="shared" si="67"/>
        <v>-182</v>
      </c>
      <c r="AF74" s="220">
        <f t="shared" si="67"/>
        <v>-295</v>
      </c>
      <c r="AG74" s="220">
        <f t="shared" si="67"/>
        <v>-334</v>
      </c>
      <c r="AH74" s="220">
        <f t="shared" si="67"/>
        <v>-253</v>
      </c>
      <c r="AI74" s="220">
        <f t="shared" si="67"/>
        <v>-173</v>
      </c>
      <c r="AJ74" s="50">
        <f t="shared" si="13"/>
        <v>1.4650000000000025</v>
      </c>
      <c r="AK74" s="257"/>
      <c r="AL74" s="257">
        <f t="shared" si="14"/>
        <v>1.2</v>
      </c>
      <c r="AM74" s="52"/>
      <c r="AN74" s="88"/>
    </row>
    <row r="75" spans="1:40" s="29" customFormat="1" ht="17.25" customHeight="1">
      <c r="A75" s="48">
        <v>65</v>
      </c>
      <c r="B75" s="49">
        <f t="shared" si="7"/>
        <v>45640</v>
      </c>
      <c r="C75" s="220">
        <f t="shared" si="8"/>
        <v>1049</v>
      </c>
      <c r="D75" s="220">
        <f t="shared" ref="D75" si="82">D74-18</f>
        <v>2128</v>
      </c>
      <c r="E75" s="220">
        <f t="shared" si="9"/>
        <v>3177</v>
      </c>
      <c r="F75" s="220">
        <f t="shared" si="1"/>
        <v>710</v>
      </c>
      <c r="G75" s="220">
        <f t="shared" si="2"/>
        <v>847</v>
      </c>
      <c r="H75" s="220">
        <f t="shared" si="3"/>
        <v>913</v>
      </c>
      <c r="I75" s="220">
        <f t="shared" si="4"/>
        <v>878</v>
      </c>
      <c r="J75" s="220">
        <f t="shared" si="5"/>
        <v>791</v>
      </c>
      <c r="K75" s="220">
        <f t="shared" si="70"/>
        <v>2467</v>
      </c>
      <c r="L75" s="220">
        <f t="shared" si="70"/>
        <v>2330</v>
      </c>
      <c r="M75" s="220">
        <f t="shared" si="70"/>
        <v>2264</v>
      </c>
      <c r="N75" s="220">
        <f t="shared" si="70"/>
        <v>2299</v>
      </c>
      <c r="O75" s="220">
        <f t="shared" si="70"/>
        <v>2386</v>
      </c>
      <c r="P75" s="220">
        <f t="shared" si="65"/>
        <v>2000</v>
      </c>
      <c r="Q75" s="220">
        <f t="shared" si="65"/>
        <v>2000</v>
      </c>
      <c r="R75" s="220">
        <f t="shared" si="65"/>
        <v>2000</v>
      </c>
      <c r="S75" s="220">
        <f t="shared" si="65"/>
        <v>2000</v>
      </c>
      <c r="T75" s="220">
        <f t="shared" si="65"/>
        <v>2000</v>
      </c>
      <c r="U75" s="220">
        <f t="shared" si="66"/>
        <v>467</v>
      </c>
      <c r="V75" s="220">
        <f t="shared" si="66"/>
        <v>330</v>
      </c>
      <c r="W75" s="220">
        <f t="shared" si="66"/>
        <v>264</v>
      </c>
      <c r="X75" s="220">
        <f t="shared" si="66"/>
        <v>299</v>
      </c>
      <c r="Y75" s="220">
        <f t="shared" si="66"/>
        <v>386</v>
      </c>
      <c r="Z75" s="220">
        <v>0</v>
      </c>
      <c r="AA75" s="220">
        <v>4</v>
      </c>
      <c r="AB75" s="220">
        <v>1</v>
      </c>
      <c r="AC75" s="220">
        <v>2</v>
      </c>
      <c r="AD75" s="220">
        <v>0</v>
      </c>
      <c r="AE75" s="220">
        <f t="shared" si="67"/>
        <v>-182</v>
      </c>
      <c r="AF75" s="220">
        <f t="shared" si="67"/>
        <v>-299</v>
      </c>
      <c r="AG75" s="220">
        <f t="shared" si="67"/>
        <v>-335</v>
      </c>
      <c r="AH75" s="220">
        <f t="shared" si="67"/>
        <v>-255</v>
      </c>
      <c r="AI75" s="220">
        <f t="shared" si="67"/>
        <v>-173</v>
      </c>
      <c r="AJ75" s="50">
        <f t="shared" si="13"/>
        <v>1.4640000000000026</v>
      </c>
      <c r="AK75" s="257"/>
      <c r="AL75" s="257">
        <f t="shared" si="14"/>
        <v>1.2</v>
      </c>
      <c r="AM75" s="52"/>
      <c r="AN75" s="88"/>
    </row>
    <row r="76" spans="1:40" s="29" customFormat="1" ht="17.25" customHeight="1">
      <c r="A76" s="48">
        <v>66</v>
      </c>
      <c r="B76" s="49">
        <f t="shared" si="7"/>
        <v>45641</v>
      </c>
      <c r="C76" s="220">
        <f t="shared" si="8"/>
        <v>1049</v>
      </c>
      <c r="D76" s="220">
        <f t="shared" ref="D76" si="83">D75-26</f>
        <v>2102</v>
      </c>
      <c r="E76" s="220">
        <f t="shared" si="9"/>
        <v>3151</v>
      </c>
      <c r="F76" s="220">
        <f t="shared" ref="F76:F139" si="84">E76-K76</f>
        <v>685</v>
      </c>
      <c r="G76" s="220">
        <f t="shared" ref="G76:G139" si="85">E76-L76</f>
        <v>821</v>
      </c>
      <c r="H76" s="220">
        <f t="shared" ref="H76:H139" si="86">E76-M76</f>
        <v>888</v>
      </c>
      <c r="I76" s="220">
        <f t="shared" ref="I76:I139" si="87">E76-N76</f>
        <v>852</v>
      </c>
      <c r="J76" s="220">
        <f t="shared" ref="J76:J139" si="88">E76-O76</f>
        <v>765</v>
      </c>
      <c r="K76" s="220">
        <f t="shared" si="70"/>
        <v>2466</v>
      </c>
      <c r="L76" s="220">
        <f t="shared" si="70"/>
        <v>2330</v>
      </c>
      <c r="M76" s="220">
        <f t="shared" si="70"/>
        <v>2263</v>
      </c>
      <c r="N76" s="220">
        <f t="shared" si="70"/>
        <v>2299</v>
      </c>
      <c r="O76" s="220">
        <f t="shared" si="70"/>
        <v>2386</v>
      </c>
      <c r="P76" s="220">
        <f t="shared" si="65"/>
        <v>2000</v>
      </c>
      <c r="Q76" s="220">
        <f t="shared" si="65"/>
        <v>2000</v>
      </c>
      <c r="R76" s="220">
        <f t="shared" si="65"/>
        <v>2000</v>
      </c>
      <c r="S76" s="220">
        <f t="shared" si="65"/>
        <v>2000</v>
      </c>
      <c r="T76" s="220">
        <f t="shared" si="65"/>
        <v>2000</v>
      </c>
      <c r="U76" s="220">
        <f t="shared" si="66"/>
        <v>466</v>
      </c>
      <c r="V76" s="220">
        <f t="shared" si="66"/>
        <v>330</v>
      </c>
      <c r="W76" s="220">
        <f t="shared" si="66"/>
        <v>263</v>
      </c>
      <c r="X76" s="220">
        <f t="shared" si="66"/>
        <v>299</v>
      </c>
      <c r="Y76" s="220">
        <f t="shared" si="66"/>
        <v>386</v>
      </c>
      <c r="Z76" s="220">
        <v>1</v>
      </c>
      <c r="AA76" s="220">
        <v>0</v>
      </c>
      <c r="AB76" s="220">
        <v>1</v>
      </c>
      <c r="AC76" s="220">
        <v>0</v>
      </c>
      <c r="AD76" s="220">
        <v>0</v>
      </c>
      <c r="AE76" s="220">
        <f t="shared" si="67"/>
        <v>-183</v>
      </c>
      <c r="AF76" s="220">
        <f t="shared" si="67"/>
        <v>-299</v>
      </c>
      <c r="AG76" s="220">
        <f t="shared" si="67"/>
        <v>-336</v>
      </c>
      <c r="AH76" s="220">
        <f t="shared" si="67"/>
        <v>-255</v>
      </c>
      <c r="AI76" s="220">
        <f t="shared" si="67"/>
        <v>-173</v>
      </c>
      <c r="AJ76" s="50">
        <f t="shared" si="13"/>
        <v>1.4630000000000027</v>
      </c>
      <c r="AK76" s="257"/>
      <c r="AL76" s="257">
        <f t="shared" si="14"/>
        <v>1.2</v>
      </c>
      <c r="AM76" s="52"/>
      <c r="AN76" s="88"/>
    </row>
    <row r="77" spans="1:40" s="29" customFormat="1" ht="17.25" customHeight="1">
      <c r="A77" s="48">
        <v>67</v>
      </c>
      <c r="B77" s="49">
        <f t="shared" ref="B77:B140" si="89">B76+1</f>
        <v>45642</v>
      </c>
      <c r="C77" s="220">
        <f t="shared" ref="C77:C140" si="90">+C76</f>
        <v>1049</v>
      </c>
      <c r="D77" s="220">
        <f t="shared" ref="D77" si="91">D76+15</f>
        <v>2117</v>
      </c>
      <c r="E77" s="220">
        <f t="shared" ref="E77:E140" si="92">+C77+D77</f>
        <v>3166</v>
      </c>
      <c r="F77" s="220">
        <f t="shared" si="84"/>
        <v>700</v>
      </c>
      <c r="G77" s="220">
        <f t="shared" si="85"/>
        <v>836</v>
      </c>
      <c r="H77" s="220">
        <f t="shared" si="86"/>
        <v>904</v>
      </c>
      <c r="I77" s="220">
        <f t="shared" si="87"/>
        <v>870</v>
      </c>
      <c r="J77" s="220">
        <f t="shared" si="88"/>
        <v>780</v>
      </c>
      <c r="K77" s="220">
        <f t="shared" si="70"/>
        <v>2466</v>
      </c>
      <c r="L77" s="220">
        <f t="shared" si="70"/>
        <v>2330</v>
      </c>
      <c r="M77" s="220">
        <f t="shared" si="70"/>
        <v>2262</v>
      </c>
      <c r="N77" s="220">
        <f t="shared" si="70"/>
        <v>2296</v>
      </c>
      <c r="O77" s="220">
        <f t="shared" si="70"/>
        <v>2386</v>
      </c>
      <c r="P77" s="220">
        <f t="shared" ref="P77:T92" si="93">+P76</f>
        <v>2000</v>
      </c>
      <c r="Q77" s="220">
        <f t="shared" si="93"/>
        <v>2000</v>
      </c>
      <c r="R77" s="220">
        <f t="shared" si="93"/>
        <v>2000</v>
      </c>
      <c r="S77" s="220">
        <f t="shared" si="93"/>
        <v>2000</v>
      </c>
      <c r="T77" s="220">
        <f t="shared" si="93"/>
        <v>2000</v>
      </c>
      <c r="U77" s="220">
        <f t="shared" ref="U77:Y92" si="94">U76-Z77</f>
        <v>466</v>
      </c>
      <c r="V77" s="220">
        <f t="shared" si="94"/>
        <v>330</v>
      </c>
      <c r="W77" s="220">
        <f t="shared" si="94"/>
        <v>262</v>
      </c>
      <c r="X77" s="220">
        <f t="shared" si="94"/>
        <v>296</v>
      </c>
      <c r="Y77" s="220">
        <f t="shared" si="94"/>
        <v>386</v>
      </c>
      <c r="Z77" s="220">
        <v>0</v>
      </c>
      <c r="AA77" s="220">
        <v>0</v>
      </c>
      <c r="AB77" s="220">
        <v>1</v>
      </c>
      <c r="AC77" s="220">
        <v>3</v>
      </c>
      <c r="AD77" s="220">
        <v>0</v>
      </c>
      <c r="AE77" s="220">
        <f t="shared" ref="AE77:AI92" si="95">AE76-Z77</f>
        <v>-183</v>
      </c>
      <c r="AF77" s="220">
        <f t="shared" si="95"/>
        <v>-299</v>
      </c>
      <c r="AG77" s="220">
        <f t="shared" si="95"/>
        <v>-337</v>
      </c>
      <c r="AH77" s="220">
        <f t="shared" si="95"/>
        <v>-258</v>
      </c>
      <c r="AI77" s="220">
        <f t="shared" si="95"/>
        <v>-173</v>
      </c>
      <c r="AJ77" s="50">
        <f t="shared" ref="AJ77:AJ140" si="96">AJ76-AB77/1000+AK77</f>
        <v>1.4620000000000029</v>
      </c>
      <c r="AK77" s="257"/>
      <c r="AL77" s="257">
        <f t="shared" ref="AL77:AL140" si="97">AL76+AK77</f>
        <v>1.2</v>
      </c>
      <c r="AM77" s="52"/>
      <c r="AN77" s="88"/>
    </row>
    <row r="78" spans="1:40" s="29" customFormat="1" ht="17.25" customHeight="1">
      <c r="A78" s="48">
        <v>68</v>
      </c>
      <c r="B78" s="49">
        <f t="shared" si="89"/>
        <v>45643</v>
      </c>
      <c r="C78" s="220">
        <f t="shared" si="90"/>
        <v>1049</v>
      </c>
      <c r="D78" s="220">
        <f t="shared" ref="D78" si="98">D77+26</f>
        <v>2143</v>
      </c>
      <c r="E78" s="220">
        <f t="shared" si="92"/>
        <v>3192</v>
      </c>
      <c r="F78" s="220">
        <f t="shared" si="84"/>
        <v>726</v>
      </c>
      <c r="G78" s="220">
        <f t="shared" si="85"/>
        <v>862</v>
      </c>
      <c r="H78" s="220">
        <f t="shared" si="86"/>
        <v>931</v>
      </c>
      <c r="I78" s="220">
        <f t="shared" si="87"/>
        <v>896</v>
      </c>
      <c r="J78" s="220">
        <f t="shared" si="88"/>
        <v>806</v>
      </c>
      <c r="K78" s="220">
        <f t="shared" si="70"/>
        <v>2466</v>
      </c>
      <c r="L78" s="220">
        <f t="shared" si="70"/>
        <v>2330</v>
      </c>
      <c r="M78" s="220">
        <f t="shared" si="70"/>
        <v>2261</v>
      </c>
      <c r="N78" s="220">
        <f t="shared" si="70"/>
        <v>2296</v>
      </c>
      <c r="O78" s="220">
        <f t="shared" si="70"/>
        <v>2386</v>
      </c>
      <c r="P78" s="220">
        <f t="shared" si="93"/>
        <v>2000</v>
      </c>
      <c r="Q78" s="220">
        <f t="shared" si="93"/>
        <v>2000</v>
      </c>
      <c r="R78" s="220">
        <f t="shared" si="93"/>
        <v>2000</v>
      </c>
      <c r="S78" s="220">
        <f t="shared" si="93"/>
        <v>2000</v>
      </c>
      <c r="T78" s="220">
        <f t="shared" si="93"/>
        <v>2000</v>
      </c>
      <c r="U78" s="220">
        <f t="shared" si="94"/>
        <v>466</v>
      </c>
      <c r="V78" s="220">
        <f t="shared" si="94"/>
        <v>330</v>
      </c>
      <c r="W78" s="220">
        <f t="shared" si="94"/>
        <v>261</v>
      </c>
      <c r="X78" s="220">
        <f t="shared" si="94"/>
        <v>296</v>
      </c>
      <c r="Y78" s="220">
        <f t="shared" si="94"/>
        <v>386</v>
      </c>
      <c r="Z78" s="220">
        <v>0</v>
      </c>
      <c r="AA78" s="220">
        <v>0</v>
      </c>
      <c r="AB78" s="220">
        <v>1</v>
      </c>
      <c r="AC78" s="220">
        <v>0</v>
      </c>
      <c r="AD78" s="220">
        <v>0</v>
      </c>
      <c r="AE78" s="220">
        <f t="shared" si="95"/>
        <v>-183</v>
      </c>
      <c r="AF78" s="220">
        <f t="shared" si="95"/>
        <v>-299</v>
      </c>
      <c r="AG78" s="220">
        <f t="shared" si="95"/>
        <v>-338</v>
      </c>
      <c r="AH78" s="220">
        <f t="shared" si="95"/>
        <v>-258</v>
      </c>
      <c r="AI78" s="220">
        <f t="shared" si="95"/>
        <v>-173</v>
      </c>
      <c r="AJ78" s="50">
        <f t="shared" si="96"/>
        <v>1.461000000000003</v>
      </c>
      <c r="AK78" s="257"/>
      <c r="AL78" s="257">
        <f t="shared" si="97"/>
        <v>1.2</v>
      </c>
      <c r="AM78" s="52"/>
      <c r="AN78" s="88"/>
    </row>
    <row r="79" spans="1:40" s="29" customFormat="1" ht="17.25" customHeight="1">
      <c r="A79" s="48">
        <v>69</v>
      </c>
      <c r="B79" s="49">
        <f t="shared" si="89"/>
        <v>45644</v>
      </c>
      <c r="C79" s="220">
        <f t="shared" si="90"/>
        <v>1049</v>
      </c>
      <c r="D79" s="220">
        <f t="shared" ref="D79" si="99">D78+32</f>
        <v>2175</v>
      </c>
      <c r="E79" s="220">
        <f t="shared" si="92"/>
        <v>3224</v>
      </c>
      <c r="F79" s="220">
        <f t="shared" si="84"/>
        <v>759</v>
      </c>
      <c r="G79" s="220">
        <f t="shared" si="85"/>
        <v>898</v>
      </c>
      <c r="H79" s="220">
        <f t="shared" si="86"/>
        <v>964</v>
      </c>
      <c r="I79" s="220">
        <f t="shared" si="87"/>
        <v>928</v>
      </c>
      <c r="J79" s="220">
        <f t="shared" si="88"/>
        <v>840</v>
      </c>
      <c r="K79" s="220">
        <f t="shared" si="70"/>
        <v>2465</v>
      </c>
      <c r="L79" s="220">
        <f t="shared" si="70"/>
        <v>2326</v>
      </c>
      <c r="M79" s="220">
        <f t="shared" si="70"/>
        <v>2260</v>
      </c>
      <c r="N79" s="220">
        <f t="shared" si="70"/>
        <v>2296</v>
      </c>
      <c r="O79" s="220">
        <f t="shared" si="70"/>
        <v>2384</v>
      </c>
      <c r="P79" s="220">
        <f t="shared" si="93"/>
        <v>2000</v>
      </c>
      <c r="Q79" s="220">
        <f t="shared" si="93"/>
        <v>2000</v>
      </c>
      <c r="R79" s="220">
        <f t="shared" si="93"/>
        <v>2000</v>
      </c>
      <c r="S79" s="220">
        <f t="shared" si="93"/>
        <v>2000</v>
      </c>
      <c r="T79" s="220">
        <f t="shared" si="93"/>
        <v>2000</v>
      </c>
      <c r="U79" s="220">
        <f t="shared" si="94"/>
        <v>465</v>
      </c>
      <c r="V79" s="220">
        <f t="shared" si="94"/>
        <v>326</v>
      </c>
      <c r="W79" s="220">
        <f t="shared" si="94"/>
        <v>260</v>
      </c>
      <c r="X79" s="220">
        <f t="shared" si="94"/>
        <v>296</v>
      </c>
      <c r="Y79" s="220">
        <f t="shared" si="94"/>
        <v>384</v>
      </c>
      <c r="Z79" s="220">
        <v>1</v>
      </c>
      <c r="AA79" s="220">
        <v>4</v>
      </c>
      <c r="AB79" s="220">
        <v>1</v>
      </c>
      <c r="AC79" s="220">
        <v>0</v>
      </c>
      <c r="AD79" s="220">
        <v>2</v>
      </c>
      <c r="AE79" s="220">
        <f t="shared" si="95"/>
        <v>-184</v>
      </c>
      <c r="AF79" s="220">
        <f t="shared" si="95"/>
        <v>-303</v>
      </c>
      <c r="AG79" s="220">
        <f t="shared" si="95"/>
        <v>-339</v>
      </c>
      <c r="AH79" s="220">
        <f t="shared" si="95"/>
        <v>-258</v>
      </c>
      <c r="AI79" s="220">
        <f t="shared" si="95"/>
        <v>-175</v>
      </c>
      <c r="AJ79" s="50">
        <f t="shared" si="96"/>
        <v>1.4600000000000031</v>
      </c>
      <c r="AK79" s="257"/>
      <c r="AL79" s="257">
        <f t="shared" si="97"/>
        <v>1.2</v>
      </c>
      <c r="AM79" s="52"/>
      <c r="AN79" s="88"/>
    </row>
    <row r="80" spans="1:40" s="29" customFormat="1" ht="17.25" customHeight="1">
      <c r="A80" s="48">
        <v>70</v>
      </c>
      <c r="B80" s="49">
        <f t="shared" si="89"/>
        <v>45645</v>
      </c>
      <c r="C80" s="220">
        <f t="shared" si="90"/>
        <v>1049</v>
      </c>
      <c r="D80" s="220">
        <f t="shared" ref="D80" si="100">D79-18</f>
        <v>2157</v>
      </c>
      <c r="E80" s="220">
        <f t="shared" si="92"/>
        <v>3206</v>
      </c>
      <c r="F80" s="220">
        <f t="shared" si="84"/>
        <v>741</v>
      </c>
      <c r="G80" s="220">
        <f t="shared" si="85"/>
        <v>880</v>
      </c>
      <c r="H80" s="220">
        <f t="shared" si="86"/>
        <v>947</v>
      </c>
      <c r="I80" s="220">
        <f t="shared" si="87"/>
        <v>913</v>
      </c>
      <c r="J80" s="220">
        <f t="shared" si="88"/>
        <v>822</v>
      </c>
      <c r="K80" s="220">
        <f t="shared" si="70"/>
        <v>2465</v>
      </c>
      <c r="L80" s="220">
        <f t="shared" si="70"/>
        <v>2326</v>
      </c>
      <c r="M80" s="220">
        <f t="shared" si="70"/>
        <v>2259</v>
      </c>
      <c r="N80" s="220">
        <f t="shared" si="70"/>
        <v>2293</v>
      </c>
      <c r="O80" s="220">
        <f t="shared" si="70"/>
        <v>2384</v>
      </c>
      <c r="P80" s="220">
        <f t="shared" si="93"/>
        <v>2000</v>
      </c>
      <c r="Q80" s="220">
        <f t="shared" si="93"/>
        <v>2000</v>
      </c>
      <c r="R80" s="220">
        <f t="shared" si="93"/>
        <v>2000</v>
      </c>
      <c r="S80" s="220">
        <f t="shared" si="93"/>
        <v>2000</v>
      </c>
      <c r="T80" s="220">
        <f t="shared" si="93"/>
        <v>2000</v>
      </c>
      <c r="U80" s="220">
        <f t="shared" si="94"/>
        <v>465</v>
      </c>
      <c r="V80" s="220">
        <f t="shared" si="94"/>
        <v>326</v>
      </c>
      <c r="W80" s="220">
        <f t="shared" si="94"/>
        <v>259</v>
      </c>
      <c r="X80" s="220">
        <f t="shared" si="94"/>
        <v>293</v>
      </c>
      <c r="Y80" s="220">
        <f t="shared" si="94"/>
        <v>384</v>
      </c>
      <c r="Z80" s="220">
        <v>0</v>
      </c>
      <c r="AA80" s="220">
        <v>0</v>
      </c>
      <c r="AB80" s="220">
        <v>1</v>
      </c>
      <c r="AC80" s="220">
        <v>3</v>
      </c>
      <c r="AD80" s="220">
        <v>0</v>
      </c>
      <c r="AE80" s="220">
        <f t="shared" si="95"/>
        <v>-184</v>
      </c>
      <c r="AF80" s="220">
        <f t="shared" si="95"/>
        <v>-303</v>
      </c>
      <c r="AG80" s="220">
        <f t="shared" si="95"/>
        <v>-340</v>
      </c>
      <c r="AH80" s="220">
        <f t="shared" si="95"/>
        <v>-261</v>
      </c>
      <c r="AI80" s="220">
        <f t="shared" si="95"/>
        <v>-175</v>
      </c>
      <c r="AJ80" s="50">
        <f t="shared" si="96"/>
        <v>1.4590000000000032</v>
      </c>
      <c r="AK80" s="257"/>
      <c r="AL80" s="257">
        <f t="shared" si="97"/>
        <v>1.2</v>
      </c>
      <c r="AM80" s="52"/>
      <c r="AN80" s="88"/>
    </row>
    <row r="81" spans="1:40" s="29" customFormat="1" ht="17.25" customHeight="1">
      <c r="A81" s="48">
        <v>71</v>
      </c>
      <c r="B81" s="49">
        <f t="shared" si="89"/>
        <v>45646</v>
      </c>
      <c r="C81" s="220">
        <f t="shared" si="90"/>
        <v>1049</v>
      </c>
      <c r="D81" s="220">
        <f t="shared" ref="D81" si="101">D80-26</f>
        <v>2131</v>
      </c>
      <c r="E81" s="220">
        <f t="shared" si="92"/>
        <v>3180</v>
      </c>
      <c r="F81" s="220">
        <f t="shared" si="84"/>
        <v>716</v>
      </c>
      <c r="G81" s="220">
        <f t="shared" si="85"/>
        <v>854</v>
      </c>
      <c r="H81" s="220">
        <f t="shared" si="86"/>
        <v>921</v>
      </c>
      <c r="I81" s="220">
        <f t="shared" si="87"/>
        <v>890</v>
      </c>
      <c r="J81" s="220">
        <f t="shared" si="88"/>
        <v>796</v>
      </c>
      <c r="K81" s="220">
        <f t="shared" si="70"/>
        <v>2464</v>
      </c>
      <c r="L81" s="220">
        <f t="shared" si="70"/>
        <v>2326</v>
      </c>
      <c r="M81" s="220">
        <f t="shared" si="70"/>
        <v>2259</v>
      </c>
      <c r="N81" s="220">
        <f t="shared" si="70"/>
        <v>2290</v>
      </c>
      <c r="O81" s="220">
        <f t="shared" si="70"/>
        <v>2384</v>
      </c>
      <c r="P81" s="220">
        <f t="shared" si="93"/>
        <v>2000</v>
      </c>
      <c r="Q81" s="220">
        <f t="shared" si="93"/>
        <v>2000</v>
      </c>
      <c r="R81" s="220">
        <f t="shared" si="93"/>
        <v>2000</v>
      </c>
      <c r="S81" s="220">
        <f t="shared" si="93"/>
        <v>2000</v>
      </c>
      <c r="T81" s="220">
        <f t="shared" si="93"/>
        <v>2000</v>
      </c>
      <c r="U81" s="220">
        <f t="shared" si="94"/>
        <v>464</v>
      </c>
      <c r="V81" s="220">
        <f t="shared" si="94"/>
        <v>326</v>
      </c>
      <c r="W81" s="220">
        <f t="shared" si="94"/>
        <v>259</v>
      </c>
      <c r="X81" s="220">
        <f t="shared" si="94"/>
        <v>290</v>
      </c>
      <c r="Y81" s="220">
        <f t="shared" si="94"/>
        <v>384</v>
      </c>
      <c r="Z81" s="220">
        <v>1</v>
      </c>
      <c r="AA81" s="220">
        <v>0</v>
      </c>
      <c r="AB81" s="220">
        <v>0</v>
      </c>
      <c r="AC81" s="220">
        <v>3</v>
      </c>
      <c r="AD81" s="220">
        <v>0</v>
      </c>
      <c r="AE81" s="220">
        <f t="shared" si="95"/>
        <v>-185</v>
      </c>
      <c r="AF81" s="220">
        <f t="shared" si="95"/>
        <v>-303</v>
      </c>
      <c r="AG81" s="220">
        <f t="shared" si="95"/>
        <v>-340</v>
      </c>
      <c r="AH81" s="220">
        <f t="shared" si="95"/>
        <v>-264</v>
      </c>
      <c r="AI81" s="220">
        <f t="shared" si="95"/>
        <v>-175</v>
      </c>
      <c r="AJ81" s="50">
        <f t="shared" si="96"/>
        <v>1.4590000000000032</v>
      </c>
      <c r="AK81" s="257"/>
      <c r="AL81" s="257">
        <f t="shared" si="97"/>
        <v>1.2</v>
      </c>
      <c r="AM81" s="52"/>
      <c r="AN81" s="88"/>
    </row>
    <row r="82" spans="1:40" s="29" customFormat="1" ht="17.25" customHeight="1">
      <c r="A82" s="48">
        <v>72</v>
      </c>
      <c r="B82" s="49">
        <f t="shared" si="89"/>
        <v>45647</v>
      </c>
      <c r="C82" s="220">
        <f t="shared" si="90"/>
        <v>1049</v>
      </c>
      <c r="D82" s="220">
        <f t="shared" ref="D82" si="102">D81+15</f>
        <v>2146</v>
      </c>
      <c r="E82" s="220">
        <f t="shared" si="92"/>
        <v>3195</v>
      </c>
      <c r="F82" s="220">
        <f t="shared" si="84"/>
        <v>731</v>
      </c>
      <c r="G82" s="220">
        <f t="shared" si="85"/>
        <v>871</v>
      </c>
      <c r="H82" s="220">
        <f t="shared" si="86"/>
        <v>936</v>
      </c>
      <c r="I82" s="220">
        <f t="shared" si="87"/>
        <v>907</v>
      </c>
      <c r="J82" s="220">
        <f t="shared" si="88"/>
        <v>811</v>
      </c>
      <c r="K82" s="220">
        <f t="shared" si="70"/>
        <v>2464</v>
      </c>
      <c r="L82" s="220">
        <f t="shared" si="70"/>
        <v>2324</v>
      </c>
      <c r="M82" s="220">
        <f t="shared" si="70"/>
        <v>2259</v>
      </c>
      <c r="N82" s="220">
        <f t="shared" si="70"/>
        <v>2288</v>
      </c>
      <c r="O82" s="220">
        <f t="shared" si="70"/>
        <v>2384</v>
      </c>
      <c r="P82" s="220">
        <f t="shared" si="93"/>
        <v>2000</v>
      </c>
      <c r="Q82" s="220">
        <f t="shared" si="93"/>
        <v>2000</v>
      </c>
      <c r="R82" s="220">
        <f t="shared" si="93"/>
        <v>2000</v>
      </c>
      <c r="S82" s="220">
        <f t="shared" si="93"/>
        <v>2000</v>
      </c>
      <c r="T82" s="220">
        <f t="shared" si="93"/>
        <v>2000</v>
      </c>
      <c r="U82" s="220">
        <f t="shared" si="94"/>
        <v>464</v>
      </c>
      <c r="V82" s="220">
        <f t="shared" si="94"/>
        <v>324</v>
      </c>
      <c r="W82" s="220">
        <f t="shared" si="94"/>
        <v>259</v>
      </c>
      <c r="X82" s="220">
        <f t="shared" si="94"/>
        <v>288</v>
      </c>
      <c r="Y82" s="220">
        <f t="shared" si="94"/>
        <v>384</v>
      </c>
      <c r="Z82" s="220">
        <v>0</v>
      </c>
      <c r="AA82" s="220">
        <v>2</v>
      </c>
      <c r="AB82" s="220">
        <v>0</v>
      </c>
      <c r="AC82" s="220">
        <v>2</v>
      </c>
      <c r="AD82" s="220">
        <v>0</v>
      </c>
      <c r="AE82" s="220">
        <f t="shared" si="95"/>
        <v>-185</v>
      </c>
      <c r="AF82" s="220">
        <f t="shared" si="95"/>
        <v>-305</v>
      </c>
      <c r="AG82" s="220">
        <f t="shared" si="95"/>
        <v>-340</v>
      </c>
      <c r="AH82" s="220">
        <f t="shared" si="95"/>
        <v>-266</v>
      </c>
      <c r="AI82" s="220">
        <f t="shared" si="95"/>
        <v>-175</v>
      </c>
      <c r="AJ82" s="50">
        <f t="shared" si="96"/>
        <v>1.4590000000000032</v>
      </c>
      <c r="AK82" s="257"/>
      <c r="AL82" s="257">
        <f t="shared" si="97"/>
        <v>1.2</v>
      </c>
      <c r="AM82" s="52"/>
      <c r="AN82" s="88"/>
    </row>
    <row r="83" spans="1:40" s="29" customFormat="1" ht="17.25" customHeight="1">
      <c r="A83" s="48">
        <v>73</v>
      </c>
      <c r="B83" s="49">
        <f t="shared" si="89"/>
        <v>45648</v>
      </c>
      <c r="C83" s="220">
        <f t="shared" si="90"/>
        <v>1049</v>
      </c>
      <c r="D83" s="220">
        <f t="shared" ref="D83" si="103">D82+26</f>
        <v>2172</v>
      </c>
      <c r="E83" s="220">
        <f t="shared" si="92"/>
        <v>3221</v>
      </c>
      <c r="F83" s="220">
        <f t="shared" si="84"/>
        <v>758</v>
      </c>
      <c r="G83" s="220">
        <f t="shared" si="85"/>
        <v>900</v>
      </c>
      <c r="H83" s="220">
        <f t="shared" si="86"/>
        <v>964</v>
      </c>
      <c r="I83" s="220">
        <f t="shared" si="87"/>
        <v>933</v>
      </c>
      <c r="J83" s="220">
        <f t="shared" si="88"/>
        <v>837</v>
      </c>
      <c r="K83" s="220">
        <f t="shared" si="70"/>
        <v>2463</v>
      </c>
      <c r="L83" s="220">
        <f t="shared" si="70"/>
        <v>2321</v>
      </c>
      <c r="M83" s="220">
        <f t="shared" si="70"/>
        <v>2257</v>
      </c>
      <c r="N83" s="220">
        <f t="shared" si="70"/>
        <v>2288</v>
      </c>
      <c r="O83" s="220">
        <f t="shared" si="70"/>
        <v>2384</v>
      </c>
      <c r="P83" s="220">
        <f t="shared" si="93"/>
        <v>2000</v>
      </c>
      <c r="Q83" s="220">
        <f t="shared" si="93"/>
        <v>2000</v>
      </c>
      <c r="R83" s="220">
        <f t="shared" si="93"/>
        <v>2000</v>
      </c>
      <c r="S83" s="220">
        <f t="shared" si="93"/>
        <v>2000</v>
      </c>
      <c r="T83" s="220">
        <f t="shared" si="93"/>
        <v>2000</v>
      </c>
      <c r="U83" s="220">
        <f t="shared" si="94"/>
        <v>463</v>
      </c>
      <c r="V83" s="220">
        <f t="shared" si="94"/>
        <v>321</v>
      </c>
      <c r="W83" s="220">
        <f t="shared" si="94"/>
        <v>257</v>
      </c>
      <c r="X83" s="220">
        <f t="shared" si="94"/>
        <v>288</v>
      </c>
      <c r="Y83" s="220">
        <f t="shared" si="94"/>
        <v>384</v>
      </c>
      <c r="Z83" s="220">
        <v>1</v>
      </c>
      <c r="AA83" s="220">
        <v>3</v>
      </c>
      <c r="AB83" s="220">
        <v>2</v>
      </c>
      <c r="AC83" s="220">
        <v>0</v>
      </c>
      <c r="AD83" s="220">
        <v>0</v>
      </c>
      <c r="AE83" s="220">
        <f t="shared" si="95"/>
        <v>-186</v>
      </c>
      <c r="AF83" s="220">
        <f t="shared" si="95"/>
        <v>-308</v>
      </c>
      <c r="AG83" s="220">
        <f t="shared" si="95"/>
        <v>-342</v>
      </c>
      <c r="AH83" s="220">
        <f t="shared" si="95"/>
        <v>-266</v>
      </c>
      <c r="AI83" s="220">
        <f t="shared" si="95"/>
        <v>-175</v>
      </c>
      <c r="AJ83" s="50">
        <f t="shared" si="96"/>
        <v>1.4570000000000032</v>
      </c>
      <c r="AK83" s="257"/>
      <c r="AL83" s="257">
        <f t="shared" si="97"/>
        <v>1.2</v>
      </c>
      <c r="AM83" s="52"/>
      <c r="AN83" s="88"/>
    </row>
    <row r="84" spans="1:40" s="29" customFormat="1" ht="17.25" customHeight="1">
      <c r="A84" s="48">
        <v>74</v>
      </c>
      <c r="B84" s="49">
        <f t="shared" si="89"/>
        <v>45649</v>
      </c>
      <c r="C84" s="220">
        <f t="shared" si="90"/>
        <v>1049</v>
      </c>
      <c r="D84" s="220">
        <f t="shared" ref="D84" si="104">D83+32</f>
        <v>2204</v>
      </c>
      <c r="E84" s="220">
        <f t="shared" si="92"/>
        <v>3253</v>
      </c>
      <c r="F84" s="220">
        <f t="shared" si="84"/>
        <v>790</v>
      </c>
      <c r="G84" s="220">
        <f t="shared" si="85"/>
        <v>932</v>
      </c>
      <c r="H84" s="220">
        <f t="shared" si="86"/>
        <v>996</v>
      </c>
      <c r="I84" s="220">
        <f t="shared" si="87"/>
        <v>965</v>
      </c>
      <c r="J84" s="220">
        <f t="shared" si="88"/>
        <v>869</v>
      </c>
      <c r="K84" s="220">
        <f t="shared" si="70"/>
        <v>2463</v>
      </c>
      <c r="L84" s="220">
        <f t="shared" si="70"/>
        <v>2321</v>
      </c>
      <c r="M84" s="220">
        <f t="shared" si="70"/>
        <v>2257</v>
      </c>
      <c r="N84" s="220">
        <f t="shared" si="70"/>
        <v>2288</v>
      </c>
      <c r="O84" s="220">
        <f t="shared" si="70"/>
        <v>2384</v>
      </c>
      <c r="P84" s="220">
        <f t="shared" si="93"/>
        <v>2000</v>
      </c>
      <c r="Q84" s="220">
        <f t="shared" si="93"/>
        <v>2000</v>
      </c>
      <c r="R84" s="220">
        <f t="shared" si="93"/>
        <v>2000</v>
      </c>
      <c r="S84" s="220">
        <f t="shared" si="93"/>
        <v>2000</v>
      </c>
      <c r="T84" s="220">
        <f t="shared" si="93"/>
        <v>2000</v>
      </c>
      <c r="U84" s="220">
        <f t="shared" si="94"/>
        <v>463</v>
      </c>
      <c r="V84" s="220">
        <f t="shared" si="94"/>
        <v>321</v>
      </c>
      <c r="W84" s="220">
        <f t="shared" si="94"/>
        <v>257</v>
      </c>
      <c r="X84" s="220">
        <f t="shared" si="94"/>
        <v>288</v>
      </c>
      <c r="Y84" s="220">
        <f t="shared" si="94"/>
        <v>384</v>
      </c>
      <c r="Z84" s="220">
        <v>0</v>
      </c>
      <c r="AA84" s="220">
        <v>0</v>
      </c>
      <c r="AB84" s="220">
        <v>0</v>
      </c>
      <c r="AC84" s="220">
        <v>0</v>
      </c>
      <c r="AD84" s="220">
        <v>0</v>
      </c>
      <c r="AE84" s="220">
        <f t="shared" si="95"/>
        <v>-186</v>
      </c>
      <c r="AF84" s="220">
        <f t="shared" si="95"/>
        <v>-308</v>
      </c>
      <c r="AG84" s="220">
        <f t="shared" si="95"/>
        <v>-342</v>
      </c>
      <c r="AH84" s="220">
        <f t="shared" si="95"/>
        <v>-266</v>
      </c>
      <c r="AI84" s="220">
        <f t="shared" si="95"/>
        <v>-175</v>
      </c>
      <c r="AJ84" s="50">
        <f t="shared" si="96"/>
        <v>1.4570000000000032</v>
      </c>
      <c r="AK84" s="257"/>
      <c r="AL84" s="257">
        <f t="shared" si="97"/>
        <v>1.2</v>
      </c>
      <c r="AM84" s="52"/>
      <c r="AN84" s="88"/>
    </row>
    <row r="85" spans="1:40" s="29" customFormat="1" ht="17.25" customHeight="1">
      <c r="A85" s="48">
        <v>75</v>
      </c>
      <c r="B85" s="49">
        <f t="shared" si="89"/>
        <v>45650</v>
      </c>
      <c r="C85" s="220">
        <f t="shared" si="90"/>
        <v>1049</v>
      </c>
      <c r="D85" s="220">
        <f t="shared" ref="D85" si="105">D84-18</f>
        <v>2186</v>
      </c>
      <c r="E85" s="220">
        <f t="shared" si="92"/>
        <v>3235</v>
      </c>
      <c r="F85" s="220">
        <f t="shared" si="84"/>
        <v>773</v>
      </c>
      <c r="G85" s="220">
        <f t="shared" si="85"/>
        <v>918</v>
      </c>
      <c r="H85" s="220">
        <f t="shared" si="86"/>
        <v>981</v>
      </c>
      <c r="I85" s="220">
        <f t="shared" si="87"/>
        <v>948</v>
      </c>
      <c r="J85" s="220">
        <f t="shared" si="88"/>
        <v>851</v>
      </c>
      <c r="K85" s="220">
        <f t="shared" si="70"/>
        <v>2462</v>
      </c>
      <c r="L85" s="220">
        <f t="shared" si="70"/>
        <v>2317</v>
      </c>
      <c r="M85" s="220">
        <f t="shared" si="70"/>
        <v>2254</v>
      </c>
      <c r="N85" s="220">
        <f t="shared" si="70"/>
        <v>2287</v>
      </c>
      <c r="O85" s="220">
        <f t="shared" si="70"/>
        <v>2384</v>
      </c>
      <c r="P85" s="220">
        <f t="shared" si="93"/>
        <v>2000</v>
      </c>
      <c r="Q85" s="220">
        <f t="shared" si="93"/>
        <v>2000</v>
      </c>
      <c r="R85" s="220">
        <f t="shared" si="93"/>
        <v>2000</v>
      </c>
      <c r="S85" s="220">
        <f t="shared" si="93"/>
        <v>2000</v>
      </c>
      <c r="T85" s="220">
        <f t="shared" si="93"/>
        <v>2000</v>
      </c>
      <c r="U85" s="220">
        <f t="shared" si="94"/>
        <v>462</v>
      </c>
      <c r="V85" s="220">
        <f t="shared" si="94"/>
        <v>317</v>
      </c>
      <c r="W85" s="220">
        <f t="shared" si="94"/>
        <v>254</v>
      </c>
      <c r="X85" s="220">
        <f t="shared" si="94"/>
        <v>287</v>
      </c>
      <c r="Y85" s="220">
        <f t="shared" si="94"/>
        <v>384</v>
      </c>
      <c r="Z85" s="220">
        <v>1</v>
      </c>
      <c r="AA85" s="220">
        <v>4</v>
      </c>
      <c r="AB85" s="220">
        <v>3</v>
      </c>
      <c r="AC85" s="220">
        <v>1</v>
      </c>
      <c r="AD85" s="220">
        <v>0</v>
      </c>
      <c r="AE85" s="220">
        <f t="shared" si="95"/>
        <v>-187</v>
      </c>
      <c r="AF85" s="220">
        <f t="shared" si="95"/>
        <v>-312</v>
      </c>
      <c r="AG85" s="220">
        <f t="shared" si="95"/>
        <v>-345</v>
      </c>
      <c r="AH85" s="220">
        <f t="shared" si="95"/>
        <v>-267</v>
      </c>
      <c r="AI85" s="220">
        <f t="shared" si="95"/>
        <v>-175</v>
      </c>
      <c r="AJ85" s="50">
        <f t="shared" si="96"/>
        <v>1.4540000000000033</v>
      </c>
      <c r="AK85" s="257"/>
      <c r="AL85" s="257">
        <f t="shared" si="97"/>
        <v>1.2</v>
      </c>
      <c r="AM85" s="52"/>
      <c r="AN85" s="88"/>
    </row>
    <row r="86" spans="1:40" s="29" customFormat="1" ht="17.25" customHeight="1">
      <c r="A86" s="48">
        <v>76</v>
      </c>
      <c r="B86" s="49">
        <f t="shared" si="89"/>
        <v>45651</v>
      </c>
      <c r="C86" s="220">
        <f t="shared" si="90"/>
        <v>1049</v>
      </c>
      <c r="D86" s="220">
        <f t="shared" ref="D86" si="106">D85-26</f>
        <v>2160</v>
      </c>
      <c r="E86" s="220">
        <f t="shared" si="92"/>
        <v>3209</v>
      </c>
      <c r="F86" s="220">
        <f t="shared" si="84"/>
        <v>747</v>
      </c>
      <c r="G86" s="220">
        <f t="shared" si="85"/>
        <v>896</v>
      </c>
      <c r="H86" s="220">
        <f t="shared" si="86"/>
        <v>955</v>
      </c>
      <c r="I86" s="220">
        <f t="shared" si="87"/>
        <v>923</v>
      </c>
      <c r="J86" s="220">
        <f t="shared" si="88"/>
        <v>825</v>
      </c>
      <c r="K86" s="220">
        <f t="shared" si="70"/>
        <v>2462</v>
      </c>
      <c r="L86" s="220">
        <f t="shared" si="70"/>
        <v>2313</v>
      </c>
      <c r="M86" s="220">
        <f t="shared" si="70"/>
        <v>2254</v>
      </c>
      <c r="N86" s="220">
        <f t="shared" si="70"/>
        <v>2286</v>
      </c>
      <c r="O86" s="220">
        <f t="shared" si="70"/>
        <v>2384</v>
      </c>
      <c r="P86" s="220">
        <f t="shared" si="93"/>
        <v>2000</v>
      </c>
      <c r="Q86" s="220">
        <f t="shared" si="93"/>
        <v>2000</v>
      </c>
      <c r="R86" s="220">
        <f t="shared" si="93"/>
        <v>2000</v>
      </c>
      <c r="S86" s="220">
        <f t="shared" si="93"/>
        <v>2000</v>
      </c>
      <c r="T86" s="220">
        <f t="shared" si="93"/>
        <v>2000</v>
      </c>
      <c r="U86" s="220">
        <f t="shared" si="94"/>
        <v>462</v>
      </c>
      <c r="V86" s="220">
        <f t="shared" si="94"/>
        <v>313</v>
      </c>
      <c r="W86" s="220">
        <f t="shared" si="94"/>
        <v>254</v>
      </c>
      <c r="X86" s="220">
        <f t="shared" si="94"/>
        <v>286</v>
      </c>
      <c r="Y86" s="220">
        <f t="shared" si="94"/>
        <v>384</v>
      </c>
      <c r="Z86" s="220">
        <v>0</v>
      </c>
      <c r="AA86" s="220">
        <v>4</v>
      </c>
      <c r="AB86" s="220">
        <v>0</v>
      </c>
      <c r="AC86" s="220">
        <v>1</v>
      </c>
      <c r="AD86" s="220">
        <v>0</v>
      </c>
      <c r="AE86" s="220">
        <f t="shared" si="95"/>
        <v>-187</v>
      </c>
      <c r="AF86" s="220">
        <f t="shared" si="95"/>
        <v>-316</v>
      </c>
      <c r="AG86" s="220">
        <f t="shared" si="95"/>
        <v>-345</v>
      </c>
      <c r="AH86" s="220">
        <f t="shared" si="95"/>
        <v>-268</v>
      </c>
      <c r="AI86" s="220">
        <f t="shared" si="95"/>
        <v>-175</v>
      </c>
      <c r="AJ86" s="50">
        <f t="shared" si="96"/>
        <v>1.4540000000000033</v>
      </c>
      <c r="AK86" s="257"/>
      <c r="AL86" s="257">
        <f t="shared" si="97"/>
        <v>1.2</v>
      </c>
      <c r="AM86" s="52"/>
      <c r="AN86" s="88"/>
    </row>
    <row r="87" spans="1:40" s="29" customFormat="1" ht="17.25" customHeight="1">
      <c r="A87" s="48">
        <v>77</v>
      </c>
      <c r="B87" s="49">
        <f t="shared" si="89"/>
        <v>45652</v>
      </c>
      <c r="C87" s="220">
        <f t="shared" si="90"/>
        <v>1049</v>
      </c>
      <c r="D87" s="220">
        <f t="shared" ref="D87" si="107">D86+15</f>
        <v>2175</v>
      </c>
      <c r="E87" s="220">
        <f t="shared" si="92"/>
        <v>3224</v>
      </c>
      <c r="F87" s="220">
        <f t="shared" si="84"/>
        <v>763</v>
      </c>
      <c r="G87" s="220">
        <f t="shared" si="85"/>
        <v>914</v>
      </c>
      <c r="H87" s="220">
        <f t="shared" si="86"/>
        <v>971</v>
      </c>
      <c r="I87" s="220">
        <f t="shared" si="87"/>
        <v>938</v>
      </c>
      <c r="J87" s="220">
        <f t="shared" si="88"/>
        <v>840</v>
      </c>
      <c r="K87" s="220">
        <f t="shared" si="70"/>
        <v>2461</v>
      </c>
      <c r="L87" s="220">
        <f t="shared" si="70"/>
        <v>2310</v>
      </c>
      <c r="M87" s="220">
        <f t="shared" si="70"/>
        <v>2253</v>
      </c>
      <c r="N87" s="220">
        <f t="shared" si="70"/>
        <v>2286</v>
      </c>
      <c r="O87" s="220">
        <f t="shared" si="70"/>
        <v>2384</v>
      </c>
      <c r="P87" s="220">
        <f t="shared" si="93"/>
        <v>2000</v>
      </c>
      <c r="Q87" s="220">
        <f t="shared" si="93"/>
        <v>2000</v>
      </c>
      <c r="R87" s="220">
        <f t="shared" si="93"/>
        <v>2000</v>
      </c>
      <c r="S87" s="220">
        <f t="shared" si="93"/>
        <v>2000</v>
      </c>
      <c r="T87" s="220">
        <f t="shared" si="93"/>
        <v>2000</v>
      </c>
      <c r="U87" s="220">
        <f t="shared" si="94"/>
        <v>461</v>
      </c>
      <c r="V87" s="220">
        <f t="shared" si="94"/>
        <v>310</v>
      </c>
      <c r="W87" s="220">
        <f t="shared" si="94"/>
        <v>253</v>
      </c>
      <c r="X87" s="220">
        <f t="shared" si="94"/>
        <v>286</v>
      </c>
      <c r="Y87" s="220">
        <f t="shared" si="94"/>
        <v>384</v>
      </c>
      <c r="Z87" s="220">
        <v>1</v>
      </c>
      <c r="AA87" s="220">
        <v>3</v>
      </c>
      <c r="AB87" s="220">
        <v>1</v>
      </c>
      <c r="AC87" s="220">
        <v>0</v>
      </c>
      <c r="AD87" s="220">
        <v>0</v>
      </c>
      <c r="AE87" s="220">
        <f t="shared" si="95"/>
        <v>-188</v>
      </c>
      <c r="AF87" s="220">
        <f t="shared" si="95"/>
        <v>-319</v>
      </c>
      <c r="AG87" s="220">
        <f t="shared" si="95"/>
        <v>-346</v>
      </c>
      <c r="AH87" s="220">
        <f t="shared" si="95"/>
        <v>-268</v>
      </c>
      <c r="AI87" s="220">
        <f t="shared" si="95"/>
        <v>-175</v>
      </c>
      <c r="AJ87" s="50">
        <f t="shared" si="96"/>
        <v>1.4530000000000034</v>
      </c>
      <c r="AK87" s="257"/>
      <c r="AL87" s="257">
        <f t="shared" si="97"/>
        <v>1.2</v>
      </c>
      <c r="AM87" s="52"/>
      <c r="AN87" s="88"/>
    </row>
    <row r="88" spans="1:40" s="29" customFormat="1" ht="17.25" customHeight="1">
      <c r="A88" s="48">
        <v>78</v>
      </c>
      <c r="B88" s="49">
        <f t="shared" si="89"/>
        <v>45653</v>
      </c>
      <c r="C88" s="220">
        <f t="shared" si="90"/>
        <v>1049</v>
      </c>
      <c r="D88" s="220">
        <f t="shared" ref="D88" si="108">D87+26</f>
        <v>2201</v>
      </c>
      <c r="E88" s="220">
        <f t="shared" si="92"/>
        <v>3250</v>
      </c>
      <c r="F88" s="220">
        <f t="shared" si="84"/>
        <v>790</v>
      </c>
      <c r="G88" s="220">
        <f t="shared" si="85"/>
        <v>941</v>
      </c>
      <c r="H88" s="220">
        <f t="shared" si="86"/>
        <v>998</v>
      </c>
      <c r="I88" s="220">
        <f t="shared" si="87"/>
        <v>965</v>
      </c>
      <c r="J88" s="220">
        <f t="shared" si="88"/>
        <v>866</v>
      </c>
      <c r="K88" s="220">
        <f t="shared" si="70"/>
        <v>2460</v>
      </c>
      <c r="L88" s="220">
        <f t="shared" si="70"/>
        <v>2309</v>
      </c>
      <c r="M88" s="220">
        <f t="shared" si="70"/>
        <v>2252</v>
      </c>
      <c r="N88" s="220">
        <f t="shared" si="70"/>
        <v>2285</v>
      </c>
      <c r="O88" s="220">
        <f t="shared" si="70"/>
        <v>2384</v>
      </c>
      <c r="P88" s="220">
        <f t="shared" si="93"/>
        <v>2000</v>
      </c>
      <c r="Q88" s="220">
        <f t="shared" si="93"/>
        <v>2000</v>
      </c>
      <c r="R88" s="220">
        <f t="shared" si="93"/>
        <v>2000</v>
      </c>
      <c r="S88" s="220">
        <f t="shared" si="93"/>
        <v>2000</v>
      </c>
      <c r="T88" s="220">
        <f t="shared" si="93"/>
        <v>2000</v>
      </c>
      <c r="U88" s="220">
        <f t="shared" si="94"/>
        <v>460</v>
      </c>
      <c r="V88" s="220">
        <f t="shared" si="94"/>
        <v>309</v>
      </c>
      <c r="W88" s="220">
        <f t="shared" si="94"/>
        <v>252</v>
      </c>
      <c r="X88" s="220">
        <f t="shared" si="94"/>
        <v>285</v>
      </c>
      <c r="Y88" s="220">
        <f t="shared" si="94"/>
        <v>384</v>
      </c>
      <c r="Z88" s="220">
        <v>1</v>
      </c>
      <c r="AA88" s="220">
        <v>1</v>
      </c>
      <c r="AB88" s="220">
        <v>1</v>
      </c>
      <c r="AC88" s="220">
        <v>1</v>
      </c>
      <c r="AD88" s="220">
        <v>0</v>
      </c>
      <c r="AE88" s="220">
        <f t="shared" si="95"/>
        <v>-189</v>
      </c>
      <c r="AF88" s="220">
        <f t="shared" si="95"/>
        <v>-320</v>
      </c>
      <c r="AG88" s="220">
        <f t="shared" si="95"/>
        <v>-347</v>
      </c>
      <c r="AH88" s="220">
        <f t="shared" si="95"/>
        <v>-269</v>
      </c>
      <c r="AI88" s="220">
        <f t="shared" si="95"/>
        <v>-175</v>
      </c>
      <c r="AJ88" s="50">
        <f t="shared" si="96"/>
        <v>1.4520000000000035</v>
      </c>
      <c r="AK88" s="257"/>
      <c r="AL88" s="257">
        <f t="shared" si="97"/>
        <v>1.2</v>
      </c>
      <c r="AM88" s="52"/>
      <c r="AN88" s="88"/>
    </row>
    <row r="89" spans="1:40" s="29" customFormat="1" ht="17.25" customHeight="1">
      <c r="A89" s="48">
        <v>79</v>
      </c>
      <c r="B89" s="49">
        <f t="shared" si="89"/>
        <v>45654</v>
      </c>
      <c r="C89" s="220">
        <f t="shared" si="90"/>
        <v>1049</v>
      </c>
      <c r="D89" s="220">
        <f t="shared" ref="D89" si="109">D88+32</f>
        <v>2233</v>
      </c>
      <c r="E89" s="220">
        <f t="shared" si="92"/>
        <v>3282</v>
      </c>
      <c r="F89" s="220">
        <f t="shared" si="84"/>
        <v>822</v>
      </c>
      <c r="G89" s="220">
        <f t="shared" si="85"/>
        <v>973</v>
      </c>
      <c r="H89" s="220">
        <f t="shared" si="86"/>
        <v>1030</v>
      </c>
      <c r="I89" s="220">
        <f t="shared" si="87"/>
        <v>1000</v>
      </c>
      <c r="J89" s="220">
        <f t="shared" si="88"/>
        <v>899</v>
      </c>
      <c r="K89" s="220">
        <f t="shared" si="70"/>
        <v>2460</v>
      </c>
      <c r="L89" s="220">
        <f t="shared" si="70"/>
        <v>2309</v>
      </c>
      <c r="M89" s="220">
        <f t="shared" si="70"/>
        <v>2252</v>
      </c>
      <c r="N89" s="220">
        <f t="shared" si="70"/>
        <v>2282</v>
      </c>
      <c r="O89" s="220">
        <f t="shared" si="70"/>
        <v>2383</v>
      </c>
      <c r="P89" s="220">
        <f t="shared" si="93"/>
        <v>2000</v>
      </c>
      <c r="Q89" s="220">
        <f t="shared" si="93"/>
        <v>2000</v>
      </c>
      <c r="R89" s="220">
        <f t="shared" si="93"/>
        <v>2000</v>
      </c>
      <c r="S89" s="220">
        <f t="shared" si="93"/>
        <v>2000</v>
      </c>
      <c r="T89" s="220">
        <f t="shared" si="93"/>
        <v>2000</v>
      </c>
      <c r="U89" s="220">
        <f t="shared" si="94"/>
        <v>460</v>
      </c>
      <c r="V89" s="220">
        <f t="shared" si="94"/>
        <v>309</v>
      </c>
      <c r="W89" s="220">
        <f t="shared" si="94"/>
        <v>252</v>
      </c>
      <c r="X89" s="220">
        <f t="shared" si="94"/>
        <v>282</v>
      </c>
      <c r="Y89" s="220">
        <f t="shared" si="94"/>
        <v>383</v>
      </c>
      <c r="Z89" s="220">
        <v>0</v>
      </c>
      <c r="AA89" s="220">
        <v>0</v>
      </c>
      <c r="AB89" s="220">
        <v>0</v>
      </c>
      <c r="AC89" s="220">
        <v>3</v>
      </c>
      <c r="AD89" s="220">
        <v>1</v>
      </c>
      <c r="AE89" s="220">
        <f t="shared" si="95"/>
        <v>-189</v>
      </c>
      <c r="AF89" s="220">
        <f t="shared" si="95"/>
        <v>-320</v>
      </c>
      <c r="AG89" s="220">
        <f t="shared" si="95"/>
        <v>-347</v>
      </c>
      <c r="AH89" s="220">
        <f t="shared" si="95"/>
        <v>-272</v>
      </c>
      <c r="AI89" s="220">
        <f t="shared" si="95"/>
        <v>-176</v>
      </c>
      <c r="AJ89" s="50">
        <f t="shared" si="96"/>
        <v>1.4520000000000035</v>
      </c>
      <c r="AK89" s="257"/>
      <c r="AL89" s="257">
        <f t="shared" si="97"/>
        <v>1.2</v>
      </c>
      <c r="AM89" s="52"/>
      <c r="AN89" s="88"/>
    </row>
    <row r="90" spans="1:40" s="29" customFormat="1" ht="17.25" customHeight="1">
      <c r="A90" s="48">
        <v>80</v>
      </c>
      <c r="B90" s="49">
        <f t="shared" si="89"/>
        <v>45655</v>
      </c>
      <c r="C90" s="220">
        <f t="shared" si="90"/>
        <v>1049</v>
      </c>
      <c r="D90" s="220">
        <f t="shared" ref="D90" si="110">D89-18</f>
        <v>2215</v>
      </c>
      <c r="E90" s="220">
        <f t="shared" si="92"/>
        <v>3264</v>
      </c>
      <c r="F90" s="220">
        <f t="shared" si="84"/>
        <v>804</v>
      </c>
      <c r="G90" s="220">
        <f t="shared" si="85"/>
        <v>956</v>
      </c>
      <c r="H90" s="220">
        <f t="shared" si="86"/>
        <v>1012</v>
      </c>
      <c r="I90" s="220">
        <f t="shared" si="87"/>
        <v>983</v>
      </c>
      <c r="J90" s="220">
        <f t="shared" si="88"/>
        <v>881</v>
      </c>
      <c r="K90" s="220">
        <f t="shared" si="70"/>
        <v>2460</v>
      </c>
      <c r="L90" s="220">
        <f t="shared" si="70"/>
        <v>2308</v>
      </c>
      <c r="M90" s="220">
        <f t="shared" si="70"/>
        <v>2252</v>
      </c>
      <c r="N90" s="220">
        <f t="shared" si="70"/>
        <v>2281</v>
      </c>
      <c r="O90" s="220">
        <f t="shared" si="70"/>
        <v>2383</v>
      </c>
      <c r="P90" s="220">
        <f t="shared" si="93"/>
        <v>2000</v>
      </c>
      <c r="Q90" s="220">
        <f t="shared" si="93"/>
        <v>2000</v>
      </c>
      <c r="R90" s="220">
        <f t="shared" si="93"/>
        <v>2000</v>
      </c>
      <c r="S90" s="220">
        <f t="shared" si="93"/>
        <v>2000</v>
      </c>
      <c r="T90" s="220">
        <f t="shared" si="93"/>
        <v>2000</v>
      </c>
      <c r="U90" s="220">
        <f t="shared" si="94"/>
        <v>460</v>
      </c>
      <c r="V90" s="220">
        <f t="shared" si="94"/>
        <v>308</v>
      </c>
      <c r="W90" s="220">
        <f t="shared" si="94"/>
        <v>252</v>
      </c>
      <c r="X90" s="220">
        <f t="shared" si="94"/>
        <v>281</v>
      </c>
      <c r="Y90" s="220">
        <f t="shared" si="94"/>
        <v>383</v>
      </c>
      <c r="Z90" s="220">
        <v>0</v>
      </c>
      <c r="AA90" s="220">
        <v>1</v>
      </c>
      <c r="AB90" s="220">
        <v>0</v>
      </c>
      <c r="AC90" s="220">
        <v>1</v>
      </c>
      <c r="AD90" s="220">
        <v>0</v>
      </c>
      <c r="AE90" s="220">
        <f t="shared" si="95"/>
        <v>-189</v>
      </c>
      <c r="AF90" s="220">
        <f t="shared" si="95"/>
        <v>-321</v>
      </c>
      <c r="AG90" s="220">
        <f t="shared" si="95"/>
        <v>-347</v>
      </c>
      <c r="AH90" s="220">
        <f t="shared" si="95"/>
        <v>-273</v>
      </c>
      <c r="AI90" s="220">
        <f t="shared" si="95"/>
        <v>-176</v>
      </c>
      <c r="AJ90" s="50">
        <f t="shared" si="96"/>
        <v>1.4520000000000035</v>
      </c>
      <c r="AK90" s="257"/>
      <c r="AL90" s="257">
        <f t="shared" si="97"/>
        <v>1.2</v>
      </c>
      <c r="AM90" s="52"/>
      <c r="AN90" s="88"/>
    </row>
    <row r="91" spans="1:40" s="29" customFormat="1" ht="17.25" customHeight="1">
      <c r="A91" s="48">
        <v>81</v>
      </c>
      <c r="B91" s="49">
        <f t="shared" si="89"/>
        <v>45656</v>
      </c>
      <c r="C91" s="220">
        <f t="shared" si="90"/>
        <v>1049</v>
      </c>
      <c r="D91" s="220">
        <f t="shared" ref="D91" si="111">D90-26</f>
        <v>2189</v>
      </c>
      <c r="E91" s="220">
        <f t="shared" si="92"/>
        <v>3238</v>
      </c>
      <c r="F91" s="220">
        <f t="shared" si="84"/>
        <v>779</v>
      </c>
      <c r="G91" s="220">
        <f t="shared" si="85"/>
        <v>932</v>
      </c>
      <c r="H91" s="220">
        <f t="shared" si="86"/>
        <v>989</v>
      </c>
      <c r="I91" s="220">
        <f t="shared" si="87"/>
        <v>959</v>
      </c>
      <c r="J91" s="220">
        <f t="shared" si="88"/>
        <v>855</v>
      </c>
      <c r="K91" s="220">
        <f t="shared" si="70"/>
        <v>2459</v>
      </c>
      <c r="L91" s="220">
        <f t="shared" si="70"/>
        <v>2306</v>
      </c>
      <c r="M91" s="220">
        <f t="shared" si="70"/>
        <v>2249</v>
      </c>
      <c r="N91" s="220">
        <f t="shared" si="70"/>
        <v>2279</v>
      </c>
      <c r="O91" s="220">
        <f t="shared" si="70"/>
        <v>2383</v>
      </c>
      <c r="P91" s="220">
        <f t="shared" si="93"/>
        <v>2000</v>
      </c>
      <c r="Q91" s="220">
        <f t="shared" si="93"/>
        <v>2000</v>
      </c>
      <c r="R91" s="220">
        <f t="shared" si="93"/>
        <v>2000</v>
      </c>
      <c r="S91" s="220">
        <f t="shared" si="93"/>
        <v>2000</v>
      </c>
      <c r="T91" s="220">
        <f t="shared" si="93"/>
        <v>2000</v>
      </c>
      <c r="U91" s="220">
        <f t="shared" si="94"/>
        <v>459</v>
      </c>
      <c r="V91" s="220">
        <f t="shared" si="94"/>
        <v>306</v>
      </c>
      <c r="W91" s="220">
        <f t="shared" si="94"/>
        <v>249</v>
      </c>
      <c r="X91" s="220">
        <f t="shared" si="94"/>
        <v>279</v>
      </c>
      <c r="Y91" s="220">
        <f t="shared" si="94"/>
        <v>383</v>
      </c>
      <c r="Z91" s="220">
        <v>1</v>
      </c>
      <c r="AA91" s="220">
        <v>2</v>
      </c>
      <c r="AB91" s="220">
        <v>3</v>
      </c>
      <c r="AC91" s="220">
        <v>2</v>
      </c>
      <c r="AD91" s="220">
        <v>0</v>
      </c>
      <c r="AE91" s="220">
        <f t="shared" si="95"/>
        <v>-190</v>
      </c>
      <c r="AF91" s="220">
        <f t="shared" si="95"/>
        <v>-323</v>
      </c>
      <c r="AG91" s="220">
        <f t="shared" si="95"/>
        <v>-350</v>
      </c>
      <c r="AH91" s="220">
        <f t="shared" si="95"/>
        <v>-275</v>
      </c>
      <c r="AI91" s="220">
        <f t="shared" si="95"/>
        <v>-176</v>
      </c>
      <c r="AJ91" s="50">
        <f t="shared" si="96"/>
        <v>1.4490000000000036</v>
      </c>
      <c r="AK91" s="257"/>
      <c r="AL91" s="257">
        <f t="shared" si="97"/>
        <v>1.2</v>
      </c>
      <c r="AM91" s="52"/>
      <c r="AN91" s="88"/>
    </row>
    <row r="92" spans="1:40" s="29" customFormat="1" ht="17.25" customHeight="1">
      <c r="A92" s="48">
        <v>82</v>
      </c>
      <c r="B92" s="49">
        <f t="shared" si="89"/>
        <v>45657</v>
      </c>
      <c r="C92" s="220">
        <f t="shared" si="90"/>
        <v>1049</v>
      </c>
      <c r="D92" s="220">
        <f t="shared" ref="D92" si="112">D91+15</f>
        <v>2204</v>
      </c>
      <c r="E92" s="220">
        <f t="shared" si="92"/>
        <v>3253</v>
      </c>
      <c r="F92" s="220">
        <f t="shared" si="84"/>
        <v>795</v>
      </c>
      <c r="G92" s="220">
        <f t="shared" si="85"/>
        <v>949</v>
      </c>
      <c r="H92" s="220">
        <f t="shared" si="86"/>
        <v>1005</v>
      </c>
      <c r="I92" s="220">
        <f t="shared" si="87"/>
        <v>976</v>
      </c>
      <c r="J92" s="220">
        <f t="shared" si="88"/>
        <v>871</v>
      </c>
      <c r="K92" s="220">
        <f t="shared" si="70"/>
        <v>2458</v>
      </c>
      <c r="L92" s="220">
        <f t="shared" si="70"/>
        <v>2304</v>
      </c>
      <c r="M92" s="220">
        <f t="shared" si="70"/>
        <v>2248</v>
      </c>
      <c r="N92" s="220">
        <f t="shared" si="70"/>
        <v>2277</v>
      </c>
      <c r="O92" s="220">
        <f t="shared" si="70"/>
        <v>2382</v>
      </c>
      <c r="P92" s="220">
        <f t="shared" si="93"/>
        <v>2000</v>
      </c>
      <c r="Q92" s="220">
        <f t="shared" si="93"/>
        <v>2000</v>
      </c>
      <c r="R92" s="220">
        <f t="shared" si="93"/>
        <v>2000</v>
      </c>
      <c r="S92" s="220">
        <f t="shared" si="93"/>
        <v>2000</v>
      </c>
      <c r="T92" s="220">
        <f t="shared" si="93"/>
        <v>2000</v>
      </c>
      <c r="U92" s="220">
        <f t="shared" si="94"/>
        <v>458</v>
      </c>
      <c r="V92" s="220">
        <f t="shared" si="94"/>
        <v>304</v>
      </c>
      <c r="W92" s="220">
        <f t="shared" si="94"/>
        <v>248</v>
      </c>
      <c r="X92" s="220">
        <f t="shared" si="94"/>
        <v>277</v>
      </c>
      <c r="Y92" s="220">
        <f t="shared" si="94"/>
        <v>382</v>
      </c>
      <c r="Z92" s="220">
        <v>1</v>
      </c>
      <c r="AA92" s="220">
        <v>2</v>
      </c>
      <c r="AB92" s="220">
        <v>1</v>
      </c>
      <c r="AC92" s="220">
        <v>2</v>
      </c>
      <c r="AD92" s="220">
        <v>1</v>
      </c>
      <c r="AE92" s="220">
        <f t="shared" si="95"/>
        <v>-191</v>
      </c>
      <c r="AF92" s="220">
        <f t="shared" si="95"/>
        <v>-325</v>
      </c>
      <c r="AG92" s="220">
        <f t="shared" si="95"/>
        <v>-351</v>
      </c>
      <c r="AH92" s="220">
        <f t="shared" si="95"/>
        <v>-277</v>
      </c>
      <c r="AI92" s="220">
        <f t="shared" si="95"/>
        <v>-177</v>
      </c>
      <c r="AJ92" s="50">
        <f t="shared" si="96"/>
        <v>1.4480000000000037</v>
      </c>
      <c r="AK92" s="257"/>
      <c r="AL92" s="257">
        <f t="shared" si="97"/>
        <v>1.2</v>
      </c>
      <c r="AM92" s="52"/>
      <c r="AN92" s="88"/>
    </row>
    <row r="93" spans="1:40" s="29" customFormat="1" ht="17.25" customHeight="1">
      <c r="A93" s="48">
        <v>83</v>
      </c>
      <c r="B93" s="49">
        <f t="shared" si="89"/>
        <v>45658</v>
      </c>
      <c r="C93" s="220">
        <f t="shared" si="90"/>
        <v>1049</v>
      </c>
      <c r="D93" s="220">
        <f t="shared" ref="D93" si="113">D92+26</f>
        <v>2230</v>
      </c>
      <c r="E93" s="220">
        <f t="shared" si="92"/>
        <v>3279</v>
      </c>
      <c r="F93" s="220">
        <f t="shared" si="84"/>
        <v>821</v>
      </c>
      <c r="G93" s="220">
        <f t="shared" si="85"/>
        <v>976</v>
      </c>
      <c r="H93" s="220">
        <f t="shared" si="86"/>
        <v>1031</v>
      </c>
      <c r="I93" s="220">
        <f t="shared" si="87"/>
        <v>1003</v>
      </c>
      <c r="J93" s="220">
        <f t="shared" si="88"/>
        <v>897</v>
      </c>
      <c r="K93" s="220">
        <f t="shared" si="70"/>
        <v>2458</v>
      </c>
      <c r="L93" s="220">
        <f t="shared" si="70"/>
        <v>2303</v>
      </c>
      <c r="M93" s="220">
        <f t="shared" si="70"/>
        <v>2248</v>
      </c>
      <c r="N93" s="220">
        <f t="shared" si="70"/>
        <v>2276</v>
      </c>
      <c r="O93" s="220">
        <f t="shared" si="70"/>
        <v>2382</v>
      </c>
      <c r="P93" s="220">
        <f t="shared" ref="P93:T108" si="114">+P92</f>
        <v>2000</v>
      </c>
      <c r="Q93" s="220">
        <f t="shared" si="114"/>
        <v>2000</v>
      </c>
      <c r="R93" s="220">
        <f t="shared" si="114"/>
        <v>2000</v>
      </c>
      <c r="S93" s="220">
        <f t="shared" si="114"/>
        <v>2000</v>
      </c>
      <c r="T93" s="220">
        <f t="shared" si="114"/>
        <v>2000</v>
      </c>
      <c r="U93" s="220">
        <f t="shared" ref="U93:Y108" si="115">U92-Z93</f>
        <v>458</v>
      </c>
      <c r="V93" s="220">
        <f t="shared" si="115"/>
        <v>303</v>
      </c>
      <c r="W93" s="220">
        <f t="shared" si="115"/>
        <v>248</v>
      </c>
      <c r="X93" s="220">
        <f t="shared" si="115"/>
        <v>276</v>
      </c>
      <c r="Y93" s="220">
        <f t="shared" si="115"/>
        <v>382</v>
      </c>
      <c r="Z93" s="220">
        <v>0</v>
      </c>
      <c r="AA93" s="220">
        <v>1</v>
      </c>
      <c r="AB93" s="220">
        <v>0</v>
      </c>
      <c r="AC93" s="220">
        <v>1</v>
      </c>
      <c r="AD93" s="220">
        <v>0</v>
      </c>
      <c r="AE93" s="220">
        <f t="shared" ref="AE93:AI108" si="116">AE92-Z93</f>
        <v>-191</v>
      </c>
      <c r="AF93" s="220">
        <f t="shared" si="116"/>
        <v>-326</v>
      </c>
      <c r="AG93" s="220">
        <f t="shared" si="116"/>
        <v>-351</v>
      </c>
      <c r="AH93" s="220">
        <f t="shared" si="116"/>
        <v>-278</v>
      </c>
      <c r="AI93" s="220">
        <f t="shared" si="116"/>
        <v>-177</v>
      </c>
      <c r="AJ93" s="50">
        <f t="shared" si="96"/>
        <v>1.4480000000000037</v>
      </c>
      <c r="AK93" s="257"/>
      <c r="AL93" s="257">
        <f t="shared" si="97"/>
        <v>1.2</v>
      </c>
      <c r="AM93" s="52"/>
      <c r="AN93" s="88"/>
    </row>
    <row r="94" spans="1:40" s="29" customFormat="1" ht="17.25" customHeight="1">
      <c r="A94" s="48">
        <v>84</v>
      </c>
      <c r="B94" s="49">
        <f t="shared" si="89"/>
        <v>45659</v>
      </c>
      <c r="C94" s="220">
        <f t="shared" si="90"/>
        <v>1049</v>
      </c>
      <c r="D94" s="220">
        <f t="shared" ref="D94" si="117">D93+32</f>
        <v>2262</v>
      </c>
      <c r="E94" s="220">
        <f t="shared" si="92"/>
        <v>3311</v>
      </c>
      <c r="F94" s="220">
        <f t="shared" si="84"/>
        <v>854</v>
      </c>
      <c r="G94" s="220">
        <f t="shared" si="85"/>
        <v>1011</v>
      </c>
      <c r="H94" s="220">
        <f t="shared" si="86"/>
        <v>1064</v>
      </c>
      <c r="I94" s="220">
        <f t="shared" si="87"/>
        <v>1035</v>
      </c>
      <c r="J94" s="220">
        <f t="shared" si="88"/>
        <v>929</v>
      </c>
      <c r="K94" s="220">
        <f t="shared" si="70"/>
        <v>2457</v>
      </c>
      <c r="L94" s="220">
        <f t="shared" si="70"/>
        <v>2300</v>
      </c>
      <c r="M94" s="220">
        <f t="shared" si="70"/>
        <v>2247</v>
      </c>
      <c r="N94" s="220">
        <f t="shared" si="70"/>
        <v>2276</v>
      </c>
      <c r="O94" s="220">
        <f t="shared" si="70"/>
        <v>2382</v>
      </c>
      <c r="P94" s="220">
        <f t="shared" si="114"/>
        <v>2000</v>
      </c>
      <c r="Q94" s="220">
        <f t="shared" si="114"/>
        <v>2000</v>
      </c>
      <c r="R94" s="220">
        <f t="shared" si="114"/>
        <v>2000</v>
      </c>
      <c r="S94" s="220">
        <f t="shared" si="114"/>
        <v>2000</v>
      </c>
      <c r="T94" s="220">
        <f t="shared" si="114"/>
        <v>2000</v>
      </c>
      <c r="U94" s="220">
        <f t="shared" si="115"/>
        <v>457</v>
      </c>
      <c r="V94" s="220">
        <f t="shared" si="115"/>
        <v>300</v>
      </c>
      <c r="W94" s="220">
        <f t="shared" si="115"/>
        <v>247</v>
      </c>
      <c r="X94" s="220">
        <f t="shared" si="115"/>
        <v>276</v>
      </c>
      <c r="Y94" s="220">
        <f t="shared" si="115"/>
        <v>382</v>
      </c>
      <c r="Z94" s="220">
        <v>1</v>
      </c>
      <c r="AA94" s="220">
        <v>3</v>
      </c>
      <c r="AB94" s="220">
        <v>1</v>
      </c>
      <c r="AC94" s="220">
        <v>0</v>
      </c>
      <c r="AD94" s="220">
        <v>0</v>
      </c>
      <c r="AE94" s="220">
        <f t="shared" si="116"/>
        <v>-192</v>
      </c>
      <c r="AF94" s="220">
        <f t="shared" si="116"/>
        <v>-329</v>
      </c>
      <c r="AG94" s="220">
        <f t="shared" si="116"/>
        <v>-352</v>
      </c>
      <c r="AH94" s="220">
        <f t="shared" si="116"/>
        <v>-278</v>
      </c>
      <c r="AI94" s="220">
        <f t="shared" si="116"/>
        <v>-177</v>
      </c>
      <c r="AJ94" s="50">
        <f t="shared" si="96"/>
        <v>1.4470000000000038</v>
      </c>
      <c r="AK94" s="257"/>
      <c r="AL94" s="257">
        <f t="shared" si="97"/>
        <v>1.2</v>
      </c>
      <c r="AM94" s="52"/>
      <c r="AN94" s="88"/>
    </row>
    <row r="95" spans="1:40" s="29" customFormat="1" ht="17.25" customHeight="1">
      <c r="A95" s="48">
        <v>85</v>
      </c>
      <c r="B95" s="49">
        <f t="shared" si="89"/>
        <v>45660</v>
      </c>
      <c r="C95" s="220">
        <f t="shared" si="90"/>
        <v>1049</v>
      </c>
      <c r="D95" s="220">
        <f t="shared" ref="D95" si="118">D94-18</f>
        <v>2244</v>
      </c>
      <c r="E95" s="220">
        <f t="shared" si="92"/>
        <v>3293</v>
      </c>
      <c r="F95" s="220">
        <f t="shared" si="84"/>
        <v>836</v>
      </c>
      <c r="G95" s="220">
        <f t="shared" si="85"/>
        <v>993</v>
      </c>
      <c r="H95" s="220">
        <f t="shared" si="86"/>
        <v>1046</v>
      </c>
      <c r="I95" s="220">
        <f t="shared" si="87"/>
        <v>1020</v>
      </c>
      <c r="J95" s="220">
        <f t="shared" si="88"/>
        <v>911</v>
      </c>
      <c r="K95" s="220">
        <f t="shared" si="70"/>
        <v>2457</v>
      </c>
      <c r="L95" s="220">
        <f t="shared" si="70"/>
        <v>2300</v>
      </c>
      <c r="M95" s="220">
        <f t="shared" si="70"/>
        <v>2247</v>
      </c>
      <c r="N95" s="220">
        <f t="shared" si="70"/>
        <v>2273</v>
      </c>
      <c r="O95" s="220">
        <f t="shared" si="70"/>
        <v>2382</v>
      </c>
      <c r="P95" s="220">
        <f t="shared" si="114"/>
        <v>2000</v>
      </c>
      <c r="Q95" s="220">
        <f t="shared" si="114"/>
        <v>2000</v>
      </c>
      <c r="R95" s="220">
        <f t="shared" si="114"/>
        <v>2000</v>
      </c>
      <c r="S95" s="220">
        <f t="shared" si="114"/>
        <v>2000</v>
      </c>
      <c r="T95" s="220">
        <f t="shared" si="114"/>
        <v>2000</v>
      </c>
      <c r="U95" s="220">
        <f t="shared" si="115"/>
        <v>457</v>
      </c>
      <c r="V95" s="220">
        <f t="shared" si="115"/>
        <v>300</v>
      </c>
      <c r="W95" s="220">
        <f t="shared" si="115"/>
        <v>247</v>
      </c>
      <c r="X95" s="220">
        <f t="shared" si="115"/>
        <v>273</v>
      </c>
      <c r="Y95" s="220">
        <f t="shared" si="115"/>
        <v>382</v>
      </c>
      <c r="Z95" s="220">
        <v>0</v>
      </c>
      <c r="AA95" s="220">
        <v>0</v>
      </c>
      <c r="AB95" s="220">
        <v>0</v>
      </c>
      <c r="AC95" s="220">
        <v>3</v>
      </c>
      <c r="AD95" s="220">
        <v>0</v>
      </c>
      <c r="AE95" s="220">
        <f t="shared" si="116"/>
        <v>-192</v>
      </c>
      <c r="AF95" s="220">
        <f t="shared" si="116"/>
        <v>-329</v>
      </c>
      <c r="AG95" s="220">
        <f t="shared" si="116"/>
        <v>-352</v>
      </c>
      <c r="AH95" s="220">
        <f t="shared" si="116"/>
        <v>-281</v>
      </c>
      <c r="AI95" s="220">
        <f t="shared" si="116"/>
        <v>-177</v>
      </c>
      <c r="AJ95" s="50">
        <f t="shared" si="96"/>
        <v>1.4470000000000038</v>
      </c>
      <c r="AK95" s="257"/>
      <c r="AL95" s="257">
        <f t="shared" si="97"/>
        <v>1.2</v>
      </c>
      <c r="AM95" s="52"/>
      <c r="AN95" s="88"/>
    </row>
    <row r="96" spans="1:40" s="29" customFormat="1" ht="17.25" customHeight="1">
      <c r="A96" s="48">
        <v>86</v>
      </c>
      <c r="B96" s="49">
        <f t="shared" si="89"/>
        <v>45661</v>
      </c>
      <c r="C96" s="220">
        <f t="shared" si="90"/>
        <v>1049</v>
      </c>
      <c r="D96" s="220">
        <f t="shared" ref="D96" si="119">D95-26</f>
        <v>2218</v>
      </c>
      <c r="E96" s="220">
        <f t="shared" si="92"/>
        <v>3267</v>
      </c>
      <c r="F96" s="220">
        <f t="shared" si="84"/>
        <v>811</v>
      </c>
      <c r="G96" s="220">
        <f t="shared" si="85"/>
        <v>967</v>
      </c>
      <c r="H96" s="220">
        <f t="shared" si="86"/>
        <v>1021</v>
      </c>
      <c r="I96" s="220">
        <f t="shared" si="87"/>
        <v>994</v>
      </c>
      <c r="J96" s="220">
        <f t="shared" si="88"/>
        <v>885</v>
      </c>
      <c r="K96" s="220">
        <f t="shared" si="70"/>
        <v>2456</v>
      </c>
      <c r="L96" s="220">
        <f t="shared" si="70"/>
        <v>2300</v>
      </c>
      <c r="M96" s="220">
        <f t="shared" si="70"/>
        <v>2246</v>
      </c>
      <c r="N96" s="220">
        <f t="shared" si="70"/>
        <v>2273</v>
      </c>
      <c r="O96" s="220">
        <f t="shared" si="70"/>
        <v>2382</v>
      </c>
      <c r="P96" s="220">
        <f t="shared" si="114"/>
        <v>2000</v>
      </c>
      <c r="Q96" s="220">
        <f t="shared" si="114"/>
        <v>2000</v>
      </c>
      <c r="R96" s="220">
        <f t="shared" si="114"/>
        <v>2000</v>
      </c>
      <c r="S96" s="220">
        <f t="shared" si="114"/>
        <v>2000</v>
      </c>
      <c r="T96" s="220">
        <f t="shared" si="114"/>
        <v>2000</v>
      </c>
      <c r="U96" s="220">
        <f t="shared" si="115"/>
        <v>456</v>
      </c>
      <c r="V96" s="220">
        <f t="shared" si="115"/>
        <v>300</v>
      </c>
      <c r="W96" s="220">
        <f t="shared" si="115"/>
        <v>246</v>
      </c>
      <c r="X96" s="220">
        <f t="shared" si="115"/>
        <v>273</v>
      </c>
      <c r="Y96" s="220">
        <f t="shared" si="115"/>
        <v>382</v>
      </c>
      <c r="Z96" s="220">
        <v>1</v>
      </c>
      <c r="AA96" s="220">
        <v>0</v>
      </c>
      <c r="AB96" s="220">
        <v>1</v>
      </c>
      <c r="AC96" s="220">
        <v>0</v>
      </c>
      <c r="AD96" s="220">
        <v>0</v>
      </c>
      <c r="AE96" s="220">
        <f t="shared" si="116"/>
        <v>-193</v>
      </c>
      <c r="AF96" s="220">
        <f t="shared" si="116"/>
        <v>-329</v>
      </c>
      <c r="AG96" s="220">
        <f t="shared" si="116"/>
        <v>-353</v>
      </c>
      <c r="AH96" s="220">
        <f t="shared" si="116"/>
        <v>-281</v>
      </c>
      <c r="AI96" s="220">
        <f t="shared" si="116"/>
        <v>-177</v>
      </c>
      <c r="AJ96" s="50">
        <f t="shared" si="96"/>
        <v>1.4460000000000039</v>
      </c>
      <c r="AK96" s="257"/>
      <c r="AL96" s="257">
        <f t="shared" si="97"/>
        <v>1.2</v>
      </c>
      <c r="AM96" s="52"/>
      <c r="AN96" s="88"/>
    </row>
    <row r="97" spans="1:40" s="29" customFormat="1" ht="17.25" customHeight="1">
      <c r="A97" s="48">
        <v>87</v>
      </c>
      <c r="B97" s="49">
        <f t="shared" si="89"/>
        <v>45662</v>
      </c>
      <c r="C97" s="220">
        <f t="shared" si="90"/>
        <v>1049</v>
      </c>
      <c r="D97" s="220">
        <f t="shared" ref="D97" si="120">D96+15</f>
        <v>2233</v>
      </c>
      <c r="E97" s="220">
        <f t="shared" si="92"/>
        <v>3282</v>
      </c>
      <c r="F97" s="220">
        <f t="shared" si="84"/>
        <v>827</v>
      </c>
      <c r="G97" s="220">
        <f t="shared" si="85"/>
        <v>986</v>
      </c>
      <c r="H97" s="220">
        <f t="shared" si="86"/>
        <v>1037</v>
      </c>
      <c r="I97" s="220">
        <f t="shared" si="87"/>
        <v>1009</v>
      </c>
      <c r="J97" s="220">
        <f t="shared" si="88"/>
        <v>900</v>
      </c>
      <c r="K97" s="220">
        <f t="shared" si="70"/>
        <v>2455</v>
      </c>
      <c r="L97" s="220">
        <f t="shared" si="70"/>
        <v>2296</v>
      </c>
      <c r="M97" s="220">
        <f t="shared" si="70"/>
        <v>2245</v>
      </c>
      <c r="N97" s="220">
        <f t="shared" si="70"/>
        <v>2273</v>
      </c>
      <c r="O97" s="220">
        <f t="shared" si="70"/>
        <v>2382</v>
      </c>
      <c r="P97" s="220">
        <f t="shared" si="114"/>
        <v>2000</v>
      </c>
      <c r="Q97" s="220">
        <f t="shared" si="114"/>
        <v>2000</v>
      </c>
      <c r="R97" s="220">
        <f t="shared" si="114"/>
        <v>2000</v>
      </c>
      <c r="S97" s="220">
        <f t="shared" si="114"/>
        <v>2000</v>
      </c>
      <c r="T97" s="220">
        <f t="shared" si="114"/>
        <v>2000</v>
      </c>
      <c r="U97" s="220">
        <f t="shared" si="115"/>
        <v>455</v>
      </c>
      <c r="V97" s="220">
        <f t="shared" si="115"/>
        <v>296</v>
      </c>
      <c r="W97" s="220">
        <f t="shared" si="115"/>
        <v>245</v>
      </c>
      <c r="X97" s="220">
        <f t="shared" si="115"/>
        <v>273</v>
      </c>
      <c r="Y97" s="220">
        <f t="shared" si="115"/>
        <v>382</v>
      </c>
      <c r="Z97" s="220">
        <v>1</v>
      </c>
      <c r="AA97" s="220">
        <v>4</v>
      </c>
      <c r="AB97" s="220">
        <v>1</v>
      </c>
      <c r="AC97" s="220">
        <v>0</v>
      </c>
      <c r="AD97" s="220">
        <v>0</v>
      </c>
      <c r="AE97" s="220">
        <f t="shared" si="116"/>
        <v>-194</v>
      </c>
      <c r="AF97" s="220">
        <f t="shared" si="116"/>
        <v>-333</v>
      </c>
      <c r="AG97" s="220">
        <f t="shared" si="116"/>
        <v>-354</v>
      </c>
      <c r="AH97" s="220">
        <f t="shared" si="116"/>
        <v>-281</v>
      </c>
      <c r="AI97" s="220">
        <f t="shared" si="116"/>
        <v>-177</v>
      </c>
      <c r="AJ97" s="50">
        <f t="shared" si="96"/>
        <v>1.4450000000000041</v>
      </c>
      <c r="AK97" s="257"/>
      <c r="AL97" s="257">
        <f t="shared" si="97"/>
        <v>1.2</v>
      </c>
      <c r="AM97" s="52"/>
      <c r="AN97" s="88"/>
    </row>
    <row r="98" spans="1:40" s="29" customFormat="1" ht="17.25" customHeight="1">
      <c r="A98" s="48">
        <v>88</v>
      </c>
      <c r="B98" s="49">
        <f t="shared" si="89"/>
        <v>45663</v>
      </c>
      <c r="C98" s="220">
        <f t="shared" si="90"/>
        <v>1049</v>
      </c>
      <c r="D98" s="220">
        <f t="shared" ref="D98" si="121">D97+26</f>
        <v>2259</v>
      </c>
      <c r="E98" s="220">
        <f t="shared" si="92"/>
        <v>3308</v>
      </c>
      <c r="F98" s="220">
        <f t="shared" si="84"/>
        <v>853</v>
      </c>
      <c r="G98" s="220">
        <f t="shared" si="85"/>
        <v>1012</v>
      </c>
      <c r="H98" s="220">
        <f t="shared" si="86"/>
        <v>1063</v>
      </c>
      <c r="I98" s="220">
        <f t="shared" si="87"/>
        <v>1035</v>
      </c>
      <c r="J98" s="220">
        <f t="shared" si="88"/>
        <v>927</v>
      </c>
      <c r="K98" s="220">
        <f t="shared" si="70"/>
        <v>2455</v>
      </c>
      <c r="L98" s="220">
        <f t="shared" si="70"/>
        <v>2296</v>
      </c>
      <c r="M98" s="220">
        <f t="shared" si="70"/>
        <v>2245</v>
      </c>
      <c r="N98" s="220">
        <f t="shared" si="70"/>
        <v>2273</v>
      </c>
      <c r="O98" s="220">
        <f t="shared" si="70"/>
        <v>2381</v>
      </c>
      <c r="P98" s="220">
        <f t="shared" si="114"/>
        <v>2000</v>
      </c>
      <c r="Q98" s="220">
        <f t="shared" si="114"/>
        <v>2000</v>
      </c>
      <c r="R98" s="220">
        <f t="shared" si="114"/>
        <v>2000</v>
      </c>
      <c r="S98" s="220">
        <f t="shared" si="114"/>
        <v>2000</v>
      </c>
      <c r="T98" s="220">
        <f t="shared" si="114"/>
        <v>2000</v>
      </c>
      <c r="U98" s="220">
        <f t="shared" si="115"/>
        <v>455</v>
      </c>
      <c r="V98" s="220">
        <f t="shared" si="115"/>
        <v>296</v>
      </c>
      <c r="W98" s="220">
        <f t="shared" si="115"/>
        <v>245</v>
      </c>
      <c r="X98" s="220">
        <f t="shared" si="115"/>
        <v>273</v>
      </c>
      <c r="Y98" s="220">
        <f t="shared" si="115"/>
        <v>381</v>
      </c>
      <c r="Z98" s="220">
        <v>0</v>
      </c>
      <c r="AA98" s="220">
        <v>0</v>
      </c>
      <c r="AB98" s="220">
        <v>0</v>
      </c>
      <c r="AC98" s="220">
        <v>0</v>
      </c>
      <c r="AD98" s="220">
        <v>1</v>
      </c>
      <c r="AE98" s="220">
        <f t="shared" si="116"/>
        <v>-194</v>
      </c>
      <c r="AF98" s="220">
        <f t="shared" si="116"/>
        <v>-333</v>
      </c>
      <c r="AG98" s="220">
        <f t="shared" si="116"/>
        <v>-354</v>
      </c>
      <c r="AH98" s="220">
        <f t="shared" si="116"/>
        <v>-281</v>
      </c>
      <c r="AI98" s="220">
        <f t="shared" si="116"/>
        <v>-178</v>
      </c>
      <c r="AJ98" s="50">
        <f t="shared" si="96"/>
        <v>1.4450000000000041</v>
      </c>
      <c r="AK98" s="257"/>
      <c r="AL98" s="257">
        <f t="shared" si="97"/>
        <v>1.2</v>
      </c>
      <c r="AM98" s="52"/>
      <c r="AN98" s="88"/>
    </row>
    <row r="99" spans="1:40" s="29" customFormat="1" ht="17.25" customHeight="1">
      <c r="A99" s="48">
        <v>89</v>
      </c>
      <c r="B99" s="49">
        <f t="shared" si="89"/>
        <v>45664</v>
      </c>
      <c r="C99" s="220">
        <f t="shared" si="90"/>
        <v>1049</v>
      </c>
      <c r="D99" s="220">
        <f t="shared" ref="D99" si="122">D98+32</f>
        <v>2291</v>
      </c>
      <c r="E99" s="220">
        <f t="shared" si="92"/>
        <v>3340</v>
      </c>
      <c r="F99" s="220">
        <f t="shared" si="84"/>
        <v>886</v>
      </c>
      <c r="G99" s="220">
        <f t="shared" si="85"/>
        <v>1045</v>
      </c>
      <c r="H99" s="220">
        <f t="shared" si="86"/>
        <v>1096</v>
      </c>
      <c r="I99" s="220">
        <f t="shared" si="87"/>
        <v>1068</v>
      </c>
      <c r="J99" s="220">
        <f t="shared" si="88"/>
        <v>959</v>
      </c>
      <c r="K99" s="220">
        <f t="shared" si="70"/>
        <v>2454</v>
      </c>
      <c r="L99" s="220">
        <f t="shared" si="70"/>
        <v>2295</v>
      </c>
      <c r="M99" s="220">
        <f t="shared" si="70"/>
        <v>2244</v>
      </c>
      <c r="N99" s="220">
        <f t="shared" si="70"/>
        <v>2272</v>
      </c>
      <c r="O99" s="220">
        <f t="shared" si="70"/>
        <v>2381</v>
      </c>
      <c r="P99" s="220">
        <f t="shared" si="114"/>
        <v>2000</v>
      </c>
      <c r="Q99" s="220">
        <f t="shared" si="114"/>
        <v>2000</v>
      </c>
      <c r="R99" s="220">
        <f t="shared" si="114"/>
        <v>2000</v>
      </c>
      <c r="S99" s="220">
        <f t="shared" si="114"/>
        <v>2000</v>
      </c>
      <c r="T99" s="220">
        <f t="shared" si="114"/>
        <v>2000</v>
      </c>
      <c r="U99" s="220">
        <f t="shared" si="115"/>
        <v>454</v>
      </c>
      <c r="V99" s="220">
        <f t="shared" si="115"/>
        <v>295</v>
      </c>
      <c r="W99" s="220">
        <f t="shared" si="115"/>
        <v>244</v>
      </c>
      <c r="X99" s="220">
        <f t="shared" si="115"/>
        <v>272</v>
      </c>
      <c r="Y99" s="220">
        <f t="shared" si="115"/>
        <v>381</v>
      </c>
      <c r="Z99" s="220">
        <v>1</v>
      </c>
      <c r="AA99" s="220">
        <v>1</v>
      </c>
      <c r="AB99" s="220">
        <v>1</v>
      </c>
      <c r="AC99" s="220">
        <v>1</v>
      </c>
      <c r="AD99" s="220">
        <v>0</v>
      </c>
      <c r="AE99" s="220">
        <f t="shared" si="116"/>
        <v>-195</v>
      </c>
      <c r="AF99" s="220">
        <f t="shared" si="116"/>
        <v>-334</v>
      </c>
      <c r="AG99" s="220">
        <f t="shared" si="116"/>
        <v>-355</v>
      </c>
      <c r="AH99" s="220">
        <f t="shared" si="116"/>
        <v>-282</v>
      </c>
      <c r="AI99" s="220">
        <f t="shared" si="116"/>
        <v>-178</v>
      </c>
      <c r="AJ99" s="50">
        <f t="shared" si="96"/>
        <v>1.4440000000000042</v>
      </c>
      <c r="AK99" s="257"/>
      <c r="AL99" s="257">
        <f t="shared" si="97"/>
        <v>1.2</v>
      </c>
      <c r="AM99" s="52"/>
      <c r="AN99" s="88"/>
    </row>
    <row r="100" spans="1:40" s="29" customFormat="1" ht="17.25" customHeight="1">
      <c r="A100" s="48">
        <v>90</v>
      </c>
      <c r="B100" s="49">
        <f t="shared" si="89"/>
        <v>45665</v>
      </c>
      <c r="C100" s="220">
        <f t="shared" si="90"/>
        <v>1049</v>
      </c>
      <c r="D100" s="220">
        <f t="shared" ref="D100" si="123">D99-18</f>
        <v>2273</v>
      </c>
      <c r="E100" s="220">
        <f t="shared" si="92"/>
        <v>3322</v>
      </c>
      <c r="F100" s="220">
        <f t="shared" si="84"/>
        <v>869</v>
      </c>
      <c r="G100" s="220">
        <f t="shared" si="85"/>
        <v>1027</v>
      </c>
      <c r="H100" s="220">
        <f t="shared" si="86"/>
        <v>1079</v>
      </c>
      <c r="I100" s="220">
        <f t="shared" si="87"/>
        <v>1050</v>
      </c>
      <c r="J100" s="220">
        <f t="shared" si="88"/>
        <v>943</v>
      </c>
      <c r="K100" s="220">
        <f t="shared" si="70"/>
        <v>2453</v>
      </c>
      <c r="L100" s="220">
        <f t="shared" si="70"/>
        <v>2295</v>
      </c>
      <c r="M100" s="220">
        <f t="shared" si="70"/>
        <v>2243</v>
      </c>
      <c r="N100" s="220">
        <f t="shared" si="70"/>
        <v>2272</v>
      </c>
      <c r="O100" s="220">
        <f t="shared" si="70"/>
        <v>2379</v>
      </c>
      <c r="P100" s="220">
        <f t="shared" si="114"/>
        <v>2000</v>
      </c>
      <c r="Q100" s="220">
        <f t="shared" si="114"/>
        <v>2000</v>
      </c>
      <c r="R100" s="220">
        <f t="shared" si="114"/>
        <v>2000</v>
      </c>
      <c r="S100" s="220">
        <f t="shared" si="114"/>
        <v>2000</v>
      </c>
      <c r="T100" s="220">
        <f t="shared" si="114"/>
        <v>2000</v>
      </c>
      <c r="U100" s="220">
        <f t="shared" si="115"/>
        <v>453</v>
      </c>
      <c r="V100" s="220">
        <f t="shared" si="115"/>
        <v>295</v>
      </c>
      <c r="W100" s="220">
        <f t="shared" si="115"/>
        <v>243</v>
      </c>
      <c r="X100" s="220">
        <f t="shared" si="115"/>
        <v>272</v>
      </c>
      <c r="Y100" s="220">
        <f t="shared" si="115"/>
        <v>379</v>
      </c>
      <c r="Z100" s="220">
        <v>1</v>
      </c>
      <c r="AA100" s="220">
        <v>0</v>
      </c>
      <c r="AB100" s="220">
        <v>1</v>
      </c>
      <c r="AC100" s="220">
        <v>0</v>
      </c>
      <c r="AD100" s="220">
        <v>2</v>
      </c>
      <c r="AE100" s="220">
        <f t="shared" si="116"/>
        <v>-196</v>
      </c>
      <c r="AF100" s="220">
        <f t="shared" si="116"/>
        <v>-334</v>
      </c>
      <c r="AG100" s="220">
        <f t="shared" si="116"/>
        <v>-356</v>
      </c>
      <c r="AH100" s="220">
        <f t="shared" si="116"/>
        <v>-282</v>
      </c>
      <c r="AI100" s="220">
        <f t="shared" si="116"/>
        <v>-180</v>
      </c>
      <c r="AJ100" s="50">
        <f t="shared" si="96"/>
        <v>1.4430000000000043</v>
      </c>
      <c r="AK100" s="257"/>
      <c r="AL100" s="257">
        <f t="shared" si="97"/>
        <v>1.2</v>
      </c>
      <c r="AM100" s="52"/>
      <c r="AN100" s="88"/>
    </row>
    <row r="101" spans="1:40" s="29" customFormat="1" ht="17.25" customHeight="1">
      <c r="A101" s="48">
        <v>91</v>
      </c>
      <c r="B101" s="49">
        <f t="shared" si="89"/>
        <v>45666</v>
      </c>
      <c r="C101" s="220">
        <f t="shared" si="90"/>
        <v>1049</v>
      </c>
      <c r="D101" s="220">
        <f t="shared" ref="D101" si="124">D100-26</f>
        <v>2247</v>
      </c>
      <c r="E101" s="220">
        <f t="shared" si="92"/>
        <v>3296</v>
      </c>
      <c r="F101" s="220">
        <f t="shared" si="84"/>
        <v>843</v>
      </c>
      <c r="G101" s="220">
        <f t="shared" si="85"/>
        <v>1005</v>
      </c>
      <c r="H101" s="220">
        <f t="shared" si="86"/>
        <v>1053</v>
      </c>
      <c r="I101" s="220">
        <f t="shared" si="87"/>
        <v>1024</v>
      </c>
      <c r="J101" s="220">
        <f t="shared" si="88"/>
        <v>917</v>
      </c>
      <c r="K101" s="220">
        <f t="shared" si="70"/>
        <v>2453</v>
      </c>
      <c r="L101" s="220">
        <f t="shared" si="70"/>
        <v>2291</v>
      </c>
      <c r="M101" s="220">
        <f t="shared" si="70"/>
        <v>2243</v>
      </c>
      <c r="N101" s="220">
        <f t="shared" si="70"/>
        <v>2272</v>
      </c>
      <c r="O101" s="220">
        <f t="shared" si="70"/>
        <v>2379</v>
      </c>
      <c r="P101" s="220">
        <f t="shared" si="114"/>
        <v>2000</v>
      </c>
      <c r="Q101" s="220">
        <f t="shared" si="114"/>
        <v>2000</v>
      </c>
      <c r="R101" s="220">
        <f t="shared" si="114"/>
        <v>2000</v>
      </c>
      <c r="S101" s="220">
        <f t="shared" si="114"/>
        <v>2000</v>
      </c>
      <c r="T101" s="220">
        <f t="shared" si="114"/>
        <v>2000</v>
      </c>
      <c r="U101" s="220">
        <f t="shared" si="115"/>
        <v>453</v>
      </c>
      <c r="V101" s="220">
        <f t="shared" si="115"/>
        <v>291</v>
      </c>
      <c r="W101" s="220">
        <f t="shared" si="115"/>
        <v>243</v>
      </c>
      <c r="X101" s="220">
        <f t="shared" si="115"/>
        <v>272</v>
      </c>
      <c r="Y101" s="220">
        <f t="shared" si="115"/>
        <v>379</v>
      </c>
      <c r="Z101" s="220">
        <v>0</v>
      </c>
      <c r="AA101" s="220">
        <v>4</v>
      </c>
      <c r="AB101" s="220">
        <v>0</v>
      </c>
      <c r="AC101" s="220">
        <v>0</v>
      </c>
      <c r="AD101" s="220">
        <v>0</v>
      </c>
      <c r="AE101" s="220">
        <f t="shared" si="116"/>
        <v>-196</v>
      </c>
      <c r="AF101" s="220">
        <f t="shared" si="116"/>
        <v>-338</v>
      </c>
      <c r="AG101" s="220">
        <f t="shared" si="116"/>
        <v>-356</v>
      </c>
      <c r="AH101" s="220">
        <f t="shared" si="116"/>
        <v>-282</v>
      </c>
      <c r="AI101" s="220">
        <f t="shared" si="116"/>
        <v>-180</v>
      </c>
      <c r="AJ101" s="50">
        <f t="shared" si="96"/>
        <v>1.4430000000000043</v>
      </c>
      <c r="AK101" s="257"/>
      <c r="AL101" s="257">
        <f t="shared" si="97"/>
        <v>1.2</v>
      </c>
      <c r="AM101" s="52"/>
      <c r="AN101" s="88"/>
    </row>
    <row r="102" spans="1:40" s="29" customFormat="1" ht="17.25" customHeight="1">
      <c r="A102" s="48">
        <v>92</v>
      </c>
      <c r="B102" s="49">
        <f t="shared" si="89"/>
        <v>45667</v>
      </c>
      <c r="C102" s="220">
        <f t="shared" si="90"/>
        <v>1049</v>
      </c>
      <c r="D102" s="220">
        <f t="shared" ref="D102" si="125">D101+15</f>
        <v>2262</v>
      </c>
      <c r="E102" s="220">
        <f t="shared" si="92"/>
        <v>3311</v>
      </c>
      <c r="F102" s="220">
        <f t="shared" si="84"/>
        <v>859</v>
      </c>
      <c r="G102" s="220">
        <f t="shared" si="85"/>
        <v>1020</v>
      </c>
      <c r="H102" s="220">
        <f t="shared" si="86"/>
        <v>1069</v>
      </c>
      <c r="I102" s="220">
        <f t="shared" si="87"/>
        <v>1039</v>
      </c>
      <c r="J102" s="220">
        <f t="shared" si="88"/>
        <v>932</v>
      </c>
      <c r="K102" s="220">
        <f t="shared" si="70"/>
        <v>2452</v>
      </c>
      <c r="L102" s="220">
        <f t="shared" si="70"/>
        <v>2291</v>
      </c>
      <c r="M102" s="220">
        <f t="shared" si="70"/>
        <v>2242</v>
      </c>
      <c r="N102" s="220">
        <f t="shared" si="70"/>
        <v>2272</v>
      </c>
      <c r="O102" s="220">
        <f t="shared" si="70"/>
        <v>2379</v>
      </c>
      <c r="P102" s="220">
        <f t="shared" si="114"/>
        <v>2000</v>
      </c>
      <c r="Q102" s="220">
        <f t="shared" si="114"/>
        <v>2000</v>
      </c>
      <c r="R102" s="220">
        <f t="shared" si="114"/>
        <v>2000</v>
      </c>
      <c r="S102" s="220">
        <f t="shared" si="114"/>
        <v>2000</v>
      </c>
      <c r="T102" s="220">
        <f t="shared" si="114"/>
        <v>2000</v>
      </c>
      <c r="U102" s="220">
        <f t="shared" si="115"/>
        <v>452</v>
      </c>
      <c r="V102" s="220">
        <f t="shared" si="115"/>
        <v>291</v>
      </c>
      <c r="W102" s="220">
        <f t="shared" si="115"/>
        <v>242</v>
      </c>
      <c r="X102" s="220">
        <f t="shared" si="115"/>
        <v>272</v>
      </c>
      <c r="Y102" s="220">
        <f t="shared" si="115"/>
        <v>379</v>
      </c>
      <c r="Z102" s="220">
        <v>1</v>
      </c>
      <c r="AA102" s="220">
        <v>0</v>
      </c>
      <c r="AB102" s="220">
        <v>1</v>
      </c>
      <c r="AC102" s="220">
        <v>0</v>
      </c>
      <c r="AD102" s="220">
        <v>0</v>
      </c>
      <c r="AE102" s="220">
        <f t="shared" si="116"/>
        <v>-197</v>
      </c>
      <c r="AF102" s="220">
        <f t="shared" si="116"/>
        <v>-338</v>
      </c>
      <c r="AG102" s="220">
        <f t="shared" si="116"/>
        <v>-357</v>
      </c>
      <c r="AH102" s="220">
        <f t="shared" si="116"/>
        <v>-282</v>
      </c>
      <c r="AI102" s="220">
        <f t="shared" si="116"/>
        <v>-180</v>
      </c>
      <c r="AJ102" s="50">
        <f t="shared" si="96"/>
        <v>1.4420000000000044</v>
      </c>
      <c r="AK102" s="257"/>
      <c r="AL102" s="257">
        <f t="shared" si="97"/>
        <v>1.2</v>
      </c>
      <c r="AM102" s="52"/>
      <c r="AN102" s="88"/>
    </row>
    <row r="103" spans="1:40" s="29" customFormat="1" ht="17.25" customHeight="1">
      <c r="A103" s="48">
        <v>93</v>
      </c>
      <c r="B103" s="49">
        <f t="shared" si="89"/>
        <v>45668</v>
      </c>
      <c r="C103" s="220">
        <f t="shared" si="90"/>
        <v>1049</v>
      </c>
      <c r="D103" s="220">
        <f t="shared" ref="D103" si="126">D102+26</f>
        <v>2288</v>
      </c>
      <c r="E103" s="220">
        <f t="shared" si="92"/>
        <v>3337</v>
      </c>
      <c r="F103" s="220">
        <f t="shared" si="84"/>
        <v>885</v>
      </c>
      <c r="G103" s="220">
        <f t="shared" si="85"/>
        <v>1048</v>
      </c>
      <c r="H103" s="220">
        <f t="shared" si="86"/>
        <v>1095</v>
      </c>
      <c r="I103" s="220">
        <f t="shared" si="87"/>
        <v>1067</v>
      </c>
      <c r="J103" s="220">
        <f t="shared" si="88"/>
        <v>958</v>
      </c>
      <c r="K103" s="220">
        <f t="shared" si="70"/>
        <v>2452</v>
      </c>
      <c r="L103" s="220">
        <f t="shared" si="70"/>
        <v>2289</v>
      </c>
      <c r="M103" s="220">
        <f t="shared" si="70"/>
        <v>2242</v>
      </c>
      <c r="N103" s="220">
        <f t="shared" si="70"/>
        <v>2270</v>
      </c>
      <c r="O103" s="220">
        <f t="shared" si="70"/>
        <v>2379</v>
      </c>
      <c r="P103" s="220">
        <f t="shared" si="114"/>
        <v>2000</v>
      </c>
      <c r="Q103" s="220">
        <f t="shared" si="114"/>
        <v>2000</v>
      </c>
      <c r="R103" s="220">
        <f t="shared" si="114"/>
        <v>2000</v>
      </c>
      <c r="S103" s="220">
        <f t="shared" si="114"/>
        <v>2000</v>
      </c>
      <c r="T103" s="220">
        <f t="shared" si="114"/>
        <v>2000</v>
      </c>
      <c r="U103" s="220">
        <f t="shared" si="115"/>
        <v>452</v>
      </c>
      <c r="V103" s="220">
        <f t="shared" si="115"/>
        <v>289</v>
      </c>
      <c r="W103" s="220">
        <f t="shared" si="115"/>
        <v>242</v>
      </c>
      <c r="X103" s="220">
        <f t="shared" si="115"/>
        <v>270</v>
      </c>
      <c r="Y103" s="220">
        <f t="shared" si="115"/>
        <v>379</v>
      </c>
      <c r="Z103" s="220">
        <v>0</v>
      </c>
      <c r="AA103" s="220">
        <v>2</v>
      </c>
      <c r="AB103" s="220">
        <v>0</v>
      </c>
      <c r="AC103" s="220">
        <v>2</v>
      </c>
      <c r="AD103" s="220">
        <v>0</v>
      </c>
      <c r="AE103" s="220">
        <f t="shared" si="116"/>
        <v>-197</v>
      </c>
      <c r="AF103" s="220">
        <f t="shared" si="116"/>
        <v>-340</v>
      </c>
      <c r="AG103" s="220">
        <f t="shared" si="116"/>
        <v>-357</v>
      </c>
      <c r="AH103" s="220">
        <f t="shared" si="116"/>
        <v>-284</v>
      </c>
      <c r="AI103" s="220">
        <f t="shared" si="116"/>
        <v>-180</v>
      </c>
      <c r="AJ103" s="50">
        <f t="shared" si="96"/>
        <v>1.4420000000000044</v>
      </c>
      <c r="AK103" s="257"/>
      <c r="AL103" s="257">
        <f t="shared" si="97"/>
        <v>1.2</v>
      </c>
      <c r="AM103" s="52"/>
      <c r="AN103" s="88"/>
    </row>
    <row r="104" spans="1:40" s="29" customFormat="1" ht="17.25" customHeight="1">
      <c r="A104" s="48">
        <v>94</v>
      </c>
      <c r="B104" s="49">
        <f t="shared" si="89"/>
        <v>45669</v>
      </c>
      <c r="C104" s="220">
        <f t="shared" si="90"/>
        <v>1049</v>
      </c>
      <c r="D104" s="220">
        <f t="shared" ref="D104" si="127">D103+32</f>
        <v>2320</v>
      </c>
      <c r="E104" s="220">
        <f t="shared" si="92"/>
        <v>3369</v>
      </c>
      <c r="F104" s="220">
        <f t="shared" si="84"/>
        <v>917</v>
      </c>
      <c r="G104" s="220">
        <f t="shared" si="85"/>
        <v>1080</v>
      </c>
      <c r="H104" s="220">
        <f t="shared" si="86"/>
        <v>1127</v>
      </c>
      <c r="I104" s="220">
        <f t="shared" si="87"/>
        <v>1099</v>
      </c>
      <c r="J104" s="220">
        <f t="shared" si="88"/>
        <v>990</v>
      </c>
      <c r="K104" s="220">
        <f t="shared" si="70"/>
        <v>2452</v>
      </c>
      <c r="L104" s="220">
        <f t="shared" si="70"/>
        <v>2289</v>
      </c>
      <c r="M104" s="220">
        <f t="shared" si="70"/>
        <v>2242</v>
      </c>
      <c r="N104" s="220">
        <f t="shared" si="70"/>
        <v>2270</v>
      </c>
      <c r="O104" s="220">
        <f t="shared" si="70"/>
        <v>2379</v>
      </c>
      <c r="P104" s="220">
        <f t="shared" si="114"/>
        <v>2000</v>
      </c>
      <c r="Q104" s="220">
        <f t="shared" si="114"/>
        <v>2000</v>
      </c>
      <c r="R104" s="220">
        <f t="shared" si="114"/>
        <v>2000</v>
      </c>
      <c r="S104" s="220">
        <f t="shared" si="114"/>
        <v>2000</v>
      </c>
      <c r="T104" s="220">
        <f t="shared" si="114"/>
        <v>2000</v>
      </c>
      <c r="U104" s="220">
        <f t="shared" si="115"/>
        <v>452</v>
      </c>
      <c r="V104" s="220">
        <f t="shared" si="115"/>
        <v>289</v>
      </c>
      <c r="W104" s="220">
        <f t="shared" si="115"/>
        <v>242</v>
      </c>
      <c r="X104" s="220">
        <f t="shared" si="115"/>
        <v>270</v>
      </c>
      <c r="Y104" s="220">
        <f t="shared" si="115"/>
        <v>379</v>
      </c>
      <c r="Z104" s="220">
        <v>0</v>
      </c>
      <c r="AA104" s="220">
        <v>0</v>
      </c>
      <c r="AB104" s="220">
        <v>0</v>
      </c>
      <c r="AC104" s="220">
        <v>0</v>
      </c>
      <c r="AD104" s="220">
        <v>0</v>
      </c>
      <c r="AE104" s="220">
        <f t="shared" si="116"/>
        <v>-197</v>
      </c>
      <c r="AF104" s="220">
        <f t="shared" si="116"/>
        <v>-340</v>
      </c>
      <c r="AG104" s="220">
        <f t="shared" si="116"/>
        <v>-357</v>
      </c>
      <c r="AH104" s="220">
        <f t="shared" si="116"/>
        <v>-284</v>
      </c>
      <c r="AI104" s="220">
        <f t="shared" si="116"/>
        <v>-180</v>
      </c>
      <c r="AJ104" s="50">
        <f t="shared" si="96"/>
        <v>1.4420000000000044</v>
      </c>
      <c r="AK104" s="257"/>
      <c r="AL104" s="257">
        <f t="shared" si="97"/>
        <v>1.2</v>
      </c>
      <c r="AM104" s="52"/>
      <c r="AN104" s="88"/>
    </row>
    <row r="105" spans="1:40" s="29" customFormat="1" ht="17.25" customHeight="1">
      <c r="A105" s="48">
        <v>95</v>
      </c>
      <c r="B105" s="49">
        <f t="shared" si="89"/>
        <v>45670</v>
      </c>
      <c r="C105" s="220">
        <f t="shared" si="90"/>
        <v>1049</v>
      </c>
      <c r="D105" s="220">
        <f t="shared" ref="D105" si="128">D104-18</f>
        <v>2302</v>
      </c>
      <c r="E105" s="220">
        <f t="shared" si="92"/>
        <v>3351</v>
      </c>
      <c r="F105" s="220">
        <f t="shared" si="84"/>
        <v>900</v>
      </c>
      <c r="G105" s="220">
        <f t="shared" si="85"/>
        <v>1062</v>
      </c>
      <c r="H105" s="220">
        <f t="shared" si="86"/>
        <v>1110</v>
      </c>
      <c r="I105" s="220">
        <f t="shared" si="87"/>
        <v>1081</v>
      </c>
      <c r="J105" s="220">
        <f t="shared" si="88"/>
        <v>974</v>
      </c>
      <c r="K105" s="220">
        <f t="shared" si="70"/>
        <v>2451</v>
      </c>
      <c r="L105" s="220">
        <f t="shared" si="70"/>
        <v>2289</v>
      </c>
      <c r="M105" s="220">
        <f t="shared" si="70"/>
        <v>2241</v>
      </c>
      <c r="N105" s="220">
        <f t="shared" si="70"/>
        <v>2270</v>
      </c>
      <c r="O105" s="220">
        <f t="shared" si="70"/>
        <v>2377</v>
      </c>
      <c r="P105" s="220">
        <f t="shared" si="114"/>
        <v>2000</v>
      </c>
      <c r="Q105" s="220">
        <f t="shared" si="114"/>
        <v>2000</v>
      </c>
      <c r="R105" s="220">
        <f t="shared" si="114"/>
        <v>2000</v>
      </c>
      <c r="S105" s="220">
        <f t="shared" si="114"/>
        <v>2000</v>
      </c>
      <c r="T105" s="220">
        <f t="shared" si="114"/>
        <v>2000</v>
      </c>
      <c r="U105" s="220">
        <f t="shared" si="115"/>
        <v>451</v>
      </c>
      <c r="V105" s="220">
        <f t="shared" si="115"/>
        <v>289</v>
      </c>
      <c r="W105" s="220">
        <f t="shared" si="115"/>
        <v>241</v>
      </c>
      <c r="X105" s="220">
        <f t="shared" si="115"/>
        <v>270</v>
      </c>
      <c r="Y105" s="220">
        <f t="shared" si="115"/>
        <v>377</v>
      </c>
      <c r="Z105" s="220">
        <v>1</v>
      </c>
      <c r="AA105" s="220">
        <v>0</v>
      </c>
      <c r="AB105" s="220">
        <v>1</v>
      </c>
      <c r="AC105" s="220">
        <v>0</v>
      </c>
      <c r="AD105" s="220">
        <v>2</v>
      </c>
      <c r="AE105" s="220">
        <f t="shared" si="116"/>
        <v>-198</v>
      </c>
      <c r="AF105" s="220">
        <f t="shared" si="116"/>
        <v>-340</v>
      </c>
      <c r="AG105" s="220">
        <f t="shared" si="116"/>
        <v>-358</v>
      </c>
      <c r="AH105" s="220">
        <f t="shared" si="116"/>
        <v>-284</v>
      </c>
      <c r="AI105" s="220">
        <f t="shared" si="116"/>
        <v>-182</v>
      </c>
      <c r="AJ105" s="50">
        <f t="shared" si="96"/>
        <v>1.4410000000000045</v>
      </c>
      <c r="AK105" s="257"/>
      <c r="AL105" s="257">
        <f t="shared" si="97"/>
        <v>1.2</v>
      </c>
      <c r="AM105" s="52"/>
      <c r="AN105" s="88"/>
    </row>
    <row r="106" spans="1:40" s="29" customFormat="1" ht="17.25" customHeight="1">
      <c r="A106" s="48">
        <v>96</v>
      </c>
      <c r="B106" s="49">
        <f t="shared" si="89"/>
        <v>45671</v>
      </c>
      <c r="C106" s="220">
        <f t="shared" si="90"/>
        <v>1049</v>
      </c>
      <c r="D106" s="220">
        <f t="shared" ref="D106" si="129">D105-26</f>
        <v>2276</v>
      </c>
      <c r="E106" s="220">
        <f t="shared" si="92"/>
        <v>3325</v>
      </c>
      <c r="F106" s="220">
        <f t="shared" si="84"/>
        <v>874</v>
      </c>
      <c r="G106" s="220">
        <f t="shared" si="85"/>
        <v>1036</v>
      </c>
      <c r="H106" s="220">
        <f t="shared" si="86"/>
        <v>1084</v>
      </c>
      <c r="I106" s="220">
        <f t="shared" si="87"/>
        <v>1058</v>
      </c>
      <c r="J106" s="220">
        <f t="shared" si="88"/>
        <v>948</v>
      </c>
      <c r="K106" s="220">
        <f t="shared" si="70"/>
        <v>2451</v>
      </c>
      <c r="L106" s="220">
        <f t="shared" si="70"/>
        <v>2289</v>
      </c>
      <c r="M106" s="220">
        <f t="shared" si="70"/>
        <v>2241</v>
      </c>
      <c r="N106" s="220">
        <f t="shared" si="70"/>
        <v>2267</v>
      </c>
      <c r="O106" s="220">
        <f t="shared" si="70"/>
        <v>2377</v>
      </c>
      <c r="P106" s="220">
        <f t="shared" si="114"/>
        <v>2000</v>
      </c>
      <c r="Q106" s="220">
        <f t="shared" si="114"/>
        <v>2000</v>
      </c>
      <c r="R106" s="220">
        <f t="shared" si="114"/>
        <v>2000</v>
      </c>
      <c r="S106" s="220">
        <f t="shared" si="114"/>
        <v>2000</v>
      </c>
      <c r="T106" s="220">
        <f t="shared" si="114"/>
        <v>2000</v>
      </c>
      <c r="U106" s="220">
        <f t="shared" si="115"/>
        <v>451</v>
      </c>
      <c r="V106" s="220">
        <f t="shared" si="115"/>
        <v>289</v>
      </c>
      <c r="W106" s="220">
        <f t="shared" si="115"/>
        <v>241</v>
      </c>
      <c r="X106" s="220">
        <f t="shared" si="115"/>
        <v>267</v>
      </c>
      <c r="Y106" s="220">
        <f t="shared" si="115"/>
        <v>377</v>
      </c>
      <c r="Z106" s="220">
        <v>0</v>
      </c>
      <c r="AA106" s="220">
        <v>0</v>
      </c>
      <c r="AB106" s="220">
        <v>0</v>
      </c>
      <c r="AC106" s="220">
        <v>3</v>
      </c>
      <c r="AD106" s="220">
        <v>0</v>
      </c>
      <c r="AE106" s="220">
        <f t="shared" si="116"/>
        <v>-198</v>
      </c>
      <c r="AF106" s="220">
        <f t="shared" si="116"/>
        <v>-340</v>
      </c>
      <c r="AG106" s="220">
        <f t="shared" si="116"/>
        <v>-358</v>
      </c>
      <c r="AH106" s="220">
        <f t="shared" si="116"/>
        <v>-287</v>
      </c>
      <c r="AI106" s="220">
        <f t="shared" si="116"/>
        <v>-182</v>
      </c>
      <c r="AJ106" s="50">
        <f t="shared" si="96"/>
        <v>1.4410000000000045</v>
      </c>
      <c r="AK106" s="257"/>
      <c r="AL106" s="257">
        <f t="shared" si="97"/>
        <v>1.2</v>
      </c>
      <c r="AM106" s="52"/>
      <c r="AN106" s="88"/>
    </row>
    <row r="107" spans="1:40" s="29" customFormat="1" ht="17.25" customHeight="1">
      <c r="A107" s="48">
        <v>97</v>
      </c>
      <c r="B107" s="49">
        <f t="shared" si="89"/>
        <v>45672</v>
      </c>
      <c r="C107" s="220">
        <f t="shared" si="90"/>
        <v>1049</v>
      </c>
      <c r="D107" s="220">
        <f t="shared" ref="D107" si="130">D106+15</f>
        <v>2291</v>
      </c>
      <c r="E107" s="220">
        <f t="shared" si="92"/>
        <v>3340</v>
      </c>
      <c r="F107" s="220">
        <f t="shared" si="84"/>
        <v>889</v>
      </c>
      <c r="G107" s="220">
        <f t="shared" si="85"/>
        <v>1054</v>
      </c>
      <c r="H107" s="220">
        <f t="shared" si="86"/>
        <v>1099</v>
      </c>
      <c r="I107" s="220">
        <f t="shared" si="87"/>
        <v>1073</v>
      </c>
      <c r="J107" s="220">
        <f t="shared" si="88"/>
        <v>963</v>
      </c>
      <c r="K107" s="220">
        <f t="shared" si="70"/>
        <v>2451</v>
      </c>
      <c r="L107" s="220">
        <f t="shared" si="70"/>
        <v>2286</v>
      </c>
      <c r="M107" s="220">
        <f t="shared" si="70"/>
        <v>2241</v>
      </c>
      <c r="N107" s="220">
        <f t="shared" si="70"/>
        <v>2267</v>
      </c>
      <c r="O107" s="220">
        <f t="shared" si="70"/>
        <v>2377</v>
      </c>
      <c r="P107" s="220">
        <f t="shared" si="114"/>
        <v>2000</v>
      </c>
      <c r="Q107" s="220">
        <f t="shared" si="114"/>
        <v>2000</v>
      </c>
      <c r="R107" s="220">
        <f t="shared" si="114"/>
        <v>2000</v>
      </c>
      <c r="S107" s="220">
        <f t="shared" si="114"/>
        <v>2000</v>
      </c>
      <c r="T107" s="220">
        <f t="shared" si="114"/>
        <v>2000</v>
      </c>
      <c r="U107" s="220">
        <f t="shared" si="115"/>
        <v>451</v>
      </c>
      <c r="V107" s="220">
        <f t="shared" si="115"/>
        <v>286</v>
      </c>
      <c r="W107" s="220">
        <f t="shared" si="115"/>
        <v>241</v>
      </c>
      <c r="X107" s="220">
        <f t="shared" si="115"/>
        <v>267</v>
      </c>
      <c r="Y107" s="220">
        <f t="shared" si="115"/>
        <v>377</v>
      </c>
      <c r="Z107" s="220">
        <v>0</v>
      </c>
      <c r="AA107" s="220">
        <v>3</v>
      </c>
      <c r="AB107" s="220">
        <v>0</v>
      </c>
      <c r="AC107" s="220">
        <v>0</v>
      </c>
      <c r="AD107" s="220">
        <v>0</v>
      </c>
      <c r="AE107" s="220">
        <f t="shared" si="116"/>
        <v>-198</v>
      </c>
      <c r="AF107" s="220">
        <f t="shared" si="116"/>
        <v>-343</v>
      </c>
      <c r="AG107" s="220">
        <f t="shared" si="116"/>
        <v>-358</v>
      </c>
      <c r="AH107" s="220">
        <f t="shared" si="116"/>
        <v>-287</v>
      </c>
      <c r="AI107" s="220">
        <f t="shared" si="116"/>
        <v>-182</v>
      </c>
      <c r="AJ107" s="50">
        <f t="shared" si="96"/>
        <v>1.4410000000000045</v>
      </c>
      <c r="AK107" s="257"/>
      <c r="AL107" s="257">
        <f t="shared" si="97"/>
        <v>1.2</v>
      </c>
      <c r="AM107" s="52"/>
      <c r="AN107" s="88"/>
    </row>
    <row r="108" spans="1:40" s="29" customFormat="1" ht="17.25" customHeight="1">
      <c r="A108" s="48">
        <v>98</v>
      </c>
      <c r="B108" s="49">
        <f t="shared" si="89"/>
        <v>45673</v>
      </c>
      <c r="C108" s="220">
        <f t="shared" si="90"/>
        <v>1049</v>
      </c>
      <c r="D108" s="220">
        <f t="shared" ref="D108" si="131">D107+26</f>
        <v>2317</v>
      </c>
      <c r="E108" s="220">
        <f t="shared" si="92"/>
        <v>3366</v>
      </c>
      <c r="F108" s="220">
        <f t="shared" si="84"/>
        <v>916</v>
      </c>
      <c r="G108" s="220">
        <f t="shared" si="85"/>
        <v>1080</v>
      </c>
      <c r="H108" s="220">
        <f t="shared" si="86"/>
        <v>1126</v>
      </c>
      <c r="I108" s="220">
        <f t="shared" si="87"/>
        <v>1099</v>
      </c>
      <c r="J108" s="220">
        <f t="shared" si="88"/>
        <v>990</v>
      </c>
      <c r="K108" s="220">
        <f t="shared" si="70"/>
        <v>2450</v>
      </c>
      <c r="L108" s="220">
        <f t="shared" si="70"/>
        <v>2286</v>
      </c>
      <c r="M108" s="220">
        <f t="shared" si="70"/>
        <v>2240</v>
      </c>
      <c r="N108" s="220">
        <f t="shared" si="70"/>
        <v>2267</v>
      </c>
      <c r="O108" s="220">
        <f t="shared" si="70"/>
        <v>2376</v>
      </c>
      <c r="P108" s="220">
        <f t="shared" si="114"/>
        <v>2000</v>
      </c>
      <c r="Q108" s="220">
        <f t="shared" si="114"/>
        <v>2000</v>
      </c>
      <c r="R108" s="220">
        <f t="shared" si="114"/>
        <v>2000</v>
      </c>
      <c r="S108" s="220">
        <f t="shared" si="114"/>
        <v>2000</v>
      </c>
      <c r="T108" s="220">
        <f t="shared" si="114"/>
        <v>2000</v>
      </c>
      <c r="U108" s="220">
        <f t="shared" si="115"/>
        <v>450</v>
      </c>
      <c r="V108" s="220">
        <f t="shared" si="115"/>
        <v>286</v>
      </c>
      <c r="W108" s="220">
        <f t="shared" si="115"/>
        <v>240</v>
      </c>
      <c r="X108" s="220">
        <f t="shared" si="115"/>
        <v>267</v>
      </c>
      <c r="Y108" s="220">
        <f t="shared" si="115"/>
        <v>376</v>
      </c>
      <c r="Z108" s="220">
        <v>1</v>
      </c>
      <c r="AA108" s="220">
        <v>0</v>
      </c>
      <c r="AB108" s="220">
        <v>1</v>
      </c>
      <c r="AC108" s="220">
        <v>0</v>
      </c>
      <c r="AD108" s="220">
        <v>1</v>
      </c>
      <c r="AE108" s="220">
        <f t="shared" si="116"/>
        <v>-199</v>
      </c>
      <c r="AF108" s="220">
        <f t="shared" si="116"/>
        <v>-343</v>
      </c>
      <c r="AG108" s="220">
        <f t="shared" si="116"/>
        <v>-359</v>
      </c>
      <c r="AH108" s="220">
        <f t="shared" si="116"/>
        <v>-287</v>
      </c>
      <c r="AI108" s="220">
        <f t="shared" si="116"/>
        <v>-183</v>
      </c>
      <c r="AJ108" s="50">
        <f t="shared" si="96"/>
        <v>1.4400000000000046</v>
      </c>
      <c r="AK108" s="257"/>
      <c r="AL108" s="257">
        <f t="shared" si="97"/>
        <v>1.2</v>
      </c>
      <c r="AM108" s="52"/>
      <c r="AN108" s="88"/>
    </row>
    <row r="109" spans="1:40" s="29" customFormat="1" ht="17.25" customHeight="1">
      <c r="A109" s="48">
        <v>99</v>
      </c>
      <c r="B109" s="49">
        <f t="shared" si="89"/>
        <v>45674</v>
      </c>
      <c r="C109" s="220">
        <f t="shared" si="90"/>
        <v>1049</v>
      </c>
      <c r="D109" s="220">
        <f t="shared" ref="D109" si="132">D108+32</f>
        <v>2349</v>
      </c>
      <c r="E109" s="220">
        <f t="shared" si="92"/>
        <v>3398</v>
      </c>
      <c r="F109" s="220">
        <f t="shared" si="84"/>
        <v>948</v>
      </c>
      <c r="G109" s="220">
        <f t="shared" si="85"/>
        <v>1116</v>
      </c>
      <c r="H109" s="220">
        <f t="shared" si="86"/>
        <v>1158</v>
      </c>
      <c r="I109" s="220">
        <f t="shared" si="87"/>
        <v>1134</v>
      </c>
      <c r="J109" s="220">
        <f t="shared" si="88"/>
        <v>1024</v>
      </c>
      <c r="K109" s="220">
        <f t="shared" si="70"/>
        <v>2450</v>
      </c>
      <c r="L109" s="220">
        <f t="shared" si="70"/>
        <v>2282</v>
      </c>
      <c r="M109" s="220">
        <f t="shared" si="70"/>
        <v>2240</v>
      </c>
      <c r="N109" s="220">
        <f t="shared" si="70"/>
        <v>2264</v>
      </c>
      <c r="O109" s="220">
        <f t="shared" si="70"/>
        <v>2374</v>
      </c>
      <c r="P109" s="220">
        <f t="shared" ref="P109:T124" si="133">+P108</f>
        <v>2000</v>
      </c>
      <c r="Q109" s="220">
        <f t="shared" si="133"/>
        <v>2000</v>
      </c>
      <c r="R109" s="220">
        <f t="shared" si="133"/>
        <v>2000</v>
      </c>
      <c r="S109" s="220">
        <f t="shared" si="133"/>
        <v>2000</v>
      </c>
      <c r="T109" s="220">
        <f t="shared" si="133"/>
        <v>2000</v>
      </c>
      <c r="U109" s="220">
        <f t="shared" ref="U109:Y124" si="134">U108-Z109</f>
        <v>450</v>
      </c>
      <c r="V109" s="220">
        <f t="shared" si="134"/>
        <v>282</v>
      </c>
      <c r="W109" s="220">
        <f t="shared" si="134"/>
        <v>240</v>
      </c>
      <c r="X109" s="220">
        <f t="shared" si="134"/>
        <v>264</v>
      </c>
      <c r="Y109" s="220">
        <f t="shared" si="134"/>
        <v>374</v>
      </c>
      <c r="Z109" s="220">
        <v>0</v>
      </c>
      <c r="AA109" s="220">
        <v>4</v>
      </c>
      <c r="AB109" s="220">
        <v>0</v>
      </c>
      <c r="AC109" s="220">
        <v>3</v>
      </c>
      <c r="AD109" s="220">
        <v>2</v>
      </c>
      <c r="AE109" s="220">
        <f t="shared" ref="AE109:AI124" si="135">AE108-Z109</f>
        <v>-199</v>
      </c>
      <c r="AF109" s="220">
        <f t="shared" si="135"/>
        <v>-347</v>
      </c>
      <c r="AG109" s="220">
        <f t="shared" si="135"/>
        <v>-359</v>
      </c>
      <c r="AH109" s="220">
        <f t="shared" si="135"/>
        <v>-290</v>
      </c>
      <c r="AI109" s="220">
        <f t="shared" si="135"/>
        <v>-185</v>
      </c>
      <c r="AJ109" s="50">
        <f t="shared" si="96"/>
        <v>1.4400000000000046</v>
      </c>
      <c r="AK109" s="257"/>
      <c r="AL109" s="257">
        <f t="shared" si="97"/>
        <v>1.2</v>
      </c>
      <c r="AM109" s="52"/>
      <c r="AN109" s="88"/>
    </row>
    <row r="110" spans="1:40" s="29" customFormat="1" ht="17.25" customHeight="1">
      <c r="A110" s="48">
        <v>100</v>
      </c>
      <c r="B110" s="49">
        <f t="shared" si="89"/>
        <v>45675</v>
      </c>
      <c r="C110" s="220">
        <f t="shared" si="90"/>
        <v>1049</v>
      </c>
      <c r="D110" s="220">
        <f t="shared" ref="D110" si="136">D109-18</f>
        <v>2331</v>
      </c>
      <c r="E110" s="220">
        <f t="shared" si="92"/>
        <v>3380</v>
      </c>
      <c r="F110" s="220">
        <f t="shared" si="84"/>
        <v>931</v>
      </c>
      <c r="G110" s="220">
        <f t="shared" si="85"/>
        <v>1101</v>
      </c>
      <c r="H110" s="220">
        <f t="shared" si="86"/>
        <v>1141</v>
      </c>
      <c r="I110" s="220">
        <f t="shared" si="87"/>
        <v>1116</v>
      </c>
      <c r="J110" s="220">
        <f t="shared" si="88"/>
        <v>1006</v>
      </c>
      <c r="K110" s="220">
        <f t="shared" si="70"/>
        <v>2449</v>
      </c>
      <c r="L110" s="220">
        <f t="shared" si="70"/>
        <v>2279</v>
      </c>
      <c r="M110" s="220">
        <f t="shared" si="70"/>
        <v>2239</v>
      </c>
      <c r="N110" s="220">
        <f t="shared" si="70"/>
        <v>2264</v>
      </c>
      <c r="O110" s="220">
        <f t="shared" si="70"/>
        <v>2374</v>
      </c>
      <c r="P110" s="220">
        <f t="shared" si="133"/>
        <v>2000</v>
      </c>
      <c r="Q110" s="220">
        <f t="shared" si="133"/>
        <v>2000</v>
      </c>
      <c r="R110" s="220">
        <f t="shared" si="133"/>
        <v>2000</v>
      </c>
      <c r="S110" s="220">
        <f t="shared" si="133"/>
        <v>2000</v>
      </c>
      <c r="T110" s="220">
        <f t="shared" si="133"/>
        <v>2000</v>
      </c>
      <c r="U110" s="220">
        <f t="shared" si="134"/>
        <v>449</v>
      </c>
      <c r="V110" s="220">
        <f t="shared" si="134"/>
        <v>279</v>
      </c>
      <c r="W110" s="220">
        <f t="shared" si="134"/>
        <v>239</v>
      </c>
      <c r="X110" s="220">
        <f t="shared" si="134"/>
        <v>264</v>
      </c>
      <c r="Y110" s="220">
        <f t="shared" si="134"/>
        <v>374</v>
      </c>
      <c r="Z110" s="220">
        <v>1</v>
      </c>
      <c r="AA110" s="220">
        <v>3</v>
      </c>
      <c r="AB110" s="220">
        <v>1</v>
      </c>
      <c r="AC110" s="220">
        <v>0</v>
      </c>
      <c r="AD110" s="220">
        <v>0</v>
      </c>
      <c r="AE110" s="220">
        <f t="shared" si="135"/>
        <v>-200</v>
      </c>
      <c r="AF110" s="220">
        <f t="shared" si="135"/>
        <v>-350</v>
      </c>
      <c r="AG110" s="220">
        <f t="shared" si="135"/>
        <v>-360</v>
      </c>
      <c r="AH110" s="220">
        <f t="shared" si="135"/>
        <v>-290</v>
      </c>
      <c r="AI110" s="220">
        <f t="shared" si="135"/>
        <v>-185</v>
      </c>
      <c r="AJ110" s="50">
        <f t="shared" si="96"/>
        <v>1.4390000000000047</v>
      </c>
      <c r="AK110" s="257"/>
      <c r="AL110" s="257">
        <f t="shared" si="97"/>
        <v>1.2</v>
      </c>
      <c r="AM110" s="52"/>
      <c r="AN110" s="88"/>
    </row>
    <row r="111" spans="1:40" s="29" customFormat="1" ht="17.25" customHeight="1">
      <c r="A111" s="48">
        <v>101</v>
      </c>
      <c r="B111" s="49">
        <f t="shared" si="89"/>
        <v>45676</v>
      </c>
      <c r="C111" s="220">
        <f t="shared" si="90"/>
        <v>1049</v>
      </c>
      <c r="D111" s="220">
        <f t="shared" ref="D111" si="137">D110-26</f>
        <v>2305</v>
      </c>
      <c r="E111" s="220">
        <f t="shared" si="92"/>
        <v>3354</v>
      </c>
      <c r="F111" s="220">
        <f t="shared" si="84"/>
        <v>905</v>
      </c>
      <c r="G111" s="220">
        <f t="shared" si="85"/>
        <v>1076</v>
      </c>
      <c r="H111" s="220">
        <f t="shared" si="86"/>
        <v>1115</v>
      </c>
      <c r="I111" s="220">
        <f t="shared" si="87"/>
        <v>1091</v>
      </c>
      <c r="J111" s="220">
        <f t="shared" si="88"/>
        <v>980</v>
      </c>
      <c r="K111" s="220">
        <f t="shared" si="70"/>
        <v>2449</v>
      </c>
      <c r="L111" s="220">
        <f t="shared" si="70"/>
        <v>2278</v>
      </c>
      <c r="M111" s="220">
        <f t="shared" si="70"/>
        <v>2239</v>
      </c>
      <c r="N111" s="220">
        <f t="shared" si="70"/>
        <v>2263</v>
      </c>
      <c r="O111" s="220">
        <f t="shared" si="70"/>
        <v>2374</v>
      </c>
      <c r="P111" s="220">
        <f t="shared" si="133"/>
        <v>2000</v>
      </c>
      <c r="Q111" s="220">
        <f t="shared" si="133"/>
        <v>2000</v>
      </c>
      <c r="R111" s="220">
        <f t="shared" si="133"/>
        <v>2000</v>
      </c>
      <c r="S111" s="220">
        <f t="shared" si="133"/>
        <v>2000</v>
      </c>
      <c r="T111" s="220">
        <f t="shared" si="133"/>
        <v>2000</v>
      </c>
      <c r="U111" s="220">
        <f t="shared" si="134"/>
        <v>449</v>
      </c>
      <c r="V111" s="220">
        <f t="shared" si="134"/>
        <v>278</v>
      </c>
      <c r="W111" s="220">
        <f t="shared" si="134"/>
        <v>239</v>
      </c>
      <c r="X111" s="220">
        <f t="shared" si="134"/>
        <v>263</v>
      </c>
      <c r="Y111" s="220">
        <f t="shared" si="134"/>
        <v>374</v>
      </c>
      <c r="Z111" s="220">
        <v>0</v>
      </c>
      <c r="AA111" s="220">
        <v>1</v>
      </c>
      <c r="AB111" s="220">
        <v>0</v>
      </c>
      <c r="AC111" s="220">
        <v>1</v>
      </c>
      <c r="AD111" s="220">
        <v>0</v>
      </c>
      <c r="AE111" s="220">
        <f t="shared" si="135"/>
        <v>-200</v>
      </c>
      <c r="AF111" s="220">
        <f t="shared" si="135"/>
        <v>-351</v>
      </c>
      <c r="AG111" s="220">
        <f t="shared" si="135"/>
        <v>-360</v>
      </c>
      <c r="AH111" s="220">
        <f t="shared" si="135"/>
        <v>-291</v>
      </c>
      <c r="AI111" s="220">
        <f t="shared" si="135"/>
        <v>-185</v>
      </c>
      <c r="AJ111" s="50">
        <f t="shared" si="96"/>
        <v>1.4390000000000047</v>
      </c>
      <c r="AK111" s="257"/>
      <c r="AL111" s="257">
        <f t="shared" si="97"/>
        <v>1.2</v>
      </c>
      <c r="AM111" s="52"/>
      <c r="AN111" s="88"/>
    </row>
    <row r="112" spans="1:40" s="29" customFormat="1" ht="17.25" customHeight="1">
      <c r="A112" s="48">
        <v>102</v>
      </c>
      <c r="B112" s="49">
        <f t="shared" si="89"/>
        <v>45677</v>
      </c>
      <c r="C112" s="220">
        <f t="shared" si="90"/>
        <v>1049</v>
      </c>
      <c r="D112" s="220">
        <f t="shared" ref="D112" si="138">D111+15</f>
        <v>2320</v>
      </c>
      <c r="E112" s="220">
        <f t="shared" si="92"/>
        <v>3369</v>
      </c>
      <c r="F112" s="220">
        <f t="shared" si="84"/>
        <v>921</v>
      </c>
      <c r="G112" s="220">
        <f t="shared" si="85"/>
        <v>1093</v>
      </c>
      <c r="H112" s="220">
        <f t="shared" si="86"/>
        <v>1131</v>
      </c>
      <c r="I112" s="220">
        <f t="shared" si="87"/>
        <v>1108</v>
      </c>
      <c r="J112" s="220">
        <f t="shared" si="88"/>
        <v>995</v>
      </c>
      <c r="K112" s="220">
        <f t="shared" si="70"/>
        <v>2448</v>
      </c>
      <c r="L112" s="220">
        <f t="shared" si="70"/>
        <v>2276</v>
      </c>
      <c r="M112" s="220">
        <f t="shared" si="70"/>
        <v>2238</v>
      </c>
      <c r="N112" s="220">
        <f t="shared" si="70"/>
        <v>2261</v>
      </c>
      <c r="O112" s="220">
        <f t="shared" si="70"/>
        <v>2374</v>
      </c>
      <c r="P112" s="220">
        <f t="shared" si="133"/>
        <v>2000</v>
      </c>
      <c r="Q112" s="220">
        <f t="shared" si="133"/>
        <v>2000</v>
      </c>
      <c r="R112" s="220">
        <f t="shared" si="133"/>
        <v>2000</v>
      </c>
      <c r="S112" s="220">
        <f t="shared" si="133"/>
        <v>2000</v>
      </c>
      <c r="T112" s="220">
        <f t="shared" si="133"/>
        <v>2000</v>
      </c>
      <c r="U112" s="220">
        <f t="shared" si="134"/>
        <v>448</v>
      </c>
      <c r="V112" s="220">
        <f t="shared" si="134"/>
        <v>276</v>
      </c>
      <c r="W112" s="220">
        <f t="shared" si="134"/>
        <v>238</v>
      </c>
      <c r="X112" s="220">
        <f t="shared" si="134"/>
        <v>261</v>
      </c>
      <c r="Y112" s="220">
        <f t="shared" si="134"/>
        <v>374</v>
      </c>
      <c r="Z112" s="220">
        <v>1</v>
      </c>
      <c r="AA112" s="220">
        <v>2</v>
      </c>
      <c r="AB112" s="220">
        <v>1</v>
      </c>
      <c r="AC112" s="220">
        <v>2</v>
      </c>
      <c r="AD112" s="220">
        <v>0</v>
      </c>
      <c r="AE112" s="220">
        <f t="shared" si="135"/>
        <v>-201</v>
      </c>
      <c r="AF112" s="220">
        <f t="shared" si="135"/>
        <v>-353</v>
      </c>
      <c r="AG112" s="220">
        <f t="shared" si="135"/>
        <v>-361</v>
      </c>
      <c r="AH112" s="220">
        <f t="shared" si="135"/>
        <v>-293</v>
      </c>
      <c r="AI112" s="220">
        <f t="shared" si="135"/>
        <v>-185</v>
      </c>
      <c r="AJ112" s="50">
        <f t="shared" si="96"/>
        <v>1.4380000000000048</v>
      </c>
      <c r="AK112" s="257"/>
      <c r="AL112" s="257">
        <f t="shared" si="97"/>
        <v>1.2</v>
      </c>
      <c r="AM112" s="52"/>
      <c r="AN112" s="88"/>
    </row>
    <row r="113" spans="1:40" s="29" customFormat="1" ht="17.25" customHeight="1">
      <c r="A113" s="48">
        <v>103</v>
      </c>
      <c r="B113" s="49">
        <f t="shared" si="89"/>
        <v>45678</v>
      </c>
      <c r="C113" s="220">
        <f t="shared" si="90"/>
        <v>1049</v>
      </c>
      <c r="D113" s="220">
        <f t="shared" ref="D113" si="139">D112+26</f>
        <v>2346</v>
      </c>
      <c r="E113" s="220">
        <f t="shared" si="92"/>
        <v>3395</v>
      </c>
      <c r="F113" s="220">
        <f t="shared" si="84"/>
        <v>947</v>
      </c>
      <c r="G113" s="220">
        <f t="shared" si="85"/>
        <v>1119</v>
      </c>
      <c r="H113" s="220">
        <f t="shared" si="86"/>
        <v>1157</v>
      </c>
      <c r="I113" s="220">
        <f t="shared" si="87"/>
        <v>1137</v>
      </c>
      <c r="J113" s="220">
        <f t="shared" si="88"/>
        <v>1021</v>
      </c>
      <c r="K113" s="220">
        <f t="shared" si="70"/>
        <v>2448</v>
      </c>
      <c r="L113" s="220">
        <f t="shared" si="70"/>
        <v>2276</v>
      </c>
      <c r="M113" s="220">
        <f t="shared" si="70"/>
        <v>2238</v>
      </c>
      <c r="N113" s="220">
        <f t="shared" si="70"/>
        <v>2258</v>
      </c>
      <c r="O113" s="220">
        <f t="shared" si="70"/>
        <v>2374</v>
      </c>
      <c r="P113" s="220">
        <f t="shared" si="133"/>
        <v>2000</v>
      </c>
      <c r="Q113" s="220">
        <f t="shared" si="133"/>
        <v>2000</v>
      </c>
      <c r="R113" s="220">
        <f t="shared" si="133"/>
        <v>2000</v>
      </c>
      <c r="S113" s="220">
        <f t="shared" si="133"/>
        <v>2000</v>
      </c>
      <c r="T113" s="220">
        <f t="shared" si="133"/>
        <v>2000</v>
      </c>
      <c r="U113" s="220">
        <f t="shared" si="134"/>
        <v>448</v>
      </c>
      <c r="V113" s="220">
        <f t="shared" si="134"/>
        <v>276</v>
      </c>
      <c r="W113" s="220">
        <f t="shared" si="134"/>
        <v>238</v>
      </c>
      <c r="X113" s="220">
        <f t="shared" si="134"/>
        <v>258</v>
      </c>
      <c r="Y113" s="220">
        <f t="shared" si="134"/>
        <v>374</v>
      </c>
      <c r="Z113" s="220">
        <v>0</v>
      </c>
      <c r="AA113" s="220">
        <v>0</v>
      </c>
      <c r="AB113" s="220">
        <v>0</v>
      </c>
      <c r="AC113" s="220">
        <v>3</v>
      </c>
      <c r="AD113" s="220">
        <v>0</v>
      </c>
      <c r="AE113" s="220">
        <f t="shared" si="135"/>
        <v>-201</v>
      </c>
      <c r="AF113" s="220">
        <f t="shared" si="135"/>
        <v>-353</v>
      </c>
      <c r="AG113" s="220">
        <f t="shared" si="135"/>
        <v>-361</v>
      </c>
      <c r="AH113" s="220">
        <f t="shared" si="135"/>
        <v>-296</v>
      </c>
      <c r="AI113" s="220">
        <f t="shared" si="135"/>
        <v>-185</v>
      </c>
      <c r="AJ113" s="50">
        <f t="shared" si="96"/>
        <v>1.4380000000000048</v>
      </c>
      <c r="AK113" s="257"/>
      <c r="AL113" s="257">
        <f t="shared" si="97"/>
        <v>1.2</v>
      </c>
      <c r="AM113" s="52"/>
      <c r="AN113" s="88"/>
    </row>
    <row r="114" spans="1:40" s="29" customFormat="1" ht="17.25" customHeight="1">
      <c r="A114" s="48">
        <v>104</v>
      </c>
      <c r="B114" s="49">
        <f t="shared" si="89"/>
        <v>45679</v>
      </c>
      <c r="C114" s="220">
        <f t="shared" si="90"/>
        <v>1049</v>
      </c>
      <c r="D114" s="220">
        <f t="shared" ref="D114" si="140">D113+32</f>
        <v>2378</v>
      </c>
      <c r="E114" s="220">
        <f t="shared" si="92"/>
        <v>3427</v>
      </c>
      <c r="F114" s="220">
        <f t="shared" si="84"/>
        <v>980</v>
      </c>
      <c r="G114" s="220">
        <f t="shared" si="85"/>
        <v>1152</v>
      </c>
      <c r="H114" s="220">
        <f t="shared" si="86"/>
        <v>1190</v>
      </c>
      <c r="I114" s="220">
        <f t="shared" si="87"/>
        <v>1173</v>
      </c>
      <c r="J114" s="220">
        <f t="shared" si="88"/>
        <v>1053</v>
      </c>
      <c r="K114" s="220">
        <f t="shared" ref="K114:O164" si="141">P114+U114</f>
        <v>2447</v>
      </c>
      <c r="L114" s="220">
        <f t="shared" si="141"/>
        <v>2275</v>
      </c>
      <c r="M114" s="220">
        <f t="shared" si="141"/>
        <v>2237</v>
      </c>
      <c r="N114" s="220">
        <f t="shared" si="141"/>
        <v>2254</v>
      </c>
      <c r="O114" s="220">
        <f t="shared" si="141"/>
        <v>2374</v>
      </c>
      <c r="P114" s="220">
        <f t="shared" si="133"/>
        <v>2000</v>
      </c>
      <c r="Q114" s="220">
        <f t="shared" si="133"/>
        <v>2000</v>
      </c>
      <c r="R114" s="220">
        <f t="shared" si="133"/>
        <v>2000</v>
      </c>
      <c r="S114" s="220">
        <f t="shared" si="133"/>
        <v>2000</v>
      </c>
      <c r="T114" s="220">
        <f t="shared" si="133"/>
        <v>2000</v>
      </c>
      <c r="U114" s="220">
        <f t="shared" si="134"/>
        <v>447</v>
      </c>
      <c r="V114" s="220">
        <f t="shared" si="134"/>
        <v>275</v>
      </c>
      <c r="W114" s="220">
        <f t="shared" si="134"/>
        <v>237</v>
      </c>
      <c r="X114" s="220">
        <f t="shared" si="134"/>
        <v>254</v>
      </c>
      <c r="Y114" s="220">
        <f t="shared" si="134"/>
        <v>374</v>
      </c>
      <c r="Z114" s="220">
        <v>1</v>
      </c>
      <c r="AA114" s="220">
        <v>1</v>
      </c>
      <c r="AB114" s="220">
        <v>1</v>
      </c>
      <c r="AC114" s="220">
        <v>4</v>
      </c>
      <c r="AD114" s="220">
        <v>0</v>
      </c>
      <c r="AE114" s="220">
        <f t="shared" si="135"/>
        <v>-202</v>
      </c>
      <c r="AF114" s="220">
        <f t="shared" si="135"/>
        <v>-354</v>
      </c>
      <c r="AG114" s="220">
        <f t="shared" si="135"/>
        <v>-362</v>
      </c>
      <c r="AH114" s="220">
        <f t="shared" si="135"/>
        <v>-300</v>
      </c>
      <c r="AI114" s="220">
        <f t="shared" si="135"/>
        <v>-185</v>
      </c>
      <c r="AJ114" s="50">
        <f t="shared" si="96"/>
        <v>1.4370000000000049</v>
      </c>
      <c r="AK114" s="257"/>
      <c r="AL114" s="257">
        <f t="shared" si="97"/>
        <v>1.2</v>
      </c>
      <c r="AM114" s="52"/>
      <c r="AN114" s="88"/>
    </row>
    <row r="115" spans="1:40" s="29" customFormat="1" ht="17.25" customHeight="1">
      <c r="A115" s="48">
        <v>105</v>
      </c>
      <c r="B115" s="49">
        <f t="shared" si="89"/>
        <v>45680</v>
      </c>
      <c r="C115" s="220">
        <f t="shared" si="90"/>
        <v>1049</v>
      </c>
      <c r="D115" s="220">
        <f t="shared" ref="D115" si="142">D114-18</f>
        <v>2360</v>
      </c>
      <c r="E115" s="220">
        <f t="shared" si="92"/>
        <v>3409</v>
      </c>
      <c r="F115" s="220">
        <f t="shared" si="84"/>
        <v>962</v>
      </c>
      <c r="G115" s="220">
        <f t="shared" si="85"/>
        <v>1134</v>
      </c>
      <c r="H115" s="220">
        <f t="shared" si="86"/>
        <v>1175</v>
      </c>
      <c r="I115" s="220">
        <f t="shared" si="87"/>
        <v>1155</v>
      </c>
      <c r="J115" s="220">
        <f t="shared" si="88"/>
        <v>1035</v>
      </c>
      <c r="K115" s="220">
        <f t="shared" si="141"/>
        <v>2447</v>
      </c>
      <c r="L115" s="220">
        <f t="shared" si="141"/>
        <v>2275</v>
      </c>
      <c r="M115" s="220">
        <f t="shared" si="141"/>
        <v>2234</v>
      </c>
      <c r="N115" s="220">
        <f t="shared" si="141"/>
        <v>2254</v>
      </c>
      <c r="O115" s="220">
        <f t="shared" si="141"/>
        <v>2374</v>
      </c>
      <c r="P115" s="220">
        <f t="shared" si="133"/>
        <v>2000</v>
      </c>
      <c r="Q115" s="220">
        <f t="shared" si="133"/>
        <v>2000</v>
      </c>
      <c r="R115" s="220">
        <f t="shared" si="133"/>
        <v>2000</v>
      </c>
      <c r="S115" s="220">
        <f t="shared" si="133"/>
        <v>2000</v>
      </c>
      <c r="T115" s="220">
        <f t="shared" si="133"/>
        <v>2000</v>
      </c>
      <c r="U115" s="220">
        <f t="shared" si="134"/>
        <v>447</v>
      </c>
      <c r="V115" s="220">
        <f t="shared" si="134"/>
        <v>275</v>
      </c>
      <c r="W115" s="220">
        <f t="shared" si="134"/>
        <v>234</v>
      </c>
      <c r="X115" s="220">
        <f t="shared" si="134"/>
        <v>254</v>
      </c>
      <c r="Y115" s="220">
        <f t="shared" si="134"/>
        <v>374</v>
      </c>
      <c r="Z115" s="220">
        <v>0</v>
      </c>
      <c r="AA115" s="220">
        <v>0</v>
      </c>
      <c r="AB115" s="220">
        <v>3</v>
      </c>
      <c r="AC115" s="220">
        <v>0</v>
      </c>
      <c r="AD115" s="220">
        <v>0</v>
      </c>
      <c r="AE115" s="220">
        <f t="shared" si="135"/>
        <v>-202</v>
      </c>
      <c r="AF115" s="220">
        <f t="shared" si="135"/>
        <v>-354</v>
      </c>
      <c r="AG115" s="220">
        <f t="shared" si="135"/>
        <v>-365</v>
      </c>
      <c r="AH115" s="220">
        <f t="shared" si="135"/>
        <v>-300</v>
      </c>
      <c r="AI115" s="220">
        <f t="shared" si="135"/>
        <v>-185</v>
      </c>
      <c r="AJ115" s="50">
        <f t="shared" si="96"/>
        <v>1.434000000000005</v>
      </c>
      <c r="AK115" s="257"/>
      <c r="AL115" s="257">
        <f t="shared" si="97"/>
        <v>1.2</v>
      </c>
      <c r="AM115" s="52"/>
      <c r="AN115" s="88"/>
    </row>
    <row r="116" spans="1:40" s="29" customFormat="1" ht="17.25" customHeight="1">
      <c r="A116" s="48">
        <v>106</v>
      </c>
      <c r="B116" s="49">
        <f t="shared" si="89"/>
        <v>45681</v>
      </c>
      <c r="C116" s="220">
        <f t="shared" si="90"/>
        <v>1049</v>
      </c>
      <c r="D116" s="220">
        <f t="shared" ref="D116" si="143">D115-26</f>
        <v>2334</v>
      </c>
      <c r="E116" s="220">
        <f t="shared" si="92"/>
        <v>3383</v>
      </c>
      <c r="F116" s="220">
        <f t="shared" si="84"/>
        <v>937</v>
      </c>
      <c r="G116" s="220">
        <f t="shared" si="85"/>
        <v>1109</v>
      </c>
      <c r="H116" s="220">
        <f t="shared" si="86"/>
        <v>1150</v>
      </c>
      <c r="I116" s="220">
        <f t="shared" si="87"/>
        <v>1132</v>
      </c>
      <c r="J116" s="220">
        <f t="shared" si="88"/>
        <v>1009</v>
      </c>
      <c r="K116" s="220">
        <f t="shared" si="141"/>
        <v>2446</v>
      </c>
      <c r="L116" s="220">
        <f t="shared" si="141"/>
        <v>2274</v>
      </c>
      <c r="M116" s="220">
        <f t="shared" si="141"/>
        <v>2233</v>
      </c>
      <c r="N116" s="220">
        <f t="shared" si="141"/>
        <v>2251</v>
      </c>
      <c r="O116" s="220">
        <f t="shared" si="141"/>
        <v>2374</v>
      </c>
      <c r="P116" s="220">
        <f t="shared" si="133"/>
        <v>2000</v>
      </c>
      <c r="Q116" s="220">
        <f t="shared" si="133"/>
        <v>2000</v>
      </c>
      <c r="R116" s="220">
        <f t="shared" si="133"/>
        <v>2000</v>
      </c>
      <c r="S116" s="220">
        <f t="shared" si="133"/>
        <v>2000</v>
      </c>
      <c r="T116" s="220">
        <f t="shared" si="133"/>
        <v>2000</v>
      </c>
      <c r="U116" s="220">
        <f t="shared" si="134"/>
        <v>446</v>
      </c>
      <c r="V116" s="220">
        <f t="shared" si="134"/>
        <v>274</v>
      </c>
      <c r="W116" s="220">
        <f t="shared" si="134"/>
        <v>233</v>
      </c>
      <c r="X116" s="220">
        <f t="shared" si="134"/>
        <v>251</v>
      </c>
      <c r="Y116" s="220">
        <f t="shared" si="134"/>
        <v>374</v>
      </c>
      <c r="Z116" s="220">
        <v>1</v>
      </c>
      <c r="AA116" s="220">
        <v>1</v>
      </c>
      <c r="AB116" s="220">
        <v>1</v>
      </c>
      <c r="AC116" s="220">
        <v>3</v>
      </c>
      <c r="AD116" s="220">
        <v>0</v>
      </c>
      <c r="AE116" s="220">
        <f t="shared" si="135"/>
        <v>-203</v>
      </c>
      <c r="AF116" s="220">
        <f t="shared" si="135"/>
        <v>-355</v>
      </c>
      <c r="AG116" s="220">
        <f t="shared" si="135"/>
        <v>-366</v>
      </c>
      <c r="AH116" s="220">
        <f t="shared" si="135"/>
        <v>-303</v>
      </c>
      <c r="AI116" s="220">
        <f t="shared" si="135"/>
        <v>-185</v>
      </c>
      <c r="AJ116" s="50">
        <f t="shared" si="96"/>
        <v>1.4330000000000052</v>
      </c>
      <c r="AK116" s="257"/>
      <c r="AL116" s="257">
        <f t="shared" si="97"/>
        <v>1.2</v>
      </c>
      <c r="AM116" s="52"/>
      <c r="AN116" s="88"/>
    </row>
    <row r="117" spans="1:40" s="29" customFormat="1" ht="17.25" customHeight="1">
      <c r="A117" s="48">
        <v>107</v>
      </c>
      <c r="B117" s="49">
        <f t="shared" si="89"/>
        <v>45682</v>
      </c>
      <c r="C117" s="220">
        <f t="shared" si="90"/>
        <v>1049</v>
      </c>
      <c r="D117" s="220">
        <f t="shared" ref="D117" si="144">D116+15</f>
        <v>2349</v>
      </c>
      <c r="E117" s="220">
        <f t="shared" si="92"/>
        <v>3398</v>
      </c>
      <c r="F117" s="220">
        <f t="shared" si="84"/>
        <v>952</v>
      </c>
      <c r="G117" s="220">
        <f t="shared" si="85"/>
        <v>1126</v>
      </c>
      <c r="H117" s="220">
        <f t="shared" si="86"/>
        <v>1165</v>
      </c>
      <c r="I117" s="220">
        <f t="shared" si="87"/>
        <v>1149</v>
      </c>
      <c r="J117" s="220">
        <f t="shared" si="88"/>
        <v>1025</v>
      </c>
      <c r="K117" s="220">
        <f t="shared" si="141"/>
        <v>2446</v>
      </c>
      <c r="L117" s="220">
        <f t="shared" si="141"/>
        <v>2272</v>
      </c>
      <c r="M117" s="220">
        <f t="shared" si="141"/>
        <v>2233</v>
      </c>
      <c r="N117" s="220">
        <f t="shared" si="141"/>
        <v>2249</v>
      </c>
      <c r="O117" s="220">
        <f t="shared" si="141"/>
        <v>2373</v>
      </c>
      <c r="P117" s="220">
        <f t="shared" si="133"/>
        <v>2000</v>
      </c>
      <c r="Q117" s="220">
        <f t="shared" si="133"/>
        <v>2000</v>
      </c>
      <c r="R117" s="220">
        <f t="shared" si="133"/>
        <v>2000</v>
      </c>
      <c r="S117" s="220">
        <f t="shared" si="133"/>
        <v>2000</v>
      </c>
      <c r="T117" s="220">
        <f t="shared" si="133"/>
        <v>2000</v>
      </c>
      <c r="U117" s="220">
        <f t="shared" si="134"/>
        <v>446</v>
      </c>
      <c r="V117" s="220">
        <f t="shared" si="134"/>
        <v>272</v>
      </c>
      <c r="W117" s="220">
        <f t="shared" si="134"/>
        <v>233</v>
      </c>
      <c r="X117" s="220">
        <f t="shared" si="134"/>
        <v>249</v>
      </c>
      <c r="Y117" s="220">
        <f t="shared" si="134"/>
        <v>373</v>
      </c>
      <c r="Z117" s="220">
        <v>0</v>
      </c>
      <c r="AA117" s="220">
        <v>2</v>
      </c>
      <c r="AB117" s="220">
        <v>0</v>
      </c>
      <c r="AC117" s="220">
        <v>2</v>
      </c>
      <c r="AD117" s="220">
        <v>1</v>
      </c>
      <c r="AE117" s="220">
        <f t="shared" si="135"/>
        <v>-203</v>
      </c>
      <c r="AF117" s="220">
        <f t="shared" si="135"/>
        <v>-357</v>
      </c>
      <c r="AG117" s="220">
        <f t="shared" si="135"/>
        <v>-366</v>
      </c>
      <c r="AH117" s="220">
        <f t="shared" si="135"/>
        <v>-305</v>
      </c>
      <c r="AI117" s="220">
        <f t="shared" si="135"/>
        <v>-186</v>
      </c>
      <c r="AJ117" s="50">
        <f t="shared" si="96"/>
        <v>1.4330000000000052</v>
      </c>
      <c r="AK117" s="257"/>
      <c r="AL117" s="257">
        <f t="shared" si="97"/>
        <v>1.2</v>
      </c>
      <c r="AM117" s="52"/>
      <c r="AN117" s="88"/>
    </row>
    <row r="118" spans="1:40" s="29" customFormat="1" ht="17.25" customHeight="1">
      <c r="A118" s="48">
        <v>108</v>
      </c>
      <c r="B118" s="49">
        <f t="shared" si="89"/>
        <v>45683</v>
      </c>
      <c r="C118" s="220">
        <f t="shared" si="90"/>
        <v>1049</v>
      </c>
      <c r="D118" s="220">
        <f t="shared" ref="D118" si="145">D117+26</f>
        <v>2375</v>
      </c>
      <c r="E118" s="220">
        <f t="shared" si="92"/>
        <v>3424</v>
      </c>
      <c r="F118" s="220">
        <f t="shared" si="84"/>
        <v>978</v>
      </c>
      <c r="G118" s="220">
        <f t="shared" si="85"/>
        <v>1152</v>
      </c>
      <c r="H118" s="220">
        <f t="shared" si="86"/>
        <v>1191</v>
      </c>
      <c r="I118" s="220">
        <f t="shared" si="87"/>
        <v>1179</v>
      </c>
      <c r="J118" s="220">
        <f t="shared" si="88"/>
        <v>1051</v>
      </c>
      <c r="K118" s="220">
        <f t="shared" si="141"/>
        <v>2446</v>
      </c>
      <c r="L118" s="220">
        <f t="shared" si="141"/>
        <v>2272</v>
      </c>
      <c r="M118" s="220">
        <f t="shared" si="141"/>
        <v>2233</v>
      </c>
      <c r="N118" s="220">
        <f t="shared" si="141"/>
        <v>2245</v>
      </c>
      <c r="O118" s="220">
        <f t="shared" si="141"/>
        <v>2373</v>
      </c>
      <c r="P118" s="220">
        <f t="shared" si="133"/>
        <v>2000</v>
      </c>
      <c r="Q118" s="220">
        <f t="shared" si="133"/>
        <v>2000</v>
      </c>
      <c r="R118" s="220">
        <f t="shared" si="133"/>
        <v>2000</v>
      </c>
      <c r="S118" s="220">
        <f t="shared" si="133"/>
        <v>2000</v>
      </c>
      <c r="T118" s="220">
        <f t="shared" si="133"/>
        <v>2000</v>
      </c>
      <c r="U118" s="220">
        <f t="shared" si="134"/>
        <v>446</v>
      </c>
      <c r="V118" s="220">
        <f t="shared" si="134"/>
        <v>272</v>
      </c>
      <c r="W118" s="220">
        <f t="shared" si="134"/>
        <v>233</v>
      </c>
      <c r="X118" s="220">
        <f t="shared" si="134"/>
        <v>245</v>
      </c>
      <c r="Y118" s="220">
        <f t="shared" si="134"/>
        <v>373</v>
      </c>
      <c r="Z118" s="220">
        <v>0</v>
      </c>
      <c r="AA118" s="220">
        <v>0</v>
      </c>
      <c r="AB118" s="220">
        <v>0</v>
      </c>
      <c r="AC118" s="220">
        <v>4</v>
      </c>
      <c r="AD118" s="220">
        <v>0</v>
      </c>
      <c r="AE118" s="220">
        <f t="shared" si="135"/>
        <v>-203</v>
      </c>
      <c r="AF118" s="220">
        <f t="shared" si="135"/>
        <v>-357</v>
      </c>
      <c r="AG118" s="220">
        <f t="shared" si="135"/>
        <v>-366</v>
      </c>
      <c r="AH118" s="220">
        <f t="shared" si="135"/>
        <v>-309</v>
      </c>
      <c r="AI118" s="220">
        <f t="shared" si="135"/>
        <v>-186</v>
      </c>
      <c r="AJ118" s="50">
        <f t="shared" si="96"/>
        <v>1.4330000000000052</v>
      </c>
      <c r="AK118" s="257"/>
      <c r="AL118" s="257">
        <f t="shared" si="97"/>
        <v>1.2</v>
      </c>
      <c r="AM118" s="52"/>
      <c r="AN118" s="88"/>
    </row>
    <row r="119" spans="1:40" s="29" customFormat="1" ht="17.25" customHeight="1">
      <c r="A119" s="48">
        <v>109</v>
      </c>
      <c r="B119" s="49">
        <f t="shared" si="89"/>
        <v>45684</v>
      </c>
      <c r="C119" s="220">
        <f t="shared" si="90"/>
        <v>1049</v>
      </c>
      <c r="D119" s="220">
        <f t="shared" ref="D119" si="146">D118+32</f>
        <v>2407</v>
      </c>
      <c r="E119" s="220">
        <f t="shared" si="92"/>
        <v>3456</v>
      </c>
      <c r="F119" s="220">
        <f t="shared" si="84"/>
        <v>1010</v>
      </c>
      <c r="G119" s="220">
        <f t="shared" si="85"/>
        <v>1186</v>
      </c>
      <c r="H119" s="220">
        <f t="shared" si="86"/>
        <v>1223</v>
      </c>
      <c r="I119" s="220">
        <f t="shared" si="87"/>
        <v>1213</v>
      </c>
      <c r="J119" s="220">
        <f t="shared" si="88"/>
        <v>1083</v>
      </c>
      <c r="K119" s="220">
        <f t="shared" si="141"/>
        <v>2446</v>
      </c>
      <c r="L119" s="220">
        <f t="shared" si="141"/>
        <v>2270</v>
      </c>
      <c r="M119" s="220">
        <f t="shared" si="141"/>
        <v>2233</v>
      </c>
      <c r="N119" s="220">
        <f t="shared" si="141"/>
        <v>2243</v>
      </c>
      <c r="O119" s="220">
        <f t="shared" si="141"/>
        <v>2373</v>
      </c>
      <c r="P119" s="220">
        <f t="shared" si="133"/>
        <v>2000</v>
      </c>
      <c r="Q119" s="220">
        <f t="shared" si="133"/>
        <v>2000</v>
      </c>
      <c r="R119" s="220">
        <f t="shared" si="133"/>
        <v>2000</v>
      </c>
      <c r="S119" s="220">
        <f t="shared" si="133"/>
        <v>2000</v>
      </c>
      <c r="T119" s="220">
        <f t="shared" si="133"/>
        <v>2000</v>
      </c>
      <c r="U119" s="220">
        <f t="shared" si="134"/>
        <v>446</v>
      </c>
      <c r="V119" s="220">
        <f t="shared" si="134"/>
        <v>270</v>
      </c>
      <c r="W119" s="220">
        <f t="shared" si="134"/>
        <v>233</v>
      </c>
      <c r="X119" s="220">
        <f t="shared" si="134"/>
        <v>243</v>
      </c>
      <c r="Y119" s="220">
        <f t="shared" si="134"/>
        <v>373</v>
      </c>
      <c r="Z119" s="220">
        <v>0</v>
      </c>
      <c r="AA119" s="220">
        <v>2</v>
      </c>
      <c r="AB119" s="220">
        <v>0</v>
      </c>
      <c r="AC119" s="220">
        <v>2</v>
      </c>
      <c r="AD119" s="220">
        <v>0</v>
      </c>
      <c r="AE119" s="220">
        <f t="shared" si="135"/>
        <v>-203</v>
      </c>
      <c r="AF119" s="220">
        <f t="shared" si="135"/>
        <v>-359</v>
      </c>
      <c r="AG119" s="220">
        <f t="shared" si="135"/>
        <v>-366</v>
      </c>
      <c r="AH119" s="220">
        <f t="shared" si="135"/>
        <v>-311</v>
      </c>
      <c r="AI119" s="220">
        <f t="shared" si="135"/>
        <v>-186</v>
      </c>
      <c r="AJ119" s="50">
        <f t="shared" si="96"/>
        <v>1.4330000000000052</v>
      </c>
      <c r="AK119" s="257"/>
      <c r="AL119" s="257">
        <f t="shared" si="97"/>
        <v>1.2</v>
      </c>
      <c r="AM119" s="52"/>
      <c r="AN119" s="88"/>
    </row>
    <row r="120" spans="1:40" s="29" customFormat="1" ht="17.25" customHeight="1">
      <c r="A120" s="48">
        <v>110</v>
      </c>
      <c r="B120" s="49">
        <f t="shared" si="89"/>
        <v>45685</v>
      </c>
      <c r="C120" s="220">
        <f t="shared" si="90"/>
        <v>1049</v>
      </c>
      <c r="D120" s="220">
        <f t="shared" ref="D120" si="147">D119-18</f>
        <v>2389</v>
      </c>
      <c r="E120" s="220">
        <f t="shared" si="92"/>
        <v>3438</v>
      </c>
      <c r="F120" s="220">
        <f t="shared" si="84"/>
        <v>993</v>
      </c>
      <c r="G120" s="220">
        <f t="shared" si="85"/>
        <v>1168</v>
      </c>
      <c r="H120" s="220">
        <f t="shared" si="86"/>
        <v>1206</v>
      </c>
      <c r="I120" s="220">
        <f t="shared" si="87"/>
        <v>1195</v>
      </c>
      <c r="J120" s="220">
        <f t="shared" si="88"/>
        <v>1066</v>
      </c>
      <c r="K120" s="220">
        <f t="shared" si="141"/>
        <v>2445</v>
      </c>
      <c r="L120" s="220">
        <f t="shared" si="141"/>
        <v>2270</v>
      </c>
      <c r="M120" s="220">
        <f t="shared" si="141"/>
        <v>2232</v>
      </c>
      <c r="N120" s="220">
        <f t="shared" si="141"/>
        <v>2243</v>
      </c>
      <c r="O120" s="220">
        <f t="shared" si="141"/>
        <v>2372</v>
      </c>
      <c r="P120" s="220">
        <f t="shared" si="133"/>
        <v>2000</v>
      </c>
      <c r="Q120" s="220">
        <f t="shared" si="133"/>
        <v>2000</v>
      </c>
      <c r="R120" s="220">
        <f t="shared" si="133"/>
        <v>2000</v>
      </c>
      <c r="S120" s="220">
        <f t="shared" si="133"/>
        <v>2000</v>
      </c>
      <c r="T120" s="220">
        <f t="shared" si="133"/>
        <v>2000</v>
      </c>
      <c r="U120" s="220">
        <f t="shared" si="134"/>
        <v>445</v>
      </c>
      <c r="V120" s="220">
        <f t="shared" si="134"/>
        <v>270</v>
      </c>
      <c r="W120" s="220">
        <f t="shared" si="134"/>
        <v>232</v>
      </c>
      <c r="X120" s="220">
        <f t="shared" si="134"/>
        <v>243</v>
      </c>
      <c r="Y120" s="220">
        <f t="shared" si="134"/>
        <v>372</v>
      </c>
      <c r="Z120" s="220">
        <v>1</v>
      </c>
      <c r="AA120" s="220">
        <v>0</v>
      </c>
      <c r="AB120" s="220">
        <v>1</v>
      </c>
      <c r="AC120" s="220">
        <v>0</v>
      </c>
      <c r="AD120" s="220">
        <v>1</v>
      </c>
      <c r="AE120" s="220">
        <f t="shared" si="135"/>
        <v>-204</v>
      </c>
      <c r="AF120" s="220">
        <f t="shared" si="135"/>
        <v>-359</v>
      </c>
      <c r="AG120" s="220">
        <f t="shared" si="135"/>
        <v>-367</v>
      </c>
      <c r="AH120" s="220">
        <f t="shared" si="135"/>
        <v>-311</v>
      </c>
      <c r="AI120" s="220">
        <f t="shared" si="135"/>
        <v>-187</v>
      </c>
      <c r="AJ120" s="50">
        <f t="shared" si="96"/>
        <v>1.4320000000000053</v>
      </c>
      <c r="AK120" s="257"/>
      <c r="AL120" s="257">
        <f t="shared" si="97"/>
        <v>1.2</v>
      </c>
      <c r="AM120" s="52"/>
      <c r="AN120" s="88"/>
    </row>
    <row r="121" spans="1:40" s="29" customFormat="1" ht="17.25" customHeight="1">
      <c r="A121" s="48">
        <v>111</v>
      </c>
      <c r="B121" s="49">
        <f t="shared" si="89"/>
        <v>45686</v>
      </c>
      <c r="C121" s="220">
        <f t="shared" si="90"/>
        <v>1049</v>
      </c>
      <c r="D121" s="220">
        <f t="shared" ref="D121" si="148">D120-26</f>
        <v>2363</v>
      </c>
      <c r="E121" s="220">
        <f t="shared" si="92"/>
        <v>3412</v>
      </c>
      <c r="F121" s="220">
        <f t="shared" si="84"/>
        <v>967</v>
      </c>
      <c r="G121" s="220">
        <f t="shared" si="85"/>
        <v>1142</v>
      </c>
      <c r="H121" s="220">
        <f t="shared" si="86"/>
        <v>1180</v>
      </c>
      <c r="I121" s="220">
        <f t="shared" si="87"/>
        <v>1169</v>
      </c>
      <c r="J121" s="220">
        <f t="shared" si="88"/>
        <v>1040</v>
      </c>
      <c r="K121" s="220">
        <f t="shared" si="141"/>
        <v>2445</v>
      </c>
      <c r="L121" s="220">
        <f t="shared" si="141"/>
        <v>2270</v>
      </c>
      <c r="M121" s="220">
        <f t="shared" si="141"/>
        <v>2232</v>
      </c>
      <c r="N121" s="220">
        <f t="shared" si="141"/>
        <v>2243</v>
      </c>
      <c r="O121" s="220">
        <f t="shared" si="141"/>
        <v>2372</v>
      </c>
      <c r="P121" s="220">
        <f t="shared" si="133"/>
        <v>2000</v>
      </c>
      <c r="Q121" s="220">
        <f t="shared" si="133"/>
        <v>2000</v>
      </c>
      <c r="R121" s="220">
        <f t="shared" si="133"/>
        <v>2000</v>
      </c>
      <c r="S121" s="220">
        <f t="shared" si="133"/>
        <v>2000</v>
      </c>
      <c r="T121" s="220">
        <f t="shared" si="133"/>
        <v>2000</v>
      </c>
      <c r="U121" s="220">
        <f t="shared" si="134"/>
        <v>445</v>
      </c>
      <c r="V121" s="220">
        <f t="shared" si="134"/>
        <v>270</v>
      </c>
      <c r="W121" s="220">
        <f t="shared" si="134"/>
        <v>232</v>
      </c>
      <c r="X121" s="220">
        <f t="shared" si="134"/>
        <v>243</v>
      </c>
      <c r="Y121" s="220">
        <f t="shared" si="134"/>
        <v>372</v>
      </c>
      <c r="Z121" s="220">
        <v>0</v>
      </c>
      <c r="AA121" s="220">
        <v>0</v>
      </c>
      <c r="AB121" s="220">
        <v>0</v>
      </c>
      <c r="AC121" s="220">
        <v>0</v>
      </c>
      <c r="AD121" s="220">
        <v>0</v>
      </c>
      <c r="AE121" s="220">
        <f t="shared" si="135"/>
        <v>-204</v>
      </c>
      <c r="AF121" s="220">
        <f t="shared" si="135"/>
        <v>-359</v>
      </c>
      <c r="AG121" s="220">
        <f t="shared" si="135"/>
        <v>-367</v>
      </c>
      <c r="AH121" s="220">
        <f t="shared" si="135"/>
        <v>-311</v>
      </c>
      <c r="AI121" s="220">
        <f t="shared" si="135"/>
        <v>-187</v>
      </c>
      <c r="AJ121" s="50">
        <f t="shared" si="96"/>
        <v>1.4320000000000053</v>
      </c>
      <c r="AK121" s="257"/>
      <c r="AL121" s="257">
        <f t="shared" si="97"/>
        <v>1.2</v>
      </c>
      <c r="AM121" s="52"/>
      <c r="AN121" s="88"/>
    </row>
    <row r="122" spans="1:40" s="29" customFormat="1" ht="17.25" customHeight="1">
      <c r="A122" s="48">
        <v>112</v>
      </c>
      <c r="B122" s="49">
        <f t="shared" si="89"/>
        <v>45687</v>
      </c>
      <c r="C122" s="220">
        <f t="shared" si="90"/>
        <v>1049</v>
      </c>
      <c r="D122" s="220">
        <f t="shared" ref="D122" si="149">D121+15</f>
        <v>2378</v>
      </c>
      <c r="E122" s="220">
        <f t="shared" si="92"/>
        <v>3427</v>
      </c>
      <c r="F122" s="220">
        <f t="shared" si="84"/>
        <v>983</v>
      </c>
      <c r="G122" s="220">
        <f t="shared" si="85"/>
        <v>1159</v>
      </c>
      <c r="H122" s="220">
        <f t="shared" si="86"/>
        <v>1196</v>
      </c>
      <c r="I122" s="220">
        <f t="shared" si="87"/>
        <v>1186</v>
      </c>
      <c r="J122" s="220">
        <f t="shared" si="88"/>
        <v>1055</v>
      </c>
      <c r="K122" s="220">
        <f t="shared" si="141"/>
        <v>2444</v>
      </c>
      <c r="L122" s="220">
        <f t="shared" si="141"/>
        <v>2268</v>
      </c>
      <c r="M122" s="220">
        <f t="shared" si="141"/>
        <v>2231</v>
      </c>
      <c r="N122" s="220">
        <f t="shared" si="141"/>
        <v>2241</v>
      </c>
      <c r="O122" s="220">
        <f t="shared" si="141"/>
        <v>2372</v>
      </c>
      <c r="P122" s="220">
        <f t="shared" si="133"/>
        <v>2000</v>
      </c>
      <c r="Q122" s="220">
        <f t="shared" si="133"/>
        <v>2000</v>
      </c>
      <c r="R122" s="220">
        <f t="shared" si="133"/>
        <v>2000</v>
      </c>
      <c r="S122" s="220">
        <f t="shared" si="133"/>
        <v>2000</v>
      </c>
      <c r="T122" s="220">
        <f t="shared" si="133"/>
        <v>2000</v>
      </c>
      <c r="U122" s="220">
        <f t="shared" si="134"/>
        <v>444</v>
      </c>
      <c r="V122" s="220">
        <f t="shared" si="134"/>
        <v>268</v>
      </c>
      <c r="W122" s="220">
        <f t="shared" si="134"/>
        <v>231</v>
      </c>
      <c r="X122" s="220">
        <f t="shared" si="134"/>
        <v>241</v>
      </c>
      <c r="Y122" s="220">
        <f t="shared" si="134"/>
        <v>372</v>
      </c>
      <c r="Z122" s="220">
        <v>1</v>
      </c>
      <c r="AA122" s="220">
        <v>2</v>
      </c>
      <c r="AB122" s="220">
        <v>1</v>
      </c>
      <c r="AC122" s="220">
        <v>2</v>
      </c>
      <c r="AD122" s="220">
        <v>0</v>
      </c>
      <c r="AE122" s="220">
        <f t="shared" si="135"/>
        <v>-205</v>
      </c>
      <c r="AF122" s="220">
        <f t="shared" si="135"/>
        <v>-361</v>
      </c>
      <c r="AG122" s="220">
        <f t="shared" si="135"/>
        <v>-368</v>
      </c>
      <c r="AH122" s="220">
        <f t="shared" si="135"/>
        <v>-313</v>
      </c>
      <c r="AI122" s="220">
        <f t="shared" si="135"/>
        <v>-187</v>
      </c>
      <c r="AJ122" s="50">
        <f t="shared" si="96"/>
        <v>1.4310000000000054</v>
      </c>
      <c r="AK122" s="257"/>
      <c r="AL122" s="257">
        <f t="shared" si="97"/>
        <v>1.2</v>
      </c>
      <c r="AM122" s="52"/>
      <c r="AN122" s="88"/>
    </row>
    <row r="123" spans="1:40" s="29" customFormat="1" ht="17.25" customHeight="1">
      <c r="A123" s="48">
        <v>113</v>
      </c>
      <c r="B123" s="49">
        <f t="shared" si="89"/>
        <v>45688</v>
      </c>
      <c r="C123" s="220">
        <f t="shared" si="90"/>
        <v>1049</v>
      </c>
      <c r="D123" s="220">
        <f t="shared" ref="D123" si="150">D122+26</f>
        <v>2404</v>
      </c>
      <c r="E123" s="220">
        <f t="shared" si="92"/>
        <v>3453</v>
      </c>
      <c r="F123" s="220">
        <f t="shared" si="84"/>
        <v>1009</v>
      </c>
      <c r="G123" s="220">
        <f t="shared" si="85"/>
        <v>1185</v>
      </c>
      <c r="H123" s="220">
        <f t="shared" si="86"/>
        <v>1222</v>
      </c>
      <c r="I123" s="220">
        <f t="shared" si="87"/>
        <v>1212</v>
      </c>
      <c r="J123" s="220">
        <f t="shared" si="88"/>
        <v>1081</v>
      </c>
      <c r="K123" s="220">
        <f t="shared" si="141"/>
        <v>2444</v>
      </c>
      <c r="L123" s="220">
        <f t="shared" si="141"/>
        <v>2268</v>
      </c>
      <c r="M123" s="220">
        <f t="shared" si="141"/>
        <v>2231</v>
      </c>
      <c r="N123" s="220">
        <f t="shared" si="141"/>
        <v>2241</v>
      </c>
      <c r="O123" s="220">
        <f t="shared" si="141"/>
        <v>2372</v>
      </c>
      <c r="P123" s="220">
        <f t="shared" si="133"/>
        <v>2000</v>
      </c>
      <c r="Q123" s="220">
        <f t="shared" si="133"/>
        <v>2000</v>
      </c>
      <c r="R123" s="220">
        <f t="shared" si="133"/>
        <v>2000</v>
      </c>
      <c r="S123" s="220">
        <f t="shared" si="133"/>
        <v>2000</v>
      </c>
      <c r="T123" s="220">
        <f t="shared" si="133"/>
        <v>2000</v>
      </c>
      <c r="U123" s="220">
        <f t="shared" si="134"/>
        <v>444</v>
      </c>
      <c r="V123" s="220">
        <f t="shared" si="134"/>
        <v>268</v>
      </c>
      <c r="W123" s="220">
        <f t="shared" si="134"/>
        <v>231</v>
      </c>
      <c r="X123" s="220">
        <f t="shared" si="134"/>
        <v>241</v>
      </c>
      <c r="Y123" s="220">
        <f t="shared" si="134"/>
        <v>372</v>
      </c>
      <c r="Z123" s="220">
        <v>0</v>
      </c>
      <c r="AA123" s="220">
        <v>0</v>
      </c>
      <c r="AB123" s="220">
        <v>0</v>
      </c>
      <c r="AC123" s="220">
        <v>0</v>
      </c>
      <c r="AD123" s="220">
        <v>0</v>
      </c>
      <c r="AE123" s="220">
        <f t="shared" si="135"/>
        <v>-205</v>
      </c>
      <c r="AF123" s="220">
        <f t="shared" si="135"/>
        <v>-361</v>
      </c>
      <c r="AG123" s="220">
        <f t="shared" si="135"/>
        <v>-368</v>
      </c>
      <c r="AH123" s="220">
        <f t="shared" si="135"/>
        <v>-313</v>
      </c>
      <c r="AI123" s="220">
        <f t="shared" si="135"/>
        <v>-187</v>
      </c>
      <c r="AJ123" s="50">
        <f t="shared" si="96"/>
        <v>1.4310000000000054</v>
      </c>
      <c r="AK123" s="257"/>
      <c r="AL123" s="257">
        <f t="shared" si="97"/>
        <v>1.2</v>
      </c>
      <c r="AM123" s="52"/>
      <c r="AN123" s="88"/>
    </row>
    <row r="124" spans="1:40" s="29" customFormat="1" ht="17.25" customHeight="1">
      <c r="A124" s="48">
        <v>114</v>
      </c>
      <c r="B124" s="49">
        <f t="shared" si="89"/>
        <v>45689</v>
      </c>
      <c r="C124" s="220">
        <f t="shared" si="90"/>
        <v>1049</v>
      </c>
      <c r="D124" s="220">
        <f t="shared" ref="D124" si="151">D123+32</f>
        <v>2436</v>
      </c>
      <c r="E124" s="220">
        <f t="shared" si="92"/>
        <v>3485</v>
      </c>
      <c r="F124" s="220">
        <f t="shared" si="84"/>
        <v>1042</v>
      </c>
      <c r="G124" s="220">
        <f t="shared" si="85"/>
        <v>1217</v>
      </c>
      <c r="H124" s="220">
        <f t="shared" si="86"/>
        <v>1255</v>
      </c>
      <c r="I124" s="220">
        <f t="shared" si="87"/>
        <v>1244</v>
      </c>
      <c r="J124" s="220">
        <f t="shared" si="88"/>
        <v>1114</v>
      </c>
      <c r="K124" s="220">
        <f t="shared" si="141"/>
        <v>2443</v>
      </c>
      <c r="L124" s="220">
        <f t="shared" si="141"/>
        <v>2268</v>
      </c>
      <c r="M124" s="220">
        <f t="shared" si="141"/>
        <v>2230</v>
      </c>
      <c r="N124" s="220">
        <f t="shared" si="141"/>
        <v>2241</v>
      </c>
      <c r="O124" s="220">
        <f t="shared" si="141"/>
        <v>2371</v>
      </c>
      <c r="P124" s="220">
        <f t="shared" si="133"/>
        <v>2000</v>
      </c>
      <c r="Q124" s="220">
        <f t="shared" si="133"/>
        <v>2000</v>
      </c>
      <c r="R124" s="220">
        <f t="shared" si="133"/>
        <v>2000</v>
      </c>
      <c r="S124" s="220">
        <f t="shared" si="133"/>
        <v>2000</v>
      </c>
      <c r="T124" s="220">
        <f t="shared" si="133"/>
        <v>2000</v>
      </c>
      <c r="U124" s="220">
        <f t="shared" si="134"/>
        <v>443</v>
      </c>
      <c r="V124" s="220">
        <f t="shared" si="134"/>
        <v>268</v>
      </c>
      <c r="W124" s="220">
        <f t="shared" si="134"/>
        <v>230</v>
      </c>
      <c r="X124" s="220">
        <f t="shared" si="134"/>
        <v>241</v>
      </c>
      <c r="Y124" s="220">
        <f t="shared" si="134"/>
        <v>371</v>
      </c>
      <c r="Z124" s="220">
        <v>1</v>
      </c>
      <c r="AA124" s="220">
        <v>0</v>
      </c>
      <c r="AB124" s="220">
        <v>1</v>
      </c>
      <c r="AC124" s="220">
        <v>0</v>
      </c>
      <c r="AD124" s="220">
        <v>1</v>
      </c>
      <c r="AE124" s="220">
        <f t="shared" si="135"/>
        <v>-206</v>
      </c>
      <c r="AF124" s="220">
        <f t="shared" si="135"/>
        <v>-361</v>
      </c>
      <c r="AG124" s="220">
        <f t="shared" si="135"/>
        <v>-369</v>
      </c>
      <c r="AH124" s="220">
        <f t="shared" si="135"/>
        <v>-313</v>
      </c>
      <c r="AI124" s="220">
        <f t="shared" si="135"/>
        <v>-188</v>
      </c>
      <c r="AJ124" s="50">
        <f t="shared" si="96"/>
        <v>1.4300000000000055</v>
      </c>
      <c r="AK124" s="257"/>
      <c r="AL124" s="257">
        <f t="shared" si="97"/>
        <v>1.2</v>
      </c>
      <c r="AM124" s="52"/>
      <c r="AN124" s="88"/>
    </row>
    <row r="125" spans="1:40" s="29" customFormat="1" ht="17.25" customHeight="1">
      <c r="A125" s="48">
        <v>115</v>
      </c>
      <c r="B125" s="49">
        <f t="shared" si="89"/>
        <v>45690</v>
      </c>
      <c r="C125" s="220">
        <f t="shared" si="90"/>
        <v>1049</v>
      </c>
      <c r="D125" s="220">
        <f t="shared" ref="D125" si="152">D124-18</f>
        <v>2418</v>
      </c>
      <c r="E125" s="220">
        <f t="shared" si="92"/>
        <v>3467</v>
      </c>
      <c r="F125" s="220">
        <f t="shared" si="84"/>
        <v>1025</v>
      </c>
      <c r="G125" s="220">
        <f t="shared" si="85"/>
        <v>1203</v>
      </c>
      <c r="H125" s="220">
        <f t="shared" si="86"/>
        <v>1238</v>
      </c>
      <c r="I125" s="220">
        <f t="shared" si="87"/>
        <v>1227</v>
      </c>
      <c r="J125" s="220">
        <f t="shared" si="88"/>
        <v>1097</v>
      </c>
      <c r="K125" s="220">
        <f t="shared" si="141"/>
        <v>2442</v>
      </c>
      <c r="L125" s="220">
        <f t="shared" si="141"/>
        <v>2264</v>
      </c>
      <c r="M125" s="220">
        <f t="shared" si="141"/>
        <v>2229</v>
      </c>
      <c r="N125" s="220">
        <f t="shared" si="141"/>
        <v>2240</v>
      </c>
      <c r="O125" s="220">
        <f t="shared" si="141"/>
        <v>2370</v>
      </c>
      <c r="P125" s="220">
        <f t="shared" ref="P125:T140" si="153">+P124</f>
        <v>2000</v>
      </c>
      <c r="Q125" s="220">
        <f t="shared" si="153"/>
        <v>2000</v>
      </c>
      <c r="R125" s="220">
        <f t="shared" si="153"/>
        <v>2000</v>
      </c>
      <c r="S125" s="220">
        <f t="shared" si="153"/>
        <v>2000</v>
      </c>
      <c r="T125" s="220">
        <f t="shared" si="153"/>
        <v>2000</v>
      </c>
      <c r="U125" s="220">
        <f t="shared" ref="U125:Y140" si="154">U124-Z125</f>
        <v>442</v>
      </c>
      <c r="V125" s="220">
        <f t="shared" si="154"/>
        <v>264</v>
      </c>
      <c r="W125" s="220">
        <f t="shared" si="154"/>
        <v>229</v>
      </c>
      <c r="X125" s="220">
        <f t="shared" si="154"/>
        <v>240</v>
      </c>
      <c r="Y125" s="220">
        <f t="shared" si="154"/>
        <v>370</v>
      </c>
      <c r="Z125" s="220">
        <v>1</v>
      </c>
      <c r="AA125" s="220">
        <v>4</v>
      </c>
      <c r="AB125" s="220">
        <v>1</v>
      </c>
      <c r="AC125" s="220">
        <v>1</v>
      </c>
      <c r="AD125" s="220">
        <v>1</v>
      </c>
      <c r="AE125" s="220">
        <f t="shared" ref="AE125:AI140" si="155">AE124-Z125</f>
        <v>-207</v>
      </c>
      <c r="AF125" s="220">
        <f t="shared" si="155"/>
        <v>-365</v>
      </c>
      <c r="AG125" s="220">
        <f t="shared" si="155"/>
        <v>-370</v>
      </c>
      <c r="AH125" s="220">
        <f t="shared" si="155"/>
        <v>-314</v>
      </c>
      <c r="AI125" s="220">
        <f t="shared" si="155"/>
        <v>-189</v>
      </c>
      <c r="AJ125" s="50">
        <f t="shared" si="96"/>
        <v>1.4290000000000056</v>
      </c>
      <c r="AK125" s="257"/>
      <c r="AL125" s="257">
        <f t="shared" si="97"/>
        <v>1.2</v>
      </c>
      <c r="AM125" s="52"/>
      <c r="AN125" s="88"/>
    </row>
    <row r="126" spans="1:40" s="29" customFormat="1" ht="17.25" customHeight="1">
      <c r="A126" s="48">
        <v>116</v>
      </c>
      <c r="B126" s="49">
        <f t="shared" si="89"/>
        <v>45691</v>
      </c>
      <c r="C126" s="220">
        <f t="shared" si="90"/>
        <v>1049</v>
      </c>
      <c r="D126" s="220">
        <f t="shared" ref="D126" si="156">D125-26</f>
        <v>2392</v>
      </c>
      <c r="E126" s="220">
        <f t="shared" si="92"/>
        <v>3441</v>
      </c>
      <c r="F126" s="220">
        <f t="shared" si="84"/>
        <v>999</v>
      </c>
      <c r="G126" s="220">
        <f t="shared" si="85"/>
        <v>1177</v>
      </c>
      <c r="H126" s="220">
        <f t="shared" si="86"/>
        <v>1212</v>
      </c>
      <c r="I126" s="220">
        <f t="shared" si="87"/>
        <v>1201</v>
      </c>
      <c r="J126" s="220">
        <f t="shared" si="88"/>
        <v>1071</v>
      </c>
      <c r="K126" s="220">
        <f t="shared" si="141"/>
        <v>2442</v>
      </c>
      <c r="L126" s="220">
        <f t="shared" si="141"/>
        <v>2264</v>
      </c>
      <c r="M126" s="220">
        <f t="shared" si="141"/>
        <v>2229</v>
      </c>
      <c r="N126" s="220">
        <f t="shared" si="141"/>
        <v>2240</v>
      </c>
      <c r="O126" s="220">
        <f t="shared" si="141"/>
        <v>2370</v>
      </c>
      <c r="P126" s="220">
        <f t="shared" si="153"/>
        <v>2000</v>
      </c>
      <c r="Q126" s="220">
        <f t="shared" si="153"/>
        <v>2000</v>
      </c>
      <c r="R126" s="220">
        <f t="shared" si="153"/>
        <v>2000</v>
      </c>
      <c r="S126" s="220">
        <f t="shared" si="153"/>
        <v>2000</v>
      </c>
      <c r="T126" s="220">
        <f t="shared" si="153"/>
        <v>2000</v>
      </c>
      <c r="U126" s="220">
        <f t="shared" si="154"/>
        <v>442</v>
      </c>
      <c r="V126" s="220">
        <f t="shared" si="154"/>
        <v>264</v>
      </c>
      <c r="W126" s="220">
        <f t="shared" si="154"/>
        <v>229</v>
      </c>
      <c r="X126" s="220">
        <f t="shared" si="154"/>
        <v>240</v>
      </c>
      <c r="Y126" s="220">
        <f t="shared" si="154"/>
        <v>370</v>
      </c>
      <c r="Z126" s="220">
        <v>0</v>
      </c>
      <c r="AA126" s="220">
        <v>0</v>
      </c>
      <c r="AB126" s="220">
        <v>0</v>
      </c>
      <c r="AC126" s="220">
        <v>0</v>
      </c>
      <c r="AD126" s="220">
        <v>0</v>
      </c>
      <c r="AE126" s="220">
        <f t="shared" si="155"/>
        <v>-207</v>
      </c>
      <c r="AF126" s="220">
        <f t="shared" si="155"/>
        <v>-365</v>
      </c>
      <c r="AG126" s="220">
        <f t="shared" si="155"/>
        <v>-370</v>
      </c>
      <c r="AH126" s="220">
        <f t="shared" si="155"/>
        <v>-314</v>
      </c>
      <c r="AI126" s="220">
        <f t="shared" si="155"/>
        <v>-189</v>
      </c>
      <c r="AJ126" s="50">
        <f t="shared" si="96"/>
        <v>1.4290000000000056</v>
      </c>
      <c r="AK126" s="257"/>
      <c r="AL126" s="257">
        <f t="shared" si="97"/>
        <v>1.2</v>
      </c>
      <c r="AM126" s="52"/>
      <c r="AN126" s="88"/>
    </row>
    <row r="127" spans="1:40" s="29" customFormat="1" ht="17.25" customHeight="1">
      <c r="A127" s="48">
        <v>117</v>
      </c>
      <c r="B127" s="49">
        <f t="shared" si="89"/>
        <v>45692</v>
      </c>
      <c r="C127" s="220">
        <f t="shared" si="90"/>
        <v>1049</v>
      </c>
      <c r="D127" s="220">
        <f t="shared" ref="D127" si="157">D126+15</f>
        <v>2407</v>
      </c>
      <c r="E127" s="220">
        <f t="shared" si="92"/>
        <v>3456</v>
      </c>
      <c r="F127" s="220">
        <f t="shared" si="84"/>
        <v>1015</v>
      </c>
      <c r="G127" s="220">
        <f t="shared" si="85"/>
        <v>1192</v>
      </c>
      <c r="H127" s="220">
        <f t="shared" si="86"/>
        <v>1230</v>
      </c>
      <c r="I127" s="220">
        <f t="shared" si="87"/>
        <v>1216</v>
      </c>
      <c r="J127" s="220">
        <f t="shared" si="88"/>
        <v>1086</v>
      </c>
      <c r="K127" s="220">
        <f t="shared" si="141"/>
        <v>2441</v>
      </c>
      <c r="L127" s="220">
        <f t="shared" si="141"/>
        <v>2264</v>
      </c>
      <c r="M127" s="220">
        <f t="shared" si="141"/>
        <v>2226</v>
      </c>
      <c r="N127" s="220">
        <f t="shared" si="141"/>
        <v>2240</v>
      </c>
      <c r="O127" s="220">
        <f t="shared" si="141"/>
        <v>2370</v>
      </c>
      <c r="P127" s="220">
        <f t="shared" si="153"/>
        <v>2000</v>
      </c>
      <c r="Q127" s="220">
        <f t="shared" si="153"/>
        <v>2000</v>
      </c>
      <c r="R127" s="220">
        <f t="shared" si="153"/>
        <v>2000</v>
      </c>
      <c r="S127" s="220">
        <f t="shared" si="153"/>
        <v>2000</v>
      </c>
      <c r="T127" s="220">
        <f t="shared" si="153"/>
        <v>2000</v>
      </c>
      <c r="U127" s="220">
        <f t="shared" si="154"/>
        <v>441</v>
      </c>
      <c r="V127" s="220">
        <f t="shared" si="154"/>
        <v>264</v>
      </c>
      <c r="W127" s="220">
        <f t="shared" si="154"/>
        <v>226</v>
      </c>
      <c r="X127" s="220">
        <f t="shared" si="154"/>
        <v>240</v>
      </c>
      <c r="Y127" s="220">
        <f t="shared" si="154"/>
        <v>370</v>
      </c>
      <c r="Z127" s="220">
        <v>1</v>
      </c>
      <c r="AA127" s="220">
        <v>0</v>
      </c>
      <c r="AB127" s="220">
        <v>3</v>
      </c>
      <c r="AC127" s="220">
        <v>0</v>
      </c>
      <c r="AD127" s="220">
        <v>0</v>
      </c>
      <c r="AE127" s="220">
        <f t="shared" si="155"/>
        <v>-208</v>
      </c>
      <c r="AF127" s="220">
        <f t="shared" si="155"/>
        <v>-365</v>
      </c>
      <c r="AG127" s="220">
        <f t="shared" si="155"/>
        <v>-373</v>
      </c>
      <c r="AH127" s="220">
        <f t="shared" si="155"/>
        <v>-314</v>
      </c>
      <c r="AI127" s="220">
        <f t="shared" si="155"/>
        <v>-189</v>
      </c>
      <c r="AJ127" s="50">
        <f t="shared" si="96"/>
        <v>1.4260000000000057</v>
      </c>
      <c r="AK127" s="257"/>
      <c r="AL127" s="257">
        <f t="shared" si="97"/>
        <v>1.2</v>
      </c>
      <c r="AM127" s="52"/>
      <c r="AN127" s="88"/>
    </row>
    <row r="128" spans="1:40" s="29" customFormat="1" ht="17.25" customHeight="1">
      <c r="A128" s="48">
        <v>118</v>
      </c>
      <c r="B128" s="49">
        <f t="shared" si="89"/>
        <v>45693</v>
      </c>
      <c r="C128" s="220">
        <f t="shared" si="90"/>
        <v>1049</v>
      </c>
      <c r="D128" s="220">
        <f t="shared" ref="D128" si="158">D127+26</f>
        <v>2433</v>
      </c>
      <c r="E128" s="220">
        <f t="shared" si="92"/>
        <v>3482</v>
      </c>
      <c r="F128" s="220">
        <f t="shared" si="84"/>
        <v>1042</v>
      </c>
      <c r="G128" s="220">
        <f t="shared" si="85"/>
        <v>1221</v>
      </c>
      <c r="H128" s="220">
        <f t="shared" si="86"/>
        <v>1257</v>
      </c>
      <c r="I128" s="220">
        <f t="shared" si="87"/>
        <v>1245</v>
      </c>
      <c r="J128" s="220">
        <f t="shared" si="88"/>
        <v>1113</v>
      </c>
      <c r="K128" s="220">
        <f t="shared" si="141"/>
        <v>2440</v>
      </c>
      <c r="L128" s="220">
        <f t="shared" si="141"/>
        <v>2261</v>
      </c>
      <c r="M128" s="220">
        <f t="shared" si="141"/>
        <v>2225</v>
      </c>
      <c r="N128" s="220">
        <f t="shared" si="141"/>
        <v>2237</v>
      </c>
      <c r="O128" s="220">
        <f t="shared" si="141"/>
        <v>2369</v>
      </c>
      <c r="P128" s="220">
        <f t="shared" si="153"/>
        <v>2000</v>
      </c>
      <c r="Q128" s="220">
        <f t="shared" si="153"/>
        <v>2000</v>
      </c>
      <c r="R128" s="220">
        <f t="shared" si="153"/>
        <v>2000</v>
      </c>
      <c r="S128" s="220">
        <f t="shared" si="153"/>
        <v>2000</v>
      </c>
      <c r="T128" s="220">
        <f t="shared" si="153"/>
        <v>2000</v>
      </c>
      <c r="U128" s="220">
        <f t="shared" si="154"/>
        <v>440</v>
      </c>
      <c r="V128" s="220">
        <f t="shared" si="154"/>
        <v>261</v>
      </c>
      <c r="W128" s="220">
        <f t="shared" si="154"/>
        <v>225</v>
      </c>
      <c r="X128" s="220">
        <f t="shared" si="154"/>
        <v>237</v>
      </c>
      <c r="Y128" s="220">
        <f t="shared" si="154"/>
        <v>369</v>
      </c>
      <c r="Z128" s="220">
        <v>1</v>
      </c>
      <c r="AA128" s="220">
        <v>3</v>
      </c>
      <c r="AB128" s="220">
        <v>1</v>
      </c>
      <c r="AC128" s="220">
        <v>3</v>
      </c>
      <c r="AD128" s="220">
        <v>1</v>
      </c>
      <c r="AE128" s="220">
        <f t="shared" si="155"/>
        <v>-209</v>
      </c>
      <c r="AF128" s="220">
        <f t="shared" si="155"/>
        <v>-368</v>
      </c>
      <c r="AG128" s="220">
        <f t="shared" si="155"/>
        <v>-374</v>
      </c>
      <c r="AH128" s="220">
        <f t="shared" si="155"/>
        <v>-317</v>
      </c>
      <c r="AI128" s="220">
        <f t="shared" si="155"/>
        <v>-190</v>
      </c>
      <c r="AJ128" s="50">
        <f t="shared" si="96"/>
        <v>1.4250000000000058</v>
      </c>
      <c r="AK128" s="257"/>
      <c r="AL128" s="257">
        <f t="shared" si="97"/>
        <v>1.2</v>
      </c>
      <c r="AM128" s="52"/>
      <c r="AN128" s="88"/>
    </row>
    <row r="129" spans="1:40" s="29" customFormat="1" ht="17.25" customHeight="1">
      <c r="A129" s="48">
        <v>119</v>
      </c>
      <c r="B129" s="49">
        <f t="shared" si="89"/>
        <v>45694</v>
      </c>
      <c r="C129" s="220">
        <f t="shared" si="90"/>
        <v>1049</v>
      </c>
      <c r="D129" s="220">
        <f t="shared" ref="D129" si="159">D128+32</f>
        <v>2465</v>
      </c>
      <c r="E129" s="220">
        <f t="shared" si="92"/>
        <v>3514</v>
      </c>
      <c r="F129" s="220">
        <f t="shared" si="84"/>
        <v>1074</v>
      </c>
      <c r="G129" s="220">
        <f t="shared" si="85"/>
        <v>1253</v>
      </c>
      <c r="H129" s="220">
        <f t="shared" si="86"/>
        <v>1292</v>
      </c>
      <c r="I129" s="220">
        <f t="shared" si="87"/>
        <v>1277</v>
      </c>
      <c r="J129" s="220">
        <f t="shared" si="88"/>
        <v>1146</v>
      </c>
      <c r="K129" s="220">
        <f t="shared" si="141"/>
        <v>2440</v>
      </c>
      <c r="L129" s="220">
        <f t="shared" si="141"/>
        <v>2261</v>
      </c>
      <c r="M129" s="220">
        <f t="shared" si="141"/>
        <v>2222</v>
      </c>
      <c r="N129" s="220">
        <f t="shared" si="141"/>
        <v>2237</v>
      </c>
      <c r="O129" s="220">
        <f t="shared" si="141"/>
        <v>2368</v>
      </c>
      <c r="P129" s="220">
        <f t="shared" si="153"/>
        <v>2000</v>
      </c>
      <c r="Q129" s="220">
        <f t="shared" si="153"/>
        <v>2000</v>
      </c>
      <c r="R129" s="220">
        <f t="shared" si="153"/>
        <v>2000</v>
      </c>
      <c r="S129" s="220">
        <f t="shared" si="153"/>
        <v>2000</v>
      </c>
      <c r="T129" s="220">
        <f t="shared" si="153"/>
        <v>2000</v>
      </c>
      <c r="U129" s="220">
        <f t="shared" si="154"/>
        <v>440</v>
      </c>
      <c r="V129" s="220">
        <f t="shared" si="154"/>
        <v>261</v>
      </c>
      <c r="W129" s="220">
        <f t="shared" si="154"/>
        <v>222</v>
      </c>
      <c r="X129" s="220">
        <f t="shared" si="154"/>
        <v>237</v>
      </c>
      <c r="Y129" s="220">
        <f t="shared" si="154"/>
        <v>368</v>
      </c>
      <c r="Z129" s="220">
        <v>0</v>
      </c>
      <c r="AA129" s="220">
        <v>0</v>
      </c>
      <c r="AB129" s="220">
        <v>3</v>
      </c>
      <c r="AC129" s="220">
        <v>0</v>
      </c>
      <c r="AD129" s="220">
        <v>1</v>
      </c>
      <c r="AE129" s="220">
        <f t="shared" si="155"/>
        <v>-209</v>
      </c>
      <c r="AF129" s="220">
        <f t="shared" si="155"/>
        <v>-368</v>
      </c>
      <c r="AG129" s="220">
        <f t="shared" si="155"/>
        <v>-377</v>
      </c>
      <c r="AH129" s="220">
        <f t="shared" si="155"/>
        <v>-317</v>
      </c>
      <c r="AI129" s="220">
        <f t="shared" si="155"/>
        <v>-191</v>
      </c>
      <c r="AJ129" s="50">
        <f t="shared" si="96"/>
        <v>1.4220000000000059</v>
      </c>
      <c r="AK129" s="257"/>
      <c r="AL129" s="257">
        <f t="shared" si="97"/>
        <v>1.2</v>
      </c>
      <c r="AM129" s="52"/>
      <c r="AN129" s="88"/>
    </row>
    <row r="130" spans="1:40" s="29" customFormat="1" ht="17.25" customHeight="1">
      <c r="A130" s="48">
        <v>120</v>
      </c>
      <c r="B130" s="49">
        <f t="shared" si="89"/>
        <v>45695</v>
      </c>
      <c r="C130" s="220">
        <f t="shared" si="90"/>
        <v>1049</v>
      </c>
      <c r="D130" s="220">
        <f t="shared" ref="D130" si="160">D129-18</f>
        <v>2447</v>
      </c>
      <c r="E130" s="220">
        <f t="shared" si="92"/>
        <v>3496</v>
      </c>
      <c r="F130" s="220">
        <f t="shared" si="84"/>
        <v>1057</v>
      </c>
      <c r="G130" s="220">
        <f t="shared" si="85"/>
        <v>1235</v>
      </c>
      <c r="H130" s="220">
        <f t="shared" si="86"/>
        <v>1275</v>
      </c>
      <c r="I130" s="220">
        <f t="shared" si="87"/>
        <v>1263</v>
      </c>
      <c r="J130" s="220">
        <f t="shared" si="88"/>
        <v>1128</v>
      </c>
      <c r="K130" s="220">
        <f t="shared" si="141"/>
        <v>2439</v>
      </c>
      <c r="L130" s="220">
        <f t="shared" si="141"/>
        <v>2261</v>
      </c>
      <c r="M130" s="220">
        <f t="shared" si="141"/>
        <v>2221</v>
      </c>
      <c r="N130" s="220">
        <f t="shared" si="141"/>
        <v>2233</v>
      </c>
      <c r="O130" s="220">
        <f t="shared" si="141"/>
        <v>2368</v>
      </c>
      <c r="P130" s="220">
        <f t="shared" si="153"/>
        <v>2000</v>
      </c>
      <c r="Q130" s="220">
        <f t="shared" si="153"/>
        <v>2000</v>
      </c>
      <c r="R130" s="220">
        <f t="shared" si="153"/>
        <v>2000</v>
      </c>
      <c r="S130" s="220">
        <f t="shared" si="153"/>
        <v>2000</v>
      </c>
      <c r="T130" s="220">
        <f t="shared" si="153"/>
        <v>2000</v>
      </c>
      <c r="U130" s="220">
        <f t="shared" si="154"/>
        <v>439</v>
      </c>
      <c r="V130" s="220">
        <f t="shared" si="154"/>
        <v>261</v>
      </c>
      <c r="W130" s="220">
        <f t="shared" si="154"/>
        <v>221</v>
      </c>
      <c r="X130" s="220">
        <f t="shared" si="154"/>
        <v>233</v>
      </c>
      <c r="Y130" s="220">
        <f t="shared" si="154"/>
        <v>368</v>
      </c>
      <c r="Z130" s="220">
        <v>1</v>
      </c>
      <c r="AA130" s="220">
        <v>0</v>
      </c>
      <c r="AB130" s="220">
        <v>1</v>
      </c>
      <c r="AC130" s="220">
        <v>4</v>
      </c>
      <c r="AD130" s="220">
        <v>0</v>
      </c>
      <c r="AE130" s="220">
        <f t="shared" si="155"/>
        <v>-210</v>
      </c>
      <c r="AF130" s="220">
        <f t="shared" si="155"/>
        <v>-368</v>
      </c>
      <c r="AG130" s="220">
        <f t="shared" si="155"/>
        <v>-378</v>
      </c>
      <c r="AH130" s="220">
        <f t="shared" si="155"/>
        <v>-321</v>
      </c>
      <c r="AI130" s="220">
        <f t="shared" si="155"/>
        <v>-191</v>
      </c>
      <c r="AJ130" s="50">
        <f t="shared" si="96"/>
        <v>1.421000000000006</v>
      </c>
      <c r="AK130" s="257"/>
      <c r="AL130" s="257">
        <f t="shared" si="97"/>
        <v>1.2</v>
      </c>
      <c r="AM130" s="52"/>
      <c r="AN130" s="88"/>
    </row>
    <row r="131" spans="1:40" s="29" customFormat="1" ht="17.25" customHeight="1">
      <c r="A131" s="48">
        <v>121</v>
      </c>
      <c r="B131" s="49">
        <f t="shared" si="89"/>
        <v>45696</v>
      </c>
      <c r="C131" s="220">
        <f t="shared" si="90"/>
        <v>1049</v>
      </c>
      <c r="D131" s="220">
        <f t="shared" ref="D131" si="161">D130-26</f>
        <v>2421</v>
      </c>
      <c r="E131" s="220">
        <f t="shared" si="92"/>
        <v>3470</v>
      </c>
      <c r="F131" s="220">
        <f t="shared" si="84"/>
        <v>1031</v>
      </c>
      <c r="G131" s="220">
        <f t="shared" si="85"/>
        <v>1210</v>
      </c>
      <c r="H131" s="220">
        <f t="shared" si="86"/>
        <v>1249</v>
      </c>
      <c r="I131" s="220">
        <f t="shared" si="87"/>
        <v>1238</v>
      </c>
      <c r="J131" s="220">
        <f t="shared" si="88"/>
        <v>1102</v>
      </c>
      <c r="K131" s="220">
        <f t="shared" si="141"/>
        <v>2439</v>
      </c>
      <c r="L131" s="220">
        <f t="shared" si="141"/>
        <v>2260</v>
      </c>
      <c r="M131" s="220">
        <f t="shared" si="141"/>
        <v>2221</v>
      </c>
      <c r="N131" s="220">
        <f t="shared" si="141"/>
        <v>2232</v>
      </c>
      <c r="O131" s="220">
        <f t="shared" si="141"/>
        <v>2368</v>
      </c>
      <c r="P131" s="220">
        <f t="shared" si="153"/>
        <v>2000</v>
      </c>
      <c r="Q131" s="220">
        <f t="shared" si="153"/>
        <v>2000</v>
      </c>
      <c r="R131" s="220">
        <f t="shared" si="153"/>
        <v>2000</v>
      </c>
      <c r="S131" s="220">
        <f t="shared" si="153"/>
        <v>2000</v>
      </c>
      <c r="T131" s="220">
        <f t="shared" si="153"/>
        <v>2000</v>
      </c>
      <c r="U131" s="220">
        <f t="shared" si="154"/>
        <v>439</v>
      </c>
      <c r="V131" s="220">
        <f t="shared" si="154"/>
        <v>260</v>
      </c>
      <c r="W131" s="220">
        <f t="shared" si="154"/>
        <v>221</v>
      </c>
      <c r="X131" s="220">
        <f t="shared" si="154"/>
        <v>232</v>
      </c>
      <c r="Y131" s="220">
        <f t="shared" si="154"/>
        <v>368</v>
      </c>
      <c r="Z131" s="220">
        <v>0</v>
      </c>
      <c r="AA131" s="220">
        <v>1</v>
      </c>
      <c r="AB131" s="220">
        <v>0</v>
      </c>
      <c r="AC131" s="220">
        <v>1</v>
      </c>
      <c r="AD131" s="220">
        <v>0</v>
      </c>
      <c r="AE131" s="220">
        <f t="shared" si="155"/>
        <v>-210</v>
      </c>
      <c r="AF131" s="220">
        <f t="shared" si="155"/>
        <v>-369</v>
      </c>
      <c r="AG131" s="220">
        <f t="shared" si="155"/>
        <v>-378</v>
      </c>
      <c r="AH131" s="220">
        <f t="shared" si="155"/>
        <v>-322</v>
      </c>
      <c r="AI131" s="220">
        <f t="shared" si="155"/>
        <v>-191</v>
      </c>
      <c r="AJ131" s="50">
        <f t="shared" si="96"/>
        <v>1.421000000000006</v>
      </c>
      <c r="AK131" s="257"/>
      <c r="AL131" s="257">
        <f t="shared" si="97"/>
        <v>1.2</v>
      </c>
      <c r="AM131" s="52"/>
      <c r="AN131" s="88"/>
    </row>
    <row r="132" spans="1:40" s="29" customFormat="1" ht="17.25" customHeight="1">
      <c r="A132" s="48">
        <v>122</v>
      </c>
      <c r="B132" s="49">
        <f t="shared" si="89"/>
        <v>45697</v>
      </c>
      <c r="C132" s="220">
        <f t="shared" si="90"/>
        <v>1049</v>
      </c>
      <c r="D132" s="220">
        <f t="shared" ref="D132" si="162">D131+15</f>
        <v>2436</v>
      </c>
      <c r="E132" s="220">
        <f t="shared" si="92"/>
        <v>3485</v>
      </c>
      <c r="F132" s="220">
        <f t="shared" si="84"/>
        <v>1046</v>
      </c>
      <c r="G132" s="220">
        <f t="shared" si="85"/>
        <v>1225</v>
      </c>
      <c r="H132" s="220">
        <f t="shared" si="86"/>
        <v>1268</v>
      </c>
      <c r="I132" s="220">
        <f t="shared" si="87"/>
        <v>1253</v>
      </c>
      <c r="J132" s="220">
        <f t="shared" si="88"/>
        <v>1117</v>
      </c>
      <c r="K132" s="220">
        <f t="shared" si="141"/>
        <v>2439</v>
      </c>
      <c r="L132" s="220">
        <f t="shared" si="141"/>
        <v>2260</v>
      </c>
      <c r="M132" s="220">
        <f t="shared" si="141"/>
        <v>2217</v>
      </c>
      <c r="N132" s="220">
        <f t="shared" si="141"/>
        <v>2232</v>
      </c>
      <c r="O132" s="220">
        <f t="shared" si="141"/>
        <v>2368</v>
      </c>
      <c r="P132" s="220">
        <f t="shared" si="153"/>
        <v>2000</v>
      </c>
      <c r="Q132" s="220">
        <f t="shared" si="153"/>
        <v>2000</v>
      </c>
      <c r="R132" s="220">
        <f t="shared" si="153"/>
        <v>2000</v>
      </c>
      <c r="S132" s="220">
        <f t="shared" si="153"/>
        <v>2000</v>
      </c>
      <c r="T132" s="220">
        <f t="shared" si="153"/>
        <v>2000</v>
      </c>
      <c r="U132" s="220">
        <f t="shared" si="154"/>
        <v>439</v>
      </c>
      <c r="V132" s="220">
        <f t="shared" si="154"/>
        <v>260</v>
      </c>
      <c r="W132" s="220">
        <f t="shared" si="154"/>
        <v>217</v>
      </c>
      <c r="X132" s="220">
        <f t="shared" si="154"/>
        <v>232</v>
      </c>
      <c r="Y132" s="220">
        <f t="shared" si="154"/>
        <v>368</v>
      </c>
      <c r="Z132" s="220">
        <v>0</v>
      </c>
      <c r="AA132" s="220">
        <v>0</v>
      </c>
      <c r="AB132" s="220">
        <v>4</v>
      </c>
      <c r="AC132" s="220">
        <v>0</v>
      </c>
      <c r="AD132" s="220">
        <v>0</v>
      </c>
      <c r="AE132" s="220">
        <f t="shared" si="155"/>
        <v>-210</v>
      </c>
      <c r="AF132" s="220">
        <f t="shared" si="155"/>
        <v>-369</v>
      </c>
      <c r="AG132" s="220">
        <f t="shared" si="155"/>
        <v>-382</v>
      </c>
      <c r="AH132" s="220">
        <f t="shared" si="155"/>
        <v>-322</v>
      </c>
      <c r="AI132" s="220">
        <f t="shared" si="155"/>
        <v>-191</v>
      </c>
      <c r="AJ132" s="50">
        <f t="shared" si="96"/>
        <v>1.417000000000006</v>
      </c>
      <c r="AK132" s="257"/>
      <c r="AL132" s="257">
        <f t="shared" si="97"/>
        <v>1.2</v>
      </c>
      <c r="AM132" s="52"/>
      <c r="AN132" s="88"/>
    </row>
    <row r="133" spans="1:40" s="29" customFormat="1" ht="17.25" customHeight="1">
      <c r="A133" s="48">
        <v>123</v>
      </c>
      <c r="B133" s="49">
        <f t="shared" si="89"/>
        <v>45698</v>
      </c>
      <c r="C133" s="220">
        <f t="shared" si="90"/>
        <v>1049</v>
      </c>
      <c r="D133" s="220">
        <f t="shared" ref="D133" si="163">D132+26</f>
        <v>2462</v>
      </c>
      <c r="E133" s="220">
        <f t="shared" si="92"/>
        <v>3511</v>
      </c>
      <c r="F133" s="220">
        <f t="shared" si="84"/>
        <v>1073</v>
      </c>
      <c r="G133" s="220">
        <f t="shared" si="85"/>
        <v>1255</v>
      </c>
      <c r="H133" s="220">
        <f t="shared" si="86"/>
        <v>1295</v>
      </c>
      <c r="I133" s="220">
        <f t="shared" si="87"/>
        <v>1282</v>
      </c>
      <c r="J133" s="220">
        <f t="shared" si="88"/>
        <v>1143</v>
      </c>
      <c r="K133" s="220">
        <f t="shared" si="141"/>
        <v>2438</v>
      </c>
      <c r="L133" s="220">
        <f t="shared" si="141"/>
        <v>2256</v>
      </c>
      <c r="M133" s="220">
        <f t="shared" si="141"/>
        <v>2216</v>
      </c>
      <c r="N133" s="220">
        <f t="shared" si="141"/>
        <v>2229</v>
      </c>
      <c r="O133" s="220">
        <f t="shared" si="141"/>
        <v>2368</v>
      </c>
      <c r="P133" s="220">
        <f t="shared" si="153"/>
        <v>2000</v>
      </c>
      <c r="Q133" s="220">
        <f t="shared" si="153"/>
        <v>2000</v>
      </c>
      <c r="R133" s="220">
        <f t="shared" si="153"/>
        <v>2000</v>
      </c>
      <c r="S133" s="220">
        <f t="shared" si="153"/>
        <v>2000</v>
      </c>
      <c r="T133" s="220">
        <f t="shared" si="153"/>
        <v>2000</v>
      </c>
      <c r="U133" s="220">
        <f t="shared" si="154"/>
        <v>438</v>
      </c>
      <c r="V133" s="220">
        <f t="shared" si="154"/>
        <v>256</v>
      </c>
      <c r="W133" s="220">
        <f t="shared" si="154"/>
        <v>216</v>
      </c>
      <c r="X133" s="220">
        <f t="shared" si="154"/>
        <v>229</v>
      </c>
      <c r="Y133" s="220">
        <f t="shared" si="154"/>
        <v>368</v>
      </c>
      <c r="Z133" s="220">
        <v>1</v>
      </c>
      <c r="AA133" s="220">
        <v>4</v>
      </c>
      <c r="AB133" s="220">
        <v>1</v>
      </c>
      <c r="AC133" s="220">
        <v>3</v>
      </c>
      <c r="AD133" s="220">
        <v>0</v>
      </c>
      <c r="AE133" s="220">
        <f t="shared" si="155"/>
        <v>-211</v>
      </c>
      <c r="AF133" s="220">
        <f t="shared" si="155"/>
        <v>-373</v>
      </c>
      <c r="AG133" s="220">
        <f t="shared" si="155"/>
        <v>-383</v>
      </c>
      <c r="AH133" s="220">
        <f t="shared" si="155"/>
        <v>-325</v>
      </c>
      <c r="AI133" s="220">
        <f t="shared" si="155"/>
        <v>-191</v>
      </c>
      <c r="AJ133" s="50">
        <f t="shared" si="96"/>
        <v>1.4160000000000061</v>
      </c>
      <c r="AK133" s="257"/>
      <c r="AL133" s="257">
        <f t="shared" si="97"/>
        <v>1.2</v>
      </c>
      <c r="AM133" s="52"/>
      <c r="AN133" s="88"/>
    </row>
    <row r="134" spans="1:40" s="29" customFormat="1" ht="17.25" customHeight="1">
      <c r="A134" s="48">
        <v>124</v>
      </c>
      <c r="B134" s="49">
        <f t="shared" si="89"/>
        <v>45699</v>
      </c>
      <c r="C134" s="220">
        <f t="shared" si="90"/>
        <v>1049</v>
      </c>
      <c r="D134" s="220">
        <f t="shared" ref="D134" si="164">D133+32</f>
        <v>2494</v>
      </c>
      <c r="E134" s="220">
        <f t="shared" si="92"/>
        <v>3543</v>
      </c>
      <c r="F134" s="220">
        <f t="shared" si="84"/>
        <v>1105</v>
      </c>
      <c r="G134" s="220">
        <f t="shared" si="85"/>
        <v>1287</v>
      </c>
      <c r="H134" s="220">
        <f t="shared" si="86"/>
        <v>1327</v>
      </c>
      <c r="I134" s="220">
        <f t="shared" si="87"/>
        <v>1314</v>
      </c>
      <c r="J134" s="220">
        <f t="shared" si="88"/>
        <v>1176</v>
      </c>
      <c r="K134" s="220">
        <f t="shared" si="141"/>
        <v>2438</v>
      </c>
      <c r="L134" s="220">
        <f t="shared" si="141"/>
        <v>2256</v>
      </c>
      <c r="M134" s="220">
        <f t="shared" si="141"/>
        <v>2216</v>
      </c>
      <c r="N134" s="220">
        <f t="shared" si="141"/>
        <v>2229</v>
      </c>
      <c r="O134" s="220">
        <f t="shared" si="141"/>
        <v>2367</v>
      </c>
      <c r="P134" s="220">
        <f t="shared" si="153"/>
        <v>2000</v>
      </c>
      <c r="Q134" s="220">
        <f t="shared" si="153"/>
        <v>2000</v>
      </c>
      <c r="R134" s="220">
        <f t="shared" si="153"/>
        <v>2000</v>
      </c>
      <c r="S134" s="220">
        <f t="shared" si="153"/>
        <v>2000</v>
      </c>
      <c r="T134" s="220">
        <f t="shared" si="153"/>
        <v>2000</v>
      </c>
      <c r="U134" s="220">
        <f t="shared" si="154"/>
        <v>438</v>
      </c>
      <c r="V134" s="220">
        <f t="shared" si="154"/>
        <v>256</v>
      </c>
      <c r="W134" s="220">
        <f t="shared" si="154"/>
        <v>216</v>
      </c>
      <c r="X134" s="220">
        <f t="shared" si="154"/>
        <v>229</v>
      </c>
      <c r="Y134" s="220">
        <f t="shared" si="154"/>
        <v>367</v>
      </c>
      <c r="Z134" s="220">
        <v>0</v>
      </c>
      <c r="AA134" s="220">
        <v>0</v>
      </c>
      <c r="AB134" s="220">
        <v>0</v>
      </c>
      <c r="AC134" s="220">
        <v>0</v>
      </c>
      <c r="AD134" s="220">
        <v>1</v>
      </c>
      <c r="AE134" s="220">
        <f t="shared" si="155"/>
        <v>-211</v>
      </c>
      <c r="AF134" s="220">
        <f t="shared" si="155"/>
        <v>-373</v>
      </c>
      <c r="AG134" s="220">
        <f t="shared" si="155"/>
        <v>-383</v>
      </c>
      <c r="AH134" s="220">
        <f t="shared" si="155"/>
        <v>-325</v>
      </c>
      <c r="AI134" s="220">
        <f t="shared" si="155"/>
        <v>-192</v>
      </c>
      <c r="AJ134" s="50">
        <f t="shared" si="96"/>
        <v>1.4160000000000061</v>
      </c>
      <c r="AK134" s="257"/>
      <c r="AL134" s="257">
        <f t="shared" si="97"/>
        <v>1.2</v>
      </c>
      <c r="AM134" s="52"/>
      <c r="AN134" s="88"/>
    </row>
    <row r="135" spans="1:40" s="29" customFormat="1" ht="17.25" customHeight="1">
      <c r="A135" s="48">
        <v>125</v>
      </c>
      <c r="B135" s="49">
        <f t="shared" si="89"/>
        <v>45700</v>
      </c>
      <c r="C135" s="220">
        <f t="shared" si="90"/>
        <v>1049</v>
      </c>
      <c r="D135" s="220">
        <f t="shared" ref="D135" si="165">D134-18</f>
        <v>2476</v>
      </c>
      <c r="E135" s="220">
        <f t="shared" si="92"/>
        <v>3525</v>
      </c>
      <c r="F135" s="220">
        <f t="shared" si="84"/>
        <v>1087</v>
      </c>
      <c r="G135" s="220">
        <f t="shared" si="85"/>
        <v>1269</v>
      </c>
      <c r="H135" s="220">
        <f t="shared" si="86"/>
        <v>1312</v>
      </c>
      <c r="I135" s="220">
        <f t="shared" si="87"/>
        <v>1296</v>
      </c>
      <c r="J135" s="220">
        <f t="shared" si="88"/>
        <v>1158</v>
      </c>
      <c r="K135" s="220">
        <f t="shared" si="141"/>
        <v>2438</v>
      </c>
      <c r="L135" s="220">
        <f t="shared" si="141"/>
        <v>2256</v>
      </c>
      <c r="M135" s="220">
        <f t="shared" si="141"/>
        <v>2213</v>
      </c>
      <c r="N135" s="220">
        <f t="shared" si="141"/>
        <v>2229</v>
      </c>
      <c r="O135" s="220">
        <f t="shared" si="141"/>
        <v>2367</v>
      </c>
      <c r="P135" s="220">
        <f t="shared" si="153"/>
        <v>2000</v>
      </c>
      <c r="Q135" s="220">
        <f t="shared" si="153"/>
        <v>2000</v>
      </c>
      <c r="R135" s="220">
        <f t="shared" si="153"/>
        <v>2000</v>
      </c>
      <c r="S135" s="220">
        <f t="shared" si="153"/>
        <v>2000</v>
      </c>
      <c r="T135" s="220">
        <f t="shared" si="153"/>
        <v>2000</v>
      </c>
      <c r="U135" s="220">
        <f t="shared" si="154"/>
        <v>438</v>
      </c>
      <c r="V135" s="220">
        <f t="shared" si="154"/>
        <v>256</v>
      </c>
      <c r="W135" s="220">
        <f t="shared" si="154"/>
        <v>213</v>
      </c>
      <c r="X135" s="220">
        <f t="shared" si="154"/>
        <v>229</v>
      </c>
      <c r="Y135" s="220">
        <f t="shared" si="154"/>
        <v>367</v>
      </c>
      <c r="Z135" s="220">
        <v>0</v>
      </c>
      <c r="AA135" s="220">
        <v>0</v>
      </c>
      <c r="AB135" s="220">
        <v>3</v>
      </c>
      <c r="AC135" s="220">
        <v>0</v>
      </c>
      <c r="AD135" s="220">
        <v>0</v>
      </c>
      <c r="AE135" s="220">
        <f t="shared" si="155"/>
        <v>-211</v>
      </c>
      <c r="AF135" s="220">
        <f t="shared" si="155"/>
        <v>-373</v>
      </c>
      <c r="AG135" s="220">
        <f t="shared" si="155"/>
        <v>-386</v>
      </c>
      <c r="AH135" s="220">
        <f t="shared" si="155"/>
        <v>-325</v>
      </c>
      <c r="AI135" s="220">
        <f t="shared" si="155"/>
        <v>-192</v>
      </c>
      <c r="AJ135" s="50">
        <f t="shared" si="96"/>
        <v>1.4130000000000063</v>
      </c>
      <c r="AK135" s="257"/>
      <c r="AL135" s="257">
        <f t="shared" si="97"/>
        <v>1.2</v>
      </c>
      <c r="AM135" s="52"/>
      <c r="AN135" s="88"/>
    </row>
    <row r="136" spans="1:40" s="29" customFormat="1" ht="17.25" customHeight="1">
      <c r="A136" s="48">
        <v>126</v>
      </c>
      <c r="B136" s="49">
        <f t="shared" si="89"/>
        <v>45701</v>
      </c>
      <c r="C136" s="220">
        <f t="shared" si="90"/>
        <v>1049</v>
      </c>
      <c r="D136" s="220">
        <f t="shared" ref="D136" si="166">D135-26</f>
        <v>2450</v>
      </c>
      <c r="E136" s="220">
        <f t="shared" si="92"/>
        <v>3499</v>
      </c>
      <c r="F136" s="220">
        <f t="shared" si="84"/>
        <v>1062</v>
      </c>
      <c r="G136" s="220">
        <f t="shared" si="85"/>
        <v>1244</v>
      </c>
      <c r="H136" s="220">
        <f t="shared" si="86"/>
        <v>1287</v>
      </c>
      <c r="I136" s="220">
        <f t="shared" si="87"/>
        <v>1274</v>
      </c>
      <c r="J136" s="220">
        <f t="shared" si="88"/>
        <v>1132</v>
      </c>
      <c r="K136" s="220">
        <f t="shared" si="141"/>
        <v>2437</v>
      </c>
      <c r="L136" s="220">
        <f t="shared" si="141"/>
        <v>2255</v>
      </c>
      <c r="M136" s="220">
        <f t="shared" si="141"/>
        <v>2212</v>
      </c>
      <c r="N136" s="220">
        <f t="shared" si="141"/>
        <v>2225</v>
      </c>
      <c r="O136" s="220">
        <f t="shared" si="141"/>
        <v>2367</v>
      </c>
      <c r="P136" s="220">
        <f t="shared" si="153"/>
        <v>2000</v>
      </c>
      <c r="Q136" s="220">
        <f t="shared" si="153"/>
        <v>2000</v>
      </c>
      <c r="R136" s="220">
        <f t="shared" si="153"/>
        <v>2000</v>
      </c>
      <c r="S136" s="220">
        <f t="shared" si="153"/>
        <v>2000</v>
      </c>
      <c r="T136" s="220">
        <f t="shared" si="153"/>
        <v>2000</v>
      </c>
      <c r="U136" s="220">
        <f t="shared" si="154"/>
        <v>437</v>
      </c>
      <c r="V136" s="220">
        <f t="shared" si="154"/>
        <v>255</v>
      </c>
      <c r="W136" s="220">
        <f t="shared" si="154"/>
        <v>212</v>
      </c>
      <c r="X136" s="220">
        <f t="shared" si="154"/>
        <v>225</v>
      </c>
      <c r="Y136" s="220">
        <f t="shared" si="154"/>
        <v>367</v>
      </c>
      <c r="Z136" s="220">
        <v>1</v>
      </c>
      <c r="AA136" s="220">
        <v>1</v>
      </c>
      <c r="AB136" s="220">
        <v>1</v>
      </c>
      <c r="AC136" s="220">
        <v>4</v>
      </c>
      <c r="AD136" s="220">
        <v>0</v>
      </c>
      <c r="AE136" s="220">
        <f t="shared" si="155"/>
        <v>-212</v>
      </c>
      <c r="AF136" s="220">
        <f t="shared" si="155"/>
        <v>-374</v>
      </c>
      <c r="AG136" s="220">
        <f t="shared" si="155"/>
        <v>-387</v>
      </c>
      <c r="AH136" s="220">
        <f t="shared" si="155"/>
        <v>-329</v>
      </c>
      <c r="AI136" s="220">
        <f t="shared" si="155"/>
        <v>-192</v>
      </c>
      <c r="AJ136" s="50">
        <f t="shared" si="96"/>
        <v>1.4120000000000064</v>
      </c>
      <c r="AK136" s="257"/>
      <c r="AL136" s="257">
        <f t="shared" si="97"/>
        <v>1.2</v>
      </c>
      <c r="AM136" s="52"/>
      <c r="AN136" s="88"/>
    </row>
    <row r="137" spans="1:40" s="29" customFormat="1" ht="17.25" customHeight="1">
      <c r="A137" s="48">
        <v>127</v>
      </c>
      <c r="B137" s="49">
        <f t="shared" si="89"/>
        <v>45702</v>
      </c>
      <c r="C137" s="220">
        <f t="shared" si="90"/>
        <v>1049</v>
      </c>
      <c r="D137" s="220">
        <f t="shared" ref="D137" si="167">D136+15</f>
        <v>2465</v>
      </c>
      <c r="E137" s="220">
        <f t="shared" si="92"/>
        <v>3514</v>
      </c>
      <c r="F137" s="220">
        <f t="shared" si="84"/>
        <v>1077</v>
      </c>
      <c r="G137" s="220">
        <f t="shared" si="85"/>
        <v>1260</v>
      </c>
      <c r="H137" s="220">
        <f t="shared" si="86"/>
        <v>1302</v>
      </c>
      <c r="I137" s="220">
        <f t="shared" si="87"/>
        <v>1290</v>
      </c>
      <c r="J137" s="220">
        <f t="shared" si="88"/>
        <v>1147</v>
      </c>
      <c r="K137" s="220">
        <f t="shared" si="141"/>
        <v>2437</v>
      </c>
      <c r="L137" s="220">
        <f t="shared" si="141"/>
        <v>2254</v>
      </c>
      <c r="M137" s="220">
        <f t="shared" si="141"/>
        <v>2212</v>
      </c>
      <c r="N137" s="220">
        <f t="shared" si="141"/>
        <v>2224</v>
      </c>
      <c r="O137" s="220">
        <f t="shared" si="141"/>
        <v>2367</v>
      </c>
      <c r="P137" s="220">
        <f t="shared" si="153"/>
        <v>2000</v>
      </c>
      <c r="Q137" s="220">
        <f t="shared" si="153"/>
        <v>2000</v>
      </c>
      <c r="R137" s="220">
        <f t="shared" si="153"/>
        <v>2000</v>
      </c>
      <c r="S137" s="220">
        <f t="shared" si="153"/>
        <v>2000</v>
      </c>
      <c r="T137" s="220">
        <f t="shared" si="153"/>
        <v>2000</v>
      </c>
      <c r="U137" s="220">
        <f t="shared" si="154"/>
        <v>437</v>
      </c>
      <c r="V137" s="220">
        <f t="shared" si="154"/>
        <v>254</v>
      </c>
      <c r="W137" s="220">
        <f t="shared" si="154"/>
        <v>212</v>
      </c>
      <c r="X137" s="220">
        <f t="shared" si="154"/>
        <v>224</v>
      </c>
      <c r="Y137" s="220">
        <f t="shared" si="154"/>
        <v>367</v>
      </c>
      <c r="Z137" s="220">
        <v>0</v>
      </c>
      <c r="AA137" s="220">
        <v>1</v>
      </c>
      <c r="AB137" s="220">
        <v>0</v>
      </c>
      <c r="AC137" s="220">
        <v>1</v>
      </c>
      <c r="AD137" s="220">
        <v>0</v>
      </c>
      <c r="AE137" s="220">
        <f t="shared" si="155"/>
        <v>-212</v>
      </c>
      <c r="AF137" s="220">
        <f t="shared" si="155"/>
        <v>-375</v>
      </c>
      <c r="AG137" s="220">
        <f t="shared" si="155"/>
        <v>-387</v>
      </c>
      <c r="AH137" s="220">
        <f t="shared" si="155"/>
        <v>-330</v>
      </c>
      <c r="AI137" s="220">
        <f t="shared" si="155"/>
        <v>-192</v>
      </c>
      <c r="AJ137" s="50">
        <f t="shared" si="96"/>
        <v>1.4120000000000064</v>
      </c>
      <c r="AK137" s="257"/>
      <c r="AL137" s="257">
        <f t="shared" si="97"/>
        <v>1.2</v>
      </c>
      <c r="AM137" s="52"/>
      <c r="AN137" s="88"/>
    </row>
    <row r="138" spans="1:40" s="29" customFormat="1" ht="17.25" customHeight="1">
      <c r="A138" s="48">
        <v>128</v>
      </c>
      <c r="B138" s="49">
        <f t="shared" si="89"/>
        <v>45703</v>
      </c>
      <c r="C138" s="220">
        <f t="shared" si="90"/>
        <v>1049</v>
      </c>
      <c r="D138" s="220">
        <f t="shared" ref="D138" si="168">D137+26</f>
        <v>2491</v>
      </c>
      <c r="E138" s="220">
        <f t="shared" si="92"/>
        <v>3540</v>
      </c>
      <c r="F138" s="220">
        <f t="shared" si="84"/>
        <v>1104</v>
      </c>
      <c r="G138" s="220">
        <f t="shared" si="85"/>
        <v>1286</v>
      </c>
      <c r="H138" s="220">
        <f t="shared" si="86"/>
        <v>1331</v>
      </c>
      <c r="I138" s="220">
        <f t="shared" si="87"/>
        <v>1316</v>
      </c>
      <c r="J138" s="220">
        <f t="shared" si="88"/>
        <v>1174</v>
      </c>
      <c r="K138" s="220">
        <f t="shared" si="141"/>
        <v>2436</v>
      </c>
      <c r="L138" s="220">
        <f t="shared" si="141"/>
        <v>2254</v>
      </c>
      <c r="M138" s="220">
        <f t="shared" si="141"/>
        <v>2209</v>
      </c>
      <c r="N138" s="220">
        <f t="shared" si="141"/>
        <v>2224</v>
      </c>
      <c r="O138" s="220">
        <f t="shared" si="141"/>
        <v>2366</v>
      </c>
      <c r="P138" s="220">
        <f t="shared" si="153"/>
        <v>2000</v>
      </c>
      <c r="Q138" s="220">
        <f t="shared" si="153"/>
        <v>2000</v>
      </c>
      <c r="R138" s="220">
        <f t="shared" si="153"/>
        <v>2000</v>
      </c>
      <c r="S138" s="220">
        <f t="shared" si="153"/>
        <v>2000</v>
      </c>
      <c r="T138" s="220">
        <f t="shared" si="153"/>
        <v>2000</v>
      </c>
      <c r="U138" s="220">
        <f t="shared" si="154"/>
        <v>436</v>
      </c>
      <c r="V138" s="220">
        <f t="shared" si="154"/>
        <v>254</v>
      </c>
      <c r="W138" s="220">
        <f t="shared" si="154"/>
        <v>209</v>
      </c>
      <c r="X138" s="220">
        <f t="shared" si="154"/>
        <v>224</v>
      </c>
      <c r="Y138" s="220">
        <f t="shared" si="154"/>
        <v>366</v>
      </c>
      <c r="Z138" s="220">
        <v>1</v>
      </c>
      <c r="AA138" s="220">
        <v>0</v>
      </c>
      <c r="AB138" s="220">
        <v>3</v>
      </c>
      <c r="AC138" s="220">
        <v>0</v>
      </c>
      <c r="AD138" s="220">
        <v>1</v>
      </c>
      <c r="AE138" s="220">
        <f t="shared" si="155"/>
        <v>-213</v>
      </c>
      <c r="AF138" s="220">
        <f t="shared" si="155"/>
        <v>-375</v>
      </c>
      <c r="AG138" s="220">
        <f t="shared" si="155"/>
        <v>-390</v>
      </c>
      <c r="AH138" s="220">
        <f t="shared" si="155"/>
        <v>-330</v>
      </c>
      <c r="AI138" s="220">
        <f t="shared" si="155"/>
        <v>-193</v>
      </c>
      <c r="AJ138" s="50">
        <f t="shared" si="96"/>
        <v>1.4090000000000065</v>
      </c>
      <c r="AK138" s="257"/>
      <c r="AL138" s="257">
        <f t="shared" si="97"/>
        <v>1.2</v>
      </c>
      <c r="AM138" s="52"/>
      <c r="AN138" s="88"/>
    </row>
    <row r="139" spans="1:40" s="29" customFormat="1" ht="17.25" customHeight="1">
      <c r="A139" s="48">
        <v>129</v>
      </c>
      <c r="B139" s="49">
        <f t="shared" si="89"/>
        <v>45704</v>
      </c>
      <c r="C139" s="220">
        <f t="shared" si="90"/>
        <v>1049</v>
      </c>
      <c r="D139" s="220">
        <f t="shared" ref="D139" si="169">D138+32</f>
        <v>2523</v>
      </c>
      <c r="E139" s="220">
        <f t="shared" si="92"/>
        <v>3572</v>
      </c>
      <c r="F139" s="220">
        <f t="shared" si="84"/>
        <v>1136</v>
      </c>
      <c r="G139" s="220">
        <f t="shared" si="85"/>
        <v>1318</v>
      </c>
      <c r="H139" s="220">
        <f t="shared" si="86"/>
        <v>1363</v>
      </c>
      <c r="I139" s="220">
        <f t="shared" si="87"/>
        <v>1352</v>
      </c>
      <c r="J139" s="220">
        <f t="shared" si="88"/>
        <v>1206</v>
      </c>
      <c r="K139" s="220">
        <f t="shared" si="141"/>
        <v>2436</v>
      </c>
      <c r="L139" s="220">
        <f t="shared" si="141"/>
        <v>2254</v>
      </c>
      <c r="M139" s="220">
        <f t="shared" si="141"/>
        <v>2209</v>
      </c>
      <c r="N139" s="220">
        <f t="shared" si="141"/>
        <v>2220</v>
      </c>
      <c r="O139" s="220">
        <f t="shared" si="141"/>
        <v>2366</v>
      </c>
      <c r="P139" s="220">
        <f t="shared" si="153"/>
        <v>2000</v>
      </c>
      <c r="Q139" s="220">
        <f t="shared" si="153"/>
        <v>2000</v>
      </c>
      <c r="R139" s="220">
        <f t="shared" si="153"/>
        <v>2000</v>
      </c>
      <c r="S139" s="220">
        <f t="shared" si="153"/>
        <v>2000</v>
      </c>
      <c r="T139" s="220">
        <f t="shared" si="153"/>
        <v>2000</v>
      </c>
      <c r="U139" s="220">
        <f t="shared" si="154"/>
        <v>436</v>
      </c>
      <c r="V139" s="220">
        <f t="shared" si="154"/>
        <v>254</v>
      </c>
      <c r="W139" s="220">
        <f t="shared" si="154"/>
        <v>209</v>
      </c>
      <c r="X139" s="220">
        <f t="shared" si="154"/>
        <v>220</v>
      </c>
      <c r="Y139" s="220">
        <f t="shared" si="154"/>
        <v>366</v>
      </c>
      <c r="Z139" s="220">
        <v>0</v>
      </c>
      <c r="AA139" s="220">
        <v>0</v>
      </c>
      <c r="AB139" s="220">
        <v>0</v>
      </c>
      <c r="AC139" s="220">
        <v>4</v>
      </c>
      <c r="AD139" s="220">
        <v>0</v>
      </c>
      <c r="AE139" s="220">
        <f t="shared" si="155"/>
        <v>-213</v>
      </c>
      <c r="AF139" s="220">
        <f t="shared" si="155"/>
        <v>-375</v>
      </c>
      <c r="AG139" s="220">
        <f t="shared" si="155"/>
        <v>-390</v>
      </c>
      <c r="AH139" s="220">
        <f t="shared" si="155"/>
        <v>-334</v>
      </c>
      <c r="AI139" s="220">
        <f t="shared" si="155"/>
        <v>-193</v>
      </c>
      <c r="AJ139" s="50">
        <f t="shared" si="96"/>
        <v>1.4090000000000065</v>
      </c>
      <c r="AK139" s="257"/>
      <c r="AL139" s="257">
        <f t="shared" si="97"/>
        <v>1.2</v>
      </c>
      <c r="AM139" s="52"/>
      <c r="AN139" s="88"/>
    </row>
    <row r="140" spans="1:40" s="29" customFormat="1" ht="17.25" customHeight="1">
      <c r="A140" s="48">
        <v>130</v>
      </c>
      <c r="B140" s="49">
        <f t="shared" si="89"/>
        <v>45705</v>
      </c>
      <c r="C140" s="220">
        <f t="shared" si="90"/>
        <v>1049</v>
      </c>
      <c r="D140" s="220">
        <f t="shared" ref="D140" si="170">D139-18</f>
        <v>2505</v>
      </c>
      <c r="E140" s="220">
        <f t="shared" si="92"/>
        <v>3554</v>
      </c>
      <c r="F140" s="220">
        <f t="shared" ref="F140:F190" si="171">E140-K140</f>
        <v>1119</v>
      </c>
      <c r="G140" s="220">
        <f t="shared" ref="G140:G190" si="172">E140-L140</f>
        <v>1304</v>
      </c>
      <c r="H140" s="220">
        <f t="shared" ref="H140:H190" si="173">E140-M140</f>
        <v>1346</v>
      </c>
      <c r="I140" s="220">
        <f t="shared" ref="I140:I190" si="174">E140-N140</f>
        <v>1334</v>
      </c>
      <c r="J140" s="220">
        <f t="shared" ref="J140:J190" si="175">E140-O140</f>
        <v>1189</v>
      </c>
      <c r="K140" s="220">
        <f t="shared" si="141"/>
        <v>2435</v>
      </c>
      <c r="L140" s="220">
        <f t="shared" si="141"/>
        <v>2250</v>
      </c>
      <c r="M140" s="220">
        <f t="shared" si="141"/>
        <v>2208</v>
      </c>
      <c r="N140" s="220">
        <f t="shared" si="141"/>
        <v>2220</v>
      </c>
      <c r="O140" s="220">
        <f t="shared" si="141"/>
        <v>2365</v>
      </c>
      <c r="P140" s="220">
        <f t="shared" si="153"/>
        <v>2000</v>
      </c>
      <c r="Q140" s="220">
        <f t="shared" si="153"/>
        <v>2000</v>
      </c>
      <c r="R140" s="220">
        <f t="shared" si="153"/>
        <v>2000</v>
      </c>
      <c r="S140" s="220">
        <f t="shared" si="153"/>
        <v>2000</v>
      </c>
      <c r="T140" s="220">
        <f t="shared" si="153"/>
        <v>2000</v>
      </c>
      <c r="U140" s="220">
        <f t="shared" si="154"/>
        <v>435</v>
      </c>
      <c r="V140" s="220">
        <f t="shared" si="154"/>
        <v>250</v>
      </c>
      <c r="W140" s="220">
        <f t="shared" si="154"/>
        <v>208</v>
      </c>
      <c r="X140" s="220">
        <f t="shared" si="154"/>
        <v>220</v>
      </c>
      <c r="Y140" s="220">
        <f t="shared" si="154"/>
        <v>365</v>
      </c>
      <c r="Z140" s="220">
        <v>1</v>
      </c>
      <c r="AA140" s="220">
        <v>4</v>
      </c>
      <c r="AB140" s="220">
        <v>1</v>
      </c>
      <c r="AC140" s="220">
        <v>0</v>
      </c>
      <c r="AD140" s="220">
        <v>1</v>
      </c>
      <c r="AE140" s="220">
        <f t="shared" si="155"/>
        <v>-214</v>
      </c>
      <c r="AF140" s="220">
        <f t="shared" si="155"/>
        <v>-379</v>
      </c>
      <c r="AG140" s="220">
        <f t="shared" si="155"/>
        <v>-391</v>
      </c>
      <c r="AH140" s="220">
        <f t="shared" si="155"/>
        <v>-334</v>
      </c>
      <c r="AI140" s="220">
        <f t="shared" si="155"/>
        <v>-194</v>
      </c>
      <c r="AJ140" s="50">
        <f t="shared" si="96"/>
        <v>1.4080000000000066</v>
      </c>
      <c r="AK140" s="257"/>
      <c r="AL140" s="257">
        <f t="shared" si="97"/>
        <v>1.2</v>
      </c>
      <c r="AM140" s="52"/>
      <c r="AN140" s="88"/>
    </row>
    <row r="141" spans="1:40" s="29" customFormat="1" ht="17.25" customHeight="1">
      <c r="A141" s="48">
        <v>131</v>
      </c>
      <c r="B141" s="49">
        <f t="shared" ref="B141:B192" si="176">B140+1</f>
        <v>45706</v>
      </c>
      <c r="C141" s="220">
        <f t="shared" ref="C141:C191" si="177">+C140</f>
        <v>1049</v>
      </c>
      <c r="D141" s="220">
        <f t="shared" ref="D141" si="178">D140-26</f>
        <v>2479</v>
      </c>
      <c r="E141" s="220">
        <f t="shared" ref="E141:E190" si="179">+C141+D141</f>
        <v>3528</v>
      </c>
      <c r="F141" s="220">
        <f t="shared" si="171"/>
        <v>1093</v>
      </c>
      <c r="G141" s="220">
        <f t="shared" si="172"/>
        <v>1281</v>
      </c>
      <c r="H141" s="220">
        <f t="shared" si="173"/>
        <v>1320</v>
      </c>
      <c r="I141" s="220">
        <f t="shared" si="174"/>
        <v>1310</v>
      </c>
      <c r="J141" s="220">
        <f t="shared" si="175"/>
        <v>1164</v>
      </c>
      <c r="K141" s="220">
        <f t="shared" si="141"/>
        <v>2435</v>
      </c>
      <c r="L141" s="220">
        <f t="shared" si="141"/>
        <v>2247</v>
      </c>
      <c r="M141" s="220">
        <f t="shared" si="141"/>
        <v>2208</v>
      </c>
      <c r="N141" s="220">
        <f t="shared" si="141"/>
        <v>2218</v>
      </c>
      <c r="O141" s="220">
        <f t="shared" si="141"/>
        <v>2364</v>
      </c>
      <c r="P141" s="220">
        <f t="shared" ref="P141:T156" si="180">+P140</f>
        <v>2000</v>
      </c>
      <c r="Q141" s="220">
        <f t="shared" si="180"/>
        <v>2000</v>
      </c>
      <c r="R141" s="220">
        <f t="shared" si="180"/>
        <v>2000</v>
      </c>
      <c r="S141" s="220">
        <f t="shared" si="180"/>
        <v>2000</v>
      </c>
      <c r="T141" s="220">
        <f t="shared" si="180"/>
        <v>2000</v>
      </c>
      <c r="U141" s="220">
        <f t="shared" ref="U141:Y156" si="181">U140-Z141</f>
        <v>435</v>
      </c>
      <c r="V141" s="220">
        <f t="shared" si="181"/>
        <v>247</v>
      </c>
      <c r="W141" s="220">
        <f t="shared" si="181"/>
        <v>208</v>
      </c>
      <c r="X141" s="220">
        <f t="shared" si="181"/>
        <v>218</v>
      </c>
      <c r="Y141" s="220">
        <f t="shared" si="181"/>
        <v>364</v>
      </c>
      <c r="Z141" s="220">
        <v>0</v>
      </c>
      <c r="AA141" s="220">
        <v>3</v>
      </c>
      <c r="AB141" s="220">
        <v>0</v>
      </c>
      <c r="AC141" s="220">
        <v>2</v>
      </c>
      <c r="AD141" s="220">
        <v>1</v>
      </c>
      <c r="AE141" s="220">
        <f t="shared" ref="AE141:AI156" si="182">AE140-Z141</f>
        <v>-214</v>
      </c>
      <c r="AF141" s="220">
        <f t="shared" si="182"/>
        <v>-382</v>
      </c>
      <c r="AG141" s="220">
        <f t="shared" si="182"/>
        <v>-391</v>
      </c>
      <c r="AH141" s="220">
        <f t="shared" si="182"/>
        <v>-336</v>
      </c>
      <c r="AI141" s="220">
        <f t="shared" si="182"/>
        <v>-195</v>
      </c>
      <c r="AJ141" s="50">
        <f t="shared" ref="AJ141:AJ190" si="183">AJ140-AB141/1000+AK141</f>
        <v>1.4080000000000066</v>
      </c>
      <c r="AK141" s="257"/>
      <c r="AL141" s="257">
        <f t="shared" ref="AL141:AL190" si="184">AL140+AK141</f>
        <v>1.2</v>
      </c>
      <c r="AM141" s="52"/>
      <c r="AN141" s="88"/>
    </row>
    <row r="142" spans="1:40" s="29" customFormat="1" ht="17.25" customHeight="1">
      <c r="A142" s="48">
        <v>132</v>
      </c>
      <c r="B142" s="49">
        <f t="shared" si="176"/>
        <v>45707</v>
      </c>
      <c r="C142" s="220">
        <f t="shared" si="177"/>
        <v>1049</v>
      </c>
      <c r="D142" s="220">
        <f t="shared" ref="D142" si="185">D141+15</f>
        <v>2494</v>
      </c>
      <c r="E142" s="220">
        <f t="shared" si="179"/>
        <v>3543</v>
      </c>
      <c r="F142" s="220">
        <f t="shared" si="171"/>
        <v>1109</v>
      </c>
      <c r="G142" s="220">
        <f t="shared" si="172"/>
        <v>1296</v>
      </c>
      <c r="H142" s="220">
        <f t="shared" si="173"/>
        <v>1339</v>
      </c>
      <c r="I142" s="220">
        <f t="shared" si="174"/>
        <v>1325</v>
      </c>
      <c r="J142" s="220">
        <f t="shared" si="175"/>
        <v>1179</v>
      </c>
      <c r="K142" s="220">
        <f t="shared" si="141"/>
        <v>2434</v>
      </c>
      <c r="L142" s="220">
        <f t="shared" si="141"/>
        <v>2247</v>
      </c>
      <c r="M142" s="220">
        <f t="shared" si="141"/>
        <v>2204</v>
      </c>
      <c r="N142" s="220">
        <f t="shared" si="141"/>
        <v>2218</v>
      </c>
      <c r="O142" s="220">
        <f t="shared" si="141"/>
        <v>2364</v>
      </c>
      <c r="P142" s="220">
        <f t="shared" si="180"/>
        <v>2000</v>
      </c>
      <c r="Q142" s="220">
        <f t="shared" si="180"/>
        <v>2000</v>
      </c>
      <c r="R142" s="220">
        <f t="shared" si="180"/>
        <v>2000</v>
      </c>
      <c r="S142" s="220">
        <f t="shared" si="180"/>
        <v>2000</v>
      </c>
      <c r="T142" s="220">
        <f t="shared" si="180"/>
        <v>2000</v>
      </c>
      <c r="U142" s="220">
        <f t="shared" si="181"/>
        <v>434</v>
      </c>
      <c r="V142" s="220">
        <f t="shared" si="181"/>
        <v>247</v>
      </c>
      <c r="W142" s="220">
        <f t="shared" si="181"/>
        <v>204</v>
      </c>
      <c r="X142" s="220">
        <f t="shared" si="181"/>
        <v>218</v>
      </c>
      <c r="Y142" s="220">
        <f t="shared" si="181"/>
        <v>364</v>
      </c>
      <c r="Z142" s="220">
        <v>1</v>
      </c>
      <c r="AA142" s="220">
        <v>0</v>
      </c>
      <c r="AB142" s="220">
        <v>4</v>
      </c>
      <c r="AC142" s="220">
        <v>0</v>
      </c>
      <c r="AD142" s="220">
        <v>0</v>
      </c>
      <c r="AE142" s="220">
        <f t="shared" si="182"/>
        <v>-215</v>
      </c>
      <c r="AF142" s="220">
        <f t="shared" si="182"/>
        <v>-382</v>
      </c>
      <c r="AG142" s="220">
        <f t="shared" si="182"/>
        <v>-395</v>
      </c>
      <c r="AH142" s="220">
        <f t="shared" si="182"/>
        <v>-336</v>
      </c>
      <c r="AI142" s="220">
        <f t="shared" si="182"/>
        <v>-195</v>
      </c>
      <c r="AJ142" s="50">
        <f t="shared" si="183"/>
        <v>1.4040000000000066</v>
      </c>
      <c r="AK142" s="257"/>
      <c r="AL142" s="257">
        <f t="shared" si="184"/>
        <v>1.2</v>
      </c>
      <c r="AM142" s="52"/>
      <c r="AN142" s="88"/>
    </row>
    <row r="143" spans="1:40" s="29" customFormat="1" ht="17.25" customHeight="1">
      <c r="A143" s="48">
        <v>133</v>
      </c>
      <c r="B143" s="49">
        <f t="shared" si="176"/>
        <v>45708</v>
      </c>
      <c r="C143" s="220">
        <f t="shared" si="177"/>
        <v>1049</v>
      </c>
      <c r="D143" s="220">
        <f t="shared" ref="D143" si="186">D142+26</f>
        <v>2520</v>
      </c>
      <c r="E143" s="220">
        <f t="shared" si="179"/>
        <v>3569</v>
      </c>
      <c r="F143" s="220">
        <f t="shared" si="171"/>
        <v>1135</v>
      </c>
      <c r="G143" s="220">
        <f t="shared" si="172"/>
        <v>1325</v>
      </c>
      <c r="H143" s="220">
        <f t="shared" si="173"/>
        <v>1365</v>
      </c>
      <c r="I143" s="220">
        <f t="shared" si="174"/>
        <v>1355</v>
      </c>
      <c r="J143" s="220">
        <f t="shared" si="175"/>
        <v>1205</v>
      </c>
      <c r="K143" s="220">
        <f t="shared" si="141"/>
        <v>2434</v>
      </c>
      <c r="L143" s="220">
        <f t="shared" si="141"/>
        <v>2244</v>
      </c>
      <c r="M143" s="220">
        <f t="shared" si="141"/>
        <v>2204</v>
      </c>
      <c r="N143" s="220">
        <f t="shared" si="141"/>
        <v>2214</v>
      </c>
      <c r="O143" s="220">
        <f t="shared" si="141"/>
        <v>2364</v>
      </c>
      <c r="P143" s="220">
        <f t="shared" si="180"/>
        <v>2000</v>
      </c>
      <c r="Q143" s="220">
        <f t="shared" si="180"/>
        <v>2000</v>
      </c>
      <c r="R143" s="220">
        <f t="shared" si="180"/>
        <v>2000</v>
      </c>
      <c r="S143" s="220">
        <f t="shared" si="180"/>
        <v>2000</v>
      </c>
      <c r="T143" s="220">
        <f t="shared" si="180"/>
        <v>2000</v>
      </c>
      <c r="U143" s="220">
        <f t="shared" si="181"/>
        <v>434</v>
      </c>
      <c r="V143" s="220">
        <f t="shared" si="181"/>
        <v>244</v>
      </c>
      <c r="W143" s="220">
        <f t="shared" si="181"/>
        <v>204</v>
      </c>
      <c r="X143" s="220">
        <f t="shared" si="181"/>
        <v>214</v>
      </c>
      <c r="Y143" s="220">
        <f t="shared" si="181"/>
        <v>364</v>
      </c>
      <c r="Z143" s="220">
        <v>0</v>
      </c>
      <c r="AA143" s="220">
        <v>3</v>
      </c>
      <c r="AB143" s="220">
        <v>0</v>
      </c>
      <c r="AC143" s="220">
        <v>4</v>
      </c>
      <c r="AD143" s="220">
        <v>0</v>
      </c>
      <c r="AE143" s="220">
        <f t="shared" si="182"/>
        <v>-215</v>
      </c>
      <c r="AF143" s="220">
        <f t="shared" si="182"/>
        <v>-385</v>
      </c>
      <c r="AG143" s="220">
        <f t="shared" si="182"/>
        <v>-395</v>
      </c>
      <c r="AH143" s="220">
        <f t="shared" si="182"/>
        <v>-340</v>
      </c>
      <c r="AI143" s="220">
        <f t="shared" si="182"/>
        <v>-195</v>
      </c>
      <c r="AJ143" s="50">
        <f t="shared" si="183"/>
        <v>1.4040000000000066</v>
      </c>
      <c r="AK143" s="257"/>
      <c r="AL143" s="257">
        <f t="shared" si="184"/>
        <v>1.2</v>
      </c>
      <c r="AM143" s="52"/>
      <c r="AN143" s="88"/>
    </row>
    <row r="144" spans="1:40" s="29" customFormat="1" ht="17.25" customHeight="1">
      <c r="A144" s="48">
        <v>134</v>
      </c>
      <c r="B144" s="49">
        <f t="shared" si="176"/>
        <v>45709</v>
      </c>
      <c r="C144" s="220">
        <f t="shared" si="177"/>
        <v>1049</v>
      </c>
      <c r="D144" s="220">
        <f t="shared" ref="D144" si="187">D143+32</f>
        <v>2552</v>
      </c>
      <c r="E144" s="220">
        <f t="shared" si="179"/>
        <v>3601</v>
      </c>
      <c r="F144" s="220">
        <f t="shared" si="171"/>
        <v>1168</v>
      </c>
      <c r="G144" s="220">
        <f t="shared" si="172"/>
        <v>1357</v>
      </c>
      <c r="H144" s="220">
        <f t="shared" si="173"/>
        <v>1401</v>
      </c>
      <c r="I144" s="220">
        <f t="shared" si="174"/>
        <v>1387</v>
      </c>
      <c r="J144" s="220">
        <f t="shared" si="175"/>
        <v>1239</v>
      </c>
      <c r="K144" s="220">
        <f t="shared" si="141"/>
        <v>2433</v>
      </c>
      <c r="L144" s="220">
        <f t="shared" si="141"/>
        <v>2244</v>
      </c>
      <c r="M144" s="220">
        <f t="shared" si="141"/>
        <v>2200</v>
      </c>
      <c r="N144" s="220">
        <f t="shared" si="141"/>
        <v>2214</v>
      </c>
      <c r="O144" s="220">
        <f t="shared" si="141"/>
        <v>2362</v>
      </c>
      <c r="P144" s="220">
        <f t="shared" si="180"/>
        <v>2000</v>
      </c>
      <c r="Q144" s="220">
        <f t="shared" si="180"/>
        <v>2000</v>
      </c>
      <c r="R144" s="220">
        <f t="shared" si="180"/>
        <v>2000</v>
      </c>
      <c r="S144" s="220">
        <f t="shared" si="180"/>
        <v>2000</v>
      </c>
      <c r="T144" s="220">
        <f t="shared" si="180"/>
        <v>2000</v>
      </c>
      <c r="U144" s="220">
        <f t="shared" si="181"/>
        <v>433</v>
      </c>
      <c r="V144" s="220">
        <f t="shared" si="181"/>
        <v>244</v>
      </c>
      <c r="W144" s="220">
        <f t="shared" si="181"/>
        <v>200</v>
      </c>
      <c r="X144" s="220">
        <f t="shared" si="181"/>
        <v>214</v>
      </c>
      <c r="Y144" s="220">
        <f t="shared" si="181"/>
        <v>362</v>
      </c>
      <c r="Z144" s="220">
        <v>1</v>
      </c>
      <c r="AA144" s="220">
        <v>0</v>
      </c>
      <c r="AB144" s="220">
        <v>4</v>
      </c>
      <c r="AC144" s="220">
        <v>0</v>
      </c>
      <c r="AD144" s="220">
        <v>2</v>
      </c>
      <c r="AE144" s="220">
        <f t="shared" si="182"/>
        <v>-216</v>
      </c>
      <c r="AF144" s="220">
        <f t="shared" si="182"/>
        <v>-385</v>
      </c>
      <c r="AG144" s="220">
        <f t="shared" si="182"/>
        <v>-399</v>
      </c>
      <c r="AH144" s="220">
        <f t="shared" si="182"/>
        <v>-340</v>
      </c>
      <c r="AI144" s="220">
        <f t="shared" si="182"/>
        <v>-197</v>
      </c>
      <c r="AJ144" s="50">
        <f t="shared" si="183"/>
        <v>1.4000000000000066</v>
      </c>
      <c r="AK144" s="257"/>
      <c r="AL144" s="257">
        <f t="shared" si="184"/>
        <v>1.2</v>
      </c>
      <c r="AM144" s="52"/>
      <c r="AN144" s="88"/>
    </row>
    <row r="145" spans="1:40" s="29" customFormat="1" ht="17.25" customHeight="1">
      <c r="A145" s="48">
        <v>135</v>
      </c>
      <c r="B145" s="49">
        <f t="shared" si="176"/>
        <v>45710</v>
      </c>
      <c r="C145" s="220">
        <f t="shared" si="177"/>
        <v>1049</v>
      </c>
      <c r="D145" s="220">
        <f t="shared" ref="D145" si="188">D144-18</f>
        <v>2534</v>
      </c>
      <c r="E145" s="220">
        <f t="shared" si="179"/>
        <v>3583</v>
      </c>
      <c r="F145" s="220">
        <f t="shared" si="171"/>
        <v>1150</v>
      </c>
      <c r="G145" s="220">
        <f t="shared" si="172"/>
        <v>1342</v>
      </c>
      <c r="H145" s="220">
        <f t="shared" si="173"/>
        <v>1383</v>
      </c>
      <c r="I145" s="220">
        <f t="shared" si="174"/>
        <v>1371</v>
      </c>
      <c r="J145" s="220">
        <f t="shared" si="175"/>
        <v>1221</v>
      </c>
      <c r="K145" s="220">
        <f t="shared" si="141"/>
        <v>2433</v>
      </c>
      <c r="L145" s="220">
        <f t="shared" si="141"/>
        <v>2241</v>
      </c>
      <c r="M145" s="220">
        <f t="shared" si="141"/>
        <v>2200</v>
      </c>
      <c r="N145" s="220">
        <f t="shared" si="141"/>
        <v>2212</v>
      </c>
      <c r="O145" s="220">
        <f t="shared" si="141"/>
        <v>2362</v>
      </c>
      <c r="P145" s="220">
        <f t="shared" si="180"/>
        <v>2000</v>
      </c>
      <c r="Q145" s="220">
        <f t="shared" si="180"/>
        <v>2000</v>
      </c>
      <c r="R145" s="220">
        <f t="shared" si="180"/>
        <v>2000</v>
      </c>
      <c r="S145" s="220">
        <f t="shared" si="180"/>
        <v>2000</v>
      </c>
      <c r="T145" s="220">
        <f t="shared" si="180"/>
        <v>2000</v>
      </c>
      <c r="U145" s="220">
        <f t="shared" si="181"/>
        <v>433</v>
      </c>
      <c r="V145" s="220">
        <f t="shared" si="181"/>
        <v>241</v>
      </c>
      <c r="W145" s="220">
        <f t="shared" si="181"/>
        <v>200</v>
      </c>
      <c r="X145" s="220">
        <f t="shared" si="181"/>
        <v>212</v>
      </c>
      <c r="Y145" s="220">
        <f t="shared" si="181"/>
        <v>362</v>
      </c>
      <c r="Z145" s="220">
        <v>0</v>
      </c>
      <c r="AA145" s="220">
        <v>3</v>
      </c>
      <c r="AB145" s="220">
        <v>0</v>
      </c>
      <c r="AC145" s="220">
        <v>2</v>
      </c>
      <c r="AD145" s="220">
        <v>0</v>
      </c>
      <c r="AE145" s="220">
        <f t="shared" si="182"/>
        <v>-216</v>
      </c>
      <c r="AF145" s="220">
        <f t="shared" si="182"/>
        <v>-388</v>
      </c>
      <c r="AG145" s="220">
        <f t="shared" si="182"/>
        <v>-399</v>
      </c>
      <c r="AH145" s="220">
        <f t="shared" si="182"/>
        <v>-342</v>
      </c>
      <c r="AI145" s="220">
        <f t="shared" si="182"/>
        <v>-197</v>
      </c>
      <c r="AJ145" s="50">
        <f t="shared" si="183"/>
        <v>1.4000000000000066</v>
      </c>
      <c r="AK145" s="257"/>
      <c r="AL145" s="257">
        <f t="shared" si="184"/>
        <v>1.2</v>
      </c>
      <c r="AM145" s="52"/>
      <c r="AN145" s="88"/>
    </row>
    <row r="146" spans="1:40" s="29" customFormat="1" ht="17.25" customHeight="1">
      <c r="A146" s="48">
        <v>136</v>
      </c>
      <c r="B146" s="49">
        <f t="shared" si="176"/>
        <v>45711</v>
      </c>
      <c r="C146" s="220">
        <f t="shared" si="177"/>
        <v>1049</v>
      </c>
      <c r="D146" s="220">
        <f t="shared" ref="D146" si="189">D145-26</f>
        <v>2508</v>
      </c>
      <c r="E146" s="220">
        <f t="shared" si="179"/>
        <v>3557</v>
      </c>
      <c r="F146" s="220">
        <f t="shared" si="171"/>
        <v>1124</v>
      </c>
      <c r="G146" s="220">
        <f t="shared" si="172"/>
        <v>1316</v>
      </c>
      <c r="H146" s="220">
        <f t="shared" si="173"/>
        <v>1360</v>
      </c>
      <c r="I146" s="220">
        <f t="shared" si="174"/>
        <v>1345</v>
      </c>
      <c r="J146" s="220">
        <f t="shared" si="175"/>
        <v>1195</v>
      </c>
      <c r="K146" s="220">
        <f t="shared" si="141"/>
        <v>2433</v>
      </c>
      <c r="L146" s="220">
        <f t="shared" si="141"/>
        <v>2241</v>
      </c>
      <c r="M146" s="220">
        <f t="shared" si="141"/>
        <v>2197</v>
      </c>
      <c r="N146" s="220">
        <f t="shared" si="141"/>
        <v>2212</v>
      </c>
      <c r="O146" s="220">
        <f t="shared" si="141"/>
        <v>2362</v>
      </c>
      <c r="P146" s="220">
        <f t="shared" si="180"/>
        <v>2000</v>
      </c>
      <c r="Q146" s="220">
        <f t="shared" si="180"/>
        <v>2000</v>
      </c>
      <c r="R146" s="220">
        <f t="shared" si="180"/>
        <v>2000</v>
      </c>
      <c r="S146" s="220">
        <f t="shared" si="180"/>
        <v>2000</v>
      </c>
      <c r="T146" s="220">
        <f t="shared" si="180"/>
        <v>2000</v>
      </c>
      <c r="U146" s="220">
        <f t="shared" si="181"/>
        <v>433</v>
      </c>
      <c r="V146" s="220">
        <f t="shared" si="181"/>
        <v>241</v>
      </c>
      <c r="W146" s="220">
        <f t="shared" si="181"/>
        <v>197</v>
      </c>
      <c r="X146" s="220">
        <f t="shared" si="181"/>
        <v>212</v>
      </c>
      <c r="Y146" s="220">
        <f t="shared" si="181"/>
        <v>362</v>
      </c>
      <c r="Z146" s="220">
        <v>0</v>
      </c>
      <c r="AA146" s="220">
        <v>0</v>
      </c>
      <c r="AB146" s="220">
        <v>3</v>
      </c>
      <c r="AC146" s="220">
        <v>0</v>
      </c>
      <c r="AD146" s="220">
        <v>0</v>
      </c>
      <c r="AE146" s="220">
        <f t="shared" si="182"/>
        <v>-216</v>
      </c>
      <c r="AF146" s="220">
        <f t="shared" si="182"/>
        <v>-388</v>
      </c>
      <c r="AG146" s="220">
        <f t="shared" si="182"/>
        <v>-402</v>
      </c>
      <c r="AH146" s="220">
        <f t="shared" si="182"/>
        <v>-342</v>
      </c>
      <c r="AI146" s="220">
        <f t="shared" si="182"/>
        <v>-197</v>
      </c>
      <c r="AJ146" s="50">
        <f t="shared" si="183"/>
        <v>1.3970000000000067</v>
      </c>
      <c r="AK146" s="257"/>
      <c r="AL146" s="257">
        <f t="shared" si="184"/>
        <v>1.2</v>
      </c>
      <c r="AM146" s="52"/>
      <c r="AN146" s="88"/>
    </row>
    <row r="147" spans="1:40" s="29" customFormat="1" ht="17.25" customHeight="1">
      <c r="A147" s="48">
        <v>137</v>
      </c>
      <c r="B147" s="49">
        <f t="shared" si="176"/>
        <v>45712</v>
      </c>
      <c r="C147" s="220">
        <f t="shared" si="177"/>
        <v>1049</v>
      </c>
      <c r="D147" s="220">
        <f t="shared" ref="D147" si="190">D146+15</f>
        <v>2523</v>
      </c>
      <c r="E147" s="220">
        <f t="shared" si="179"/>
        <v>3572</v>
      </c>
      <c r="F147" s="220">
        <f t="shared" si="171"/>
        <v>1139</v>
      </c>
      <c r="G147" s="220">
        <f t="shared" si="172"/>
        <v>1331</v>
      </c>
      <c r="H147" s="220">
        <f t="shared" si="173"/>
        <v>1375</v>
      </c>
      <c r="I147" s="220">
        <f t="shared" si="174"/>
        <v>1360</v>
      </c>
      <c r="J147" s="220">
        <f t="shared" si="175"/>
        <v>1210</v>
      </c>
      <c r="K147" s="220">
        <f t="shared" si="141"/>
        <v>2433</v>
      </c>
      <c r="L147" s="220">
        <f t="shared" si="141"/>
        <v>2241</v>
      </c>
      <c r="M147" s="220">
        <f t="shared" si="141"/>
        <v>2197</v>
      </c>
      <c r="N147" s="220">
        <f t="shared" si="141"/>
        <v>2212</v>
      </c>
      <c r="O147" s="220">
        <f t="shared" si="141"/>
        <v>2362</v>
      </c>
      <c r="P147" s="220">
        <f t="shared" si="180"/>
        <v>2000</v>
      </c>
      <c r="Q147" s="220">
        <f t="shared" si="180"/>
        <v>2000</v>
      </c>
      <c r="R147" s="220">
        <f t="shared" si="180"/>
        <v>2000</v>
      </c>
      <c r="S147" s="220">
        <f t="shared" si="180"/>
        <v>2000</v>
      </c>
      <c r="T147" s="220">
        <f t="shared" si="180"/>
        <v>2000</v>
      </c>
      <c r="U147" s="220">
        <f t="shared" si="181"/>
        <v>433</v>
      </c>
      <c r="V147" s="220">
        <f t="shared" si="181"/>
        <v>241</v>
      </c>
      <c r="W147" s="220">
        <f t="shared" si="181"/>
        <v>197</v>
      </c>
      <c r="X147" s="220">
        <f t="shared" si="181"/>
        <v>212</v>
      </c>
      <c r="Y147" s="220">
        <f t="shared" si="181"/>
        <v>362</v>
      </c>
      <c r="Z147" s="220">
        <v>0</v>
      </c>
      <c r="AA147" s="220">
        <v>0</v>
      </c>
      <c r="AB147" s="220">
        <v>0</v>
      </c>
      <c r="AC147" s="220">
        <v>0</v>
      </c>
      <c r="AD147" s="220">
        <v>0</v>
      </c>
      <c r="AE147" s="220">
        <f t="shared" si="182"/>
        <v>-216</v>
      </c>
      <c r="AF147" s="220">
        <f t="shared" si="182"/>
        <v>-388</v>
      </c>
      <c r="AG147" s="220">
        <f t="shared" si="182"/>
        <v>-402</v>
      </c>
      <c r="AH147" s="220">
        <f t="shared" si="182"/>
        <v>-342</v>
      </c>
      <c r="AI147" s="220">
        <f t="shared" si="182"/>
        <v>-197</v>
      </c>
      <c r="AJ147" s="50">
        <f t="shared" si="183"/>
        <v>1.3970000000000067</v>
      </c>
      <c r="AK147" s="257"/>
      <c r="AL147" s="257">
        <f t="shared" si="184"/>
        <v>1.2</v>
      </c>
      <c r="AM147" s="52"/>
      <c r="AN147" s="88"/>
    </row>
    <row r="148" spans="1:40" s="29" customFormat="1" ht="17.25" customHeight="1">
      <c r="A148" s="48">
        <v>138</v>
      </c>
      <c r="B148" s="49">
        <f t="shared" si="176"/>
        <v>45713</v>
      </c>
      <c r="C148" s="220">
        <f t="shared" si="177"/>
        <v>1049</v>
      </c>
      <c r="D148" s="220">
        <f t="shared" ref="D148" si="191">D147+26</f>
        <v>2549</v>
      </c>
      <c r="E148" s="220">
        <f t="shared" si="179"/>
        <v>3598</v>
      </c>
      <c r="F148" s="220">
        <f t="shared" si="171"/>
        <v>1165</v>
      </c>
      <c r="G148" s="220">
        <f t="shared" si="172"/>
        <v>1360</v>
      </c>
      <c r="H148" s="220">
        <f t="shared" si="173"/>
        <v>1404</v>
      </c>
      <c r="I148" s="220">
        <f t="shared" si="174"/>
        <v>1389</v>
      </c>
      <c r="J148" s="220">
        <f t="shared" si="175"/>
        <v>1237</v>
      </c>
      <c r="K148" s="220">
        <f t="shared" si="141"/>
        <v>2433</v>
      </c>
      <c r="L148" s="220">
        <f t="shared" si="141"/>
        <v>2238</v>
      </c>
      <c r="M148" s="220">
        <f t="shared" si="141"/>
        <v>2194</v>
      </c>
      <c r="N148" s="220">
        <f t="shared" si="141"/>
        <v>2209</v>
      </c>
      <c r="O148" s="220">
        <f t="shared" si="141"/>
        <v>2361</v>
      </c>
      <c r="P148" s="220">
        <f t="shared" si="180"/>
        <v>2000</v>
      </c>
      <c r="Q148" s="220">
        <f t="shared" si="180"/>
        <v>2000</v>
      </c>
      <c r="R148" s="220">
        <f t="shared" si="180"/>
        <v>2000</v>
      </c>
      <c r="S148" s="220">
        <f t="shared" si="180"/>
        <v>2000</v>
      </c>
      <c r="T148" s="220">
        <f t="shared" si="180"/>
        <v>2000</v>
      </c>
      <c r="U148" s="220">
        <f t="shared" si="181"/>
        <v>433</v>
      </c>
      <c r="V148" s="220">
        <f t="shared" si="181"/>
        <v>238</v>
      </c>
      <c r="W148" s="220">
        <f t="shared" si="181"/>
        <v>194</v>
      </c>
      <c r="X148" s="220">
        <f t="shared" si="181"/>
        <v>209</v>
      </c>
      <c r="Y148" s="220">
        <f t="shared" si="181"/>
        <v>361</v>
      </c>
      <c r="Z148" s="220">
        <v>0</v>
      </c>
      <c r="AA148" s="220">
        <v>3</v>
      </c>
      <c r="AB148" s="220">
        <v>3</v>
      </c>
      <c r="AC148" s="220">
        <v>3</v>
      </c>
      <c r="AD148" s="220">
        <v>1</v>
      </c>
      <c r="AE148" s="220">
        <f t="shared" si="182"/>
        <v>-216</v>
      </c>
      <c r="AF148" s="220">
        <f t="shared" si="182"/>
        <v>-391</v>
      </c>
      <c r="AG148" s="220">
        <f t="shared" si="182"/>
        <v>-405</v>
      </c>
      <c r="AH148" s="220">
        <f t="shared" si="182"/>
        <v>-345</v>
      </c>
      <c r="AI148" s="220">
        <f t="shared" si="182"/>
        <v>-198</v>
      </c>
      <c r="AJ148" s="50">
        <f t="shared" si="183"/>
        <v>1.3940000000000068</v>
      </c>
      <c r="AK148" s="257"/>
      <c r="AL148" s="257">
        <f t="shared" si="184"/>
        <v>1.2</v>
      </c>
      <c r="AM148" s="52"/>
      <c r="AN148" s="88"/>
    </row>
    <row r="149" spans="1:40" s="29" customFormat="1" ht="17.25" customHeight="1">
      <c r="A149" s="48">
        <v>139</v>
      </c>
      <c r="B149" s="49">
        <f t="shared" si="176"/>
        <v>45714</v>
      </c>
      <c r="C149" s="220">
        <f t="shared" si="177"/>
        <v>1049</v>
      </c>
      <c r="D149" s="220">
        <f t="shared" ref="D149" si="192">D148+32</f>
        <v>2581</v>
      </c>
      <c r="E149" s="220">
        <f t="shared" si="179"/>
        <v>3630</v>
      </c>
      <c r="F149" s="220">
        <f t="shared" si="171"/>
        <v>1198</v>
      </c>
      <c r="G149" s="220">
        <f t="shared" si="172"/>
        <v>1392</v>
      </c>
      <c r="H149" s="220">
        <f t="shared" si="173"/>
        <v>1437</v>
      </c>
      <c r="I149" s="220">
        <f t="shared" si="174"/>
        <v>1421</v>
      </c>
      <c r="J149" s="220">
        <f t="shared" si="175"/>
        <v>1269</v>
      </c>
      <c r="K149" s="220">
        <f t="shared" si="141"/>
        <v>2432</v>
      </c>
      <c r="L149" s="220">
        <f t="shared" si="141"/>
        <v>2238</v>
      </c>
      <c r="M149" s="220">
        <f t="shared" si="141"/>
        <v>2193</v>
      </c>
      <c r="N149" s="220">
        <f t="shared" si="141"/>
        <v>2209</v>
      </c>
      <c r="O149" s="220">
        <f t="shared" si="141"/>
        <v>2361</v>
      </c>
      <c r="P149" s="220">
        <f t="shared" si="180"/>
        <v>2000</v>
      </c>
      <c r="Q149" s="220">
        <f t="shared" si="180"/>
        <v>2000</v>
      </c>
      <c r="R149" s="220">
        <f t="shared" si="180"/>
        <v>2000</v>
      </c>
      <c r="S149" s="220">
        <f t="shared" si="180"/>
        <v>2000</v>
      </c>
      <c r="T149" s="220">
        <f t="shared" si="180"/>
        <v>2000</v>
      </c>
      <c r="U149" s="220">
        <f t="shared" si="181"/>
        <v>432</v>
      </c>
      <c r="V149" s="220">
        <f t="shared" si="181"/>
        <v>238</v>
      </c>
      <c r="W149" s="220">
        <f t="shared" si="181"/>
        <v>193</v>
      </c>
      <c r="X149" s="220">
        <f t="shared" si="181"/>
        <v>209</v>
      </c>
      <c r="Y149" s="220">
        <f t="shared" si="181"/>
        <v>361</v>
      </c>
      <c r="Z149" s="220">
        <v>1</v>
      </c>
      <c r="AA149" s="220">
        <v>0</v>
      </c>
      <c r="AB149" s="220">
        <v>1</v>
      </c>
      <c r="AC149" s="220">
        <v>0</v>
      </c>
      <c r="AD149" s="220">
        <v>0</v>
      </c>
      <c r="AE149" s="220">
        <f t="shared" si="182"/>
        <v>-217</v>
      </c>
      <c r="AF149" s="220">
        <f t="shared" si="182"/>
        <v>-391</v>
      </c>
      <c r="AG149" s="220">
        <f t="shared" si="182"/>
        <v>-406</v>
      </c>
      <c r="AH149" s="220">
        <f t="shared" si="182"/>
        <v>-345</v>
      </c>
      <c r="AI149" s="220">
        <f t="shared" si="182"/>
        <v>-198</v>
      </c>
      <c r="AJ149" s="50">
        <f t="shared" si="183"/>
        <v>1.3930000000000069</v>
      </c>
      <c r="AK149" s="257"/>
      <c r="AL149" s="257">
        <f t="shared" si="184"/>
        <v>1.2</v>
      </c>
      <c r="AM149" s="52"/>
      <c r="AN149" s="88"/>
    </row>
    <row r="150" spans="1:40" s="29" customFormat="1" ht="17.25" customHeight="1">
      <c r="A150" s="48">
        <v>140</v>
      </c>
      <c r="B150" s="49">
        <f t="shared" si="176"/>
        <v>45715</v>
      </c>
      <c r="C150" s="220">
        <f t="shared" si="177"/>
        <v>1049</v>
      </c>
      <c r="D150" s="220">
        <f t="shared" ref="D150" si="193">D149-18</f>
        <v>2563</v>
      </c>
      <c r="E150" s="220">
        <f t="shared" si="179"/>
        <v>3612</v>
      </c>
      <c r="F150" s="220">
        <f t="shared" si="171"/>
        <v>1180</v>
      </c>
      <c r="G150" s="220">
        <f t="shared" si="172"/>
        <v>1376</v>
      </c>
      <c r="H150" s="220">
        <f t="shared" si="173"/>
        <v>1419</v>
      </c>
      <c r="I150" s="220">
        <f t="shared" si="174"/>
        <v>1405</v>
      </c>
      <c r="J150" s="220">
        <f t="shared" si="175"/>
        <v>1251</v>
      </c>
      <c r="K150" s="220">
        <f t="shared" si="141"/>
        <v>2432</v>
      </c>
      <c r="L150" s="220">
        <f t="shared" si="141"/>
        <v>2236</v>
      </c>
      <c r="M150" s="220">
        <f t="shared" si="141"/>
        <v>2193</v>
      </c>
      <c r="N150" s="220">
        <f t="shared" si="141"/>
        <v>2207</v>
      </c>
      <c r="O150" s="220">
        <f t="shared" si="141"/>
        <v>2361</v>
      </c>
      <c r="P150" s="220">
        <f t="shared" si="180"/>
        <v>2000</v>
      </c>
      <c r="Q150" s="220">
        <f t="shared" si="180"/>
        <v>2000</v>
      </c>
      <c r="R150" s="220">
        <f t="shared" si="180"/>
        <v>2000</v>
      </c>
      <c r="S150" s="220">
        <f t="shared" si="180"/>
        <v>2000</v>
      </c>
      <c r="T150" s="220">
        <f t="shared" si="180"/>
        <v>2000</v>
      </c>
      <c r="U150" s="220">
        <f t="shared" si="181"/>
        <v>432</v>
      </c>
      <c r="V150" s="220">
        <f t="shared" si="181"/>
        <v>236</v>
      </c>
      <c r="W150" s="220">
        <f t="shared" si="181"/>
        <v>193</v>
      </c>
      <c r="X150" s="220">
        <f t="shared" si="181"/>
        <v>207</v>
      </c>
      <c r="Y150" s="220">
        <f t="shared" si="181"/>
        <v>361</v>
      </c>
      <c r="Z150" s="220">
        <v>0</v>
      </c>
      <c r="AA150" s="220">
        <v>2</v>
      </c>
      <c r="AB150" s="220">
        <v>0</v>
      </c>
      <c r="AC150" s="220">
        <v>2</v>
      </c>
      <c r="AD150" s="220">
        <v>0</v>
      </c>
      <c r="AE150" s="220">
        <f t="shared" si="182"/>
        <v>-217</v>
      </c>
      <c r="AF150" s="220">
        <f t="shared" si="182"/>
        <v>-393</v>
      </c>
      <c r="AG150" s="220">
        <f t="shared" si="182"/>
        <v>-406</v>
      </c>
      <c r="AH150" s="220">
        <f t="shared" si="182"/>
        <v>-347</v>
      </c>
      <c r="AI150" s="220">
        <f t="shared" si="182"/>
        <v>-198</v>
      </c>
      <c r="AJ150" s="50">
        <f t="shared" si="183"/>
        <v>1.3930000000000069</v>
      </c>
      <c r="AK150" s="257"/>
      <c r="AL150" s="257">
        <f t="shared" si="184"/>
        <v>1.2</v>
      </c>
      <c r="AM150" s="52"/>
      <c r="AN150" s="88"/>
    </row>
    <row r="151" spans="1:40" s="29" customFormat="1" ht="17.25" customHeight="1">
      <c r="A151" s="48">
        <v>141</v>
      </c>
      <c r="B151" s="49">
        <f t="shared" si="176"/>
        <v>45716</v>
      </c>
      <c r="C151" s="220">
        <f t="shared" si="177"/>
        <v>1049</v>
      </c>
      <c r="D151" s="220">
        <f t="shared" ref="D151" si="194">D150-26</f>
        <v>2537</v>
      </c>
      <c r="E151" s="220">
        <f t="shared" si="179"/>
        <v>3586</v>
      </c>
      <c r="F151" s="220">
        <f t="shared" si="171"/>
        <v>1154</v>
      </c>
      <c r="G151" s="220">
        <f t="shared" si="172"/>
        <v>1350</v>
      </c>
      <c r="H151" s="220">
        <f t="shared" si="173"/>
        <v>1393</v>
      </c>
      <c r="I151" s="220">
        <f t="shared" si="174"/>
        <v>1379</v>
      </c>
      <c r="J151" s="220">
        <f t="shared" si="175"/>
        <v>1225</v>
      </c>
      <c r="K151" s="220">
        <f t="shared" si="141"/>
        <v>2432</v>
      </c>
      <c r="L151" s="220">
        <f t="shared" si="141"/>
        <v>2236</v>
      </c>
      <c r="M151" s="220">
        <f t="shared" si="141"/>
        <v>2193</v>
      </c>
      <c r="N151" s="220">
        <f t="shared" si="141"/>
        <v>2207</v>
      </c>
      <c r="O151" s="220">
        <f t="shared" si="141"/>
        <v>2361</v>
      </c>
      <c r="P151" s="220">
        <f t="shared" si="180"/>
        <v>2000</v>
      </c>
      <c r="Q151" s="220">
        <f t="shared" si="180"/>
        <v>2000</v>
      </c>
      <c r="R151" s="220">
        <f t="shared" si="180"/>
        <v>2000</v>
      </c>
      <c r="S151" s="220">
        <f t="shared" si="180"/>
        <v>2000</v>
      </c>
      <c r="T151" s="220">
        <f t="shared" si="180"/>
        <v>2000</v>
      </c>
      <c r="U151" s="220">
        <f t="shared" si="181"/>
        <v>432</v>
      </c>
      <c r="V151" s="220">
        <f t="shared" si="181"/>
        <v>236</v>
      </c>
      <c r="W151" s="220">
        <f t="shared" si="181"/>
        <v>193</v>
      </c>
      <c r="X151" s="220">
        <f t="shared" si="181"/>
        <v>207</v>
      </c>
      <c r="Y151" s="220">
        <f t="shared" si="181"/>
        <v>361</v>
      </c>
      <c r="Z151" s="220">
        <v>0</v>
      </c>
      <c r="AA151" s="220">
        <v>0</v>
      </c>
      <c r="AB151" s="220">
        <v>0</v>
      </c>
      <c r="AC151" s="220">
        <v>0</v>
      </c>
      <c r="AD151" s="220">
        <v>0</v>
      </c>
      <c r="AE151" s="220">
        <f t="shared" si="182"/>
        <v>-217</v>
      </c>
      <c r="AF151" s="220">
        <f t="shared" si="182"/>
        <v>-393</v>
      </c>
      <c r="AG151" s="220">
        <f t="shared" si="182"/>
        <v>-406</v>
      </c>
      <c r="AH151" s="220">
        <f t="shared" si="182"/>
        <v>-347</v>
      </c>
      <c r="AI151" s="220">
        <f t="shared" si="182"/>
        <v>-198</v>
      </c>
      <c r="AJ151" s="50">
        <f t="shared" si="183"/>
        <v>1.3930000000000069</v>
      </c>
      <c r="AK151" s="257"/>
      <c r="AL151" s="257">
        <f t="shared" si="184"/>
        <v>1.2</v>
      </c>
      <c r="AM151" s="52"/>
      <c r="AN151" s="88"/>
    </row>
    <row r="152" spans="1:40" s="29" customFormat="1" ht="17.25" customHeight="1">
      <c r="A152" s="48">
        <v>142</v>
      </c>
      <c r="B152" s="49">
        <f t="shared" si="176"/>
        <v>45717</v>
      </c>
      <c r="C152" s="220">
        <f t="shared" si="177"/>
        <v>1049</v>
      </c>
      <c r="D152" s="220">
        <f t="shared" ref="D152" si="195">D151+15</f>
        <v>2552</v>
      </c>
      <c r="E152" s="220">
        <f t="shared" si="179"/>
        <v>3601</v>
      </c>
      <c r="F152" s="220">
        <f t="shared" si="171"/>
        <v>1169</v>
      </c>
      <c r="G152" s="220">
        <f t="shared" si="172"/>
        <v>1369</v>
      </c>
      <c r="H152" s="220">
        <f t="shared" si="173"/>
        <v>1408</v>
      </c>
      <c r="I152" s="220">
        <f t="shared" si="174"/>
        <v>1394</v>
      </c>
      <c r="J152" s="220">
        <f t="shared" si="175"/>
        <v>1240</v>
      </c>
      <c r="K152" s="220">
        <f t="shared" si="141"/>
        <v>2432</v>
      </c>
      <c r="L152" s="220">
        <f t="shared" si="141"/>
        <v>2232</v>
      </c>
      <c r="M152" s="220">
        <f t="shared" si="141"/>
        <v>2193</v>
      </c>
      <c r="N152" s="220">
        <f t="shared" si="141"/>
        <v>2207</v>
      </c>
      <c r="O152" s="220">
        <f t="shared" si="141"/>
        <v>2361</v>
      </c>
      <c r="P152" s="220">
        <f t="shared" si="180"/>
        <v>2000</v>
      </c>
      <c r="Q152" s="220">
        <f t="shared" si="180"/>
        <v>2000</v>
      </c>
      <c r="R152" s="220">
        <f t="shared" si="180"/>
        <v>2000</v>
      </c>
      <c r="S152" s="220">
        <f t="shared" si="180"/>
        <v>2000</v>
      </c>
      <c r="T152" s="220">
        <f t="shared" si="180"/>
        <v>2000</v>
      </c>
      <c r="U152" s="220">
        <f t="shared" si="181"/>
        <v>432</v>
      </c>
      <c r="V152" s="220">
        <f t="shared" si="181"/>
        <v>232</v>
      </c>
      <c r="W152" s="220">
        <f t="shared" si="181"/>
        <v>193</v>
      </c>
      <c r="X152" s="220">
        <f t="shared" si="181"/>
        <v>207</v>
      </c>
      <c r="Y152" s="220">
        <f t="shared" si="181"/>
        <v>361</v>
      </c>
      <c r="Z152" s="220">
        <v>0</v>
      </c>
      <c r="AA152" s="220">
        <v>4</v>
      </c>
      <c r="AB152" s="220">
        <v>0</v>
      </c>
      <c r="AC152" s="220">
        <v>0</v>
      </c>
      <c r="AD152" s="220">
        <v>0</v>
      </c>
      <c r="AE152" s="220">
        <f t="shared" si="182"/>
        <v>-217</v>
      </c>
      <c r="AF152" s="220">
        <f t="shared" si="182"/>
        <v>-397</v>
      </c>
      <c r="AG152" s="220">
        <f t="shared" si="182"/>
        <v>-406</v>
      </c>
      <c r="AH152" s="220">
        <f t="shared" si="182"/>
        <v>-347</v>
      </c>
      <c r="AI152" s="220">
        <f t="shared" si="182"/>
        <v>-198</v>
      </c>
      <c r="AJ152" s="50">
        <f t="shared" si="183"/>
        <v>1.3930000000000069</v>
      </c>
      <c r="AK152" s="257"/>
      <c r="AL152" s="257">
        <f t="shared" si="184"/>
        <v>1.2</v>
      </c>
      <c r="AM152" s="52"/>
      <c r="AN152" s="88"/>
    </row>
    <row r="153" spans="1:40" s="29" customFormat="1" ht="17.25" customHeight="1">
      <c r="A153" s="48">
        <v>143</v>
      </c>
      <c r="B153" s="49">
        <f t="shared" si="176"/>
        <v>45718</v>
      </c>
      <c r="C153" s="220">
        <f t="shared" si="177"/>
        <v>1049</v>
      </c>
      <c r="D153" s="220">
        <f t="shared" ref="D153" si="196">D152+26</f>
        <v>2578</v>
      </c>
      <c r="E153" s="220">
        <f t="shared" si="179"/>
        <v>3627</v>
      </c>
      <c r="F153" s="220">
        <f t="shared" si="171"/>
        <v>1196</v>
      </c>
      <c r="G153" s="220">
        <f t="shared" si="172"/>
        <v>1395</v>
      </c>
      <c r="H153" s="220">
        <f t="shared" si="173"/>
        <v>1434</v>
      </c>
      <c r="I153" s="220">
        <f t="shared" si="174"/>
        <v>1420</v>
      </c>
      <c r="J153" s="220">
        <f t="shared" si="175"/>
        <v>1266</v>
      </c>
      <c r="K153" s="220">
        <f t="shared" si="141"/>
        <v>2431</v>
      </c>
      <c r="L153" s="220">
        <f t="shared" si="141"/>
        <v>2232</v>
      </c>
      <c r="M153" s="220">
        <f t="shared" si="141"/>
        <v>2193</v>
      </c>
      <c r="N153" s="220">
        <f t="shared" si="141"/>
        <v>2207</v>
      </c>
      <c r="O153" s="220">
        <f t="shared" si="141"/>
        <v>2361</v>
      </c>
      <c r="P153" s="220">
        <f t="shared" si="180"/>
        <v>2000</v>
      </c>
      <c r="Q153" s="220">
        <f t="shared" si="180"/>
        <v>2000</v>
      </c>
      <c r="R153" s="220">
        <f t="shared" si="180"/>
        <v>2000</v>
      </c>
      <c r="S153" s="220">
        <f t="shared" si="180"/>
        <v>2000</v>
      </c>
      <c r="T153" s="220">
        <f t="shared" si="180"/>
        <v>2000</v>
      </c>
      <c r="U153" s="220">
        <f t="shared" si="181"/>
        <v>431</v>
      </c>
      <c r="V153" s="220">
        <f t="shared" si="181"/>
        <v>232</v>
      </c>
      <c r="W153" s="220">
        <f t="shared" si="181"/>
        <v>193</v>
      </c>
      <c r="X153" s="220">
        <f t="shared" si="181"/>
        <v>207</v>
      </c>
      <c r="Y153" s="220">
        <f t="shared" si="181"/>
        <v>361</v>
      </c>
      <c r="Z153" s="220">
        <v>1</v>
      </c>
      <c r="AA153" s="220">
        <v>0</v>
      </c>
      <c r="AB153" s="220">
        <v>0</v>
      </c>
      <c r="AC153" s="220">
        <v>0</v>
      </c>
      <c r="AD153" s="220">
        <v>0</v>
      </c>
      <c r="AE153" s="220">
        <f t="shared" si="182"/>
        <v>-218</v>
      </c>
      <c r="AF153" s="220">
        <f t="shared" si="182"/>
        <v>-397</v>
      </c>
      <c r="AG153" s="220">
        <f t="shared" si="182"/>
        <v>-406</v>
      </c>
      <c r="AH153" s="220">
        <f t="shared" si="182"/>
        <v>-347</v>
      </c>
      <c r="AI153" s="220">
        <f t="shared" si="182"/>
        <v>-198</v>
      </c>
      <c r="AJ153" s="50">
        <f t="shared" si="183"/>
        <v>1.3930000000000069</v>
      </c>
      <c r="AK153" s="257"/>
      <c r="AL153" s="257">
        <f t="shared" si="184"/>
        <v>1.2</v>
      </c>
      <c r="AM153" s="52"/>
      <c r="AN153" s="88"/>
    </row>
    <row r="154" spans="1:40" s="29" customFormat="1" ht="17.25" customHeight="1">
      <c r="A154" s="48">
        <v>144</v>
      </c>
      <c r="B154" s="49">
        <f t="shared" si="176"/>
        <v>45719</v>
      </c>
      <c r="C154" s="220">
        <f t="shared" si="177"/>
        <v>1049</v>
      </c>
      <c r="D154" s="220">
        <f t="shared" ref="D154" si="197">D153+32</f>
        <v>2610</v>
      </c>
      <c r="E154" s="220">
        <f t="shared" si="179"/>
        <v>3659</v>
      </c>
      <c r="F154" s="220">
        <f t="shared" si="171"/>
        <v>1228</v>
      </c>
      <c r="G154" s="220">
        <f t="shared" si="172"/>
        <v>1427</v>
      </c>
      <c r="H154" s="220">
        <f t="shared" si="173"/>
        <v>1468</v>
      </c>
      <c r="I154" s="220">
        <f t="shared" si="174"/>
        <v>1452</v>
      </c>
      <c r="J154" s="220">
        <f t="shared" si="175"/>
        <v>1298</v>
      </c>
      <c r="K154" s="220">
        <f t="shared" si="141"/>
        <v>2431</v>
      </c>
      <c r="L154" s="220">
        <f t="shared" si="141"/>
        <v>2232</v>
      </c>
      <c r="M154" s="220">
        <f t="shared" si="141"/>
        <v>2191</v>
      </c>
      <c r="N154" s="220">
        <f t="shared" si="141"/>
        <v>2207</v>
      </c>
      <c r="O154" s="220">
        <f t="shared" si="141"/>
        <v>2361</v>
      </c>
      <c r="P154" s="220">
        <f t="shared" si="180"/>
        <v>2000</v>
      </c>
      <c r="Q154" s="220">
        <f t="shared" si="180"/>
        <v>2000</v>
      </c>
      <c r="R154" s="220">
        <f t="shared" si="180"/>
        <v>2000</v>
      </c>
      <c r="S154" s="220">
        <f t="shared" si="180"/>
        <v>2000</v>
      </c>
      <c r="T154" s="220">
        <f t="shared" si="180"/>
        <v>2000</v>
      </c>
      <c r="U154" s="220">
        <f t="shared" si="181"/>
        <v>431</v>
      </c>
      <c r="V154" s="220">
        <f t="shared" si="181"/>
        <v>232</v>
      </c>
      <c r="W154" s="220">
        <f t="shared" si="181"/>
        <v>191</v>
      </c>
      <c r="X154" s="220">
        <f t="shared" si="181"/>
        <v>207</v>
      </c>
      <c r="Y154" s="220">
        <f t="shared" si="181"/>
        <v>361</v>
      </c>
      <c r="Z154" s="220">
        <v>0</v>
      </c>
      <c r="AA154" s="220">
        <v>0</v>
      </c>
      <c r="AB154" s="220">
        <v>2</v>
      </c>
      <c r="AC154" s="220">
        <v>0</v>
      </c>
      <c r="AD154" s="220">
        <v>0</v>
      </c>
      <c r="AE154" s="220">
        <f t="shared" si="182"/>
        <v>-218</v>
      </c>
      <c r="AF154" s="220">
        <f t="shared" si="182"/>
        <v>-397</v>
      </c>
      <c r="AG154" s="220">
        <f t="shared" si="182"/>
        <v>-408</v>
      </c>
      <c r="AH154" s="220">
        <f t="shared" si="182"/>
        <v>-347</v>
      </c>
      <c r="AI154" s="220">
        <f t="shared" si="182"/>
        <v>-198</v>
      </c>
      <c r="AJ154" s="50">
        <f t="shared" si="183"/>
        <v>1.3910000000000069</v>
      </c>
      <c r="AK154" s="257"/>
      <c r="AL154" s="257">
        <f t="shared" si="184"/>
        <v>1.2</v>
      </c>
      <c r="AM154" s="52"/>
      <c r="AN154" s="88"/>
    </row>
    <row r="155" spans="1:40" s="29" customFormat="1" ht="17.25" customHeight="1">
      <c r="A155" s="48">
        <v>145</v>
      </c>
      <c r="B155" s="49">
        <f t="shared" si="176"/>
        <v>45720</v>
      </c>
      <c r="C155" s="220">
        <f t="shared" si="177"/>
        <v>1049</v>
      </c>
      <c r="D155" s="220">
        <f t="shared" ref="D155" si="198">D154-18</f>
        <v>2592</v>
      </c>
      <c r="E155" s="220">
        <f t="shared" si="179"/>
        <v>3641</v>
      </c>
      <c r="F155" s="220">
        <f t="shared" si="171"/>
        <v>1211</v>
      </c>
      <c r="G155" s="220">
        <f t="shared" si="172"/>
        <v>1413</v>
      </c>
      <c r="H155" s="220">
        <f t="shared" si="173"/>
        <v>1450</v>
      </c>
      <c r="I155" s="220">
        <f t="shared" si="174"/>
        <v>1437</v>
      </c>
      <c r="J155" s="220">
        <f t="shared" si="175"/>
        <v>1280</v>
      </c>
      <c r="K155" s="220">
        <f t="shared" si="141"/>
        <v>2430</v>
      </c>
      <c r="L155" s="220">
        <f t="shared" si="141"/>
        <v>2228</v>
      </c>
      <c r="M155" s="220">
        <f t="shared" si="141"/>
        <v>2191</v>
      </c>
      <c r="N155" s="220">
        <f t="shared" si="141"/>
        <v>2204</v>
      </c>
      <c r="O155" s="220">
        <f t="shared" si="141"/>
        <v>2361</v>
      </c>
      <c r="P155" s="220">
        <f t="shared" si="180"/>
        <v>2000</v>
      </c>
      <c r="Q155" s="220">
        <f t="shared" si="180"/>
        <v>2000</v>
      </c>
      <c r="R155" s="220">
        <f t="shared" si="180"/>
        <v>2000</v>
      </c>
      <c r="S155" s="220">
        <f t="shared" si="180"/>
        <v>2000</v>
      </c>
      <c r="T155" s="220">
        <f t="shared" si="180"/>
        <v>2000</v>
      </c>
      <c r="U155" s="220">
        <f t="shared" si="181"/>
        <v>430</v>
      </c>
      <c r="V155" s="220">
        <f t="shared" si="181"/>
        <v>228</v>
      </c>
      <c r="W155" s="220">
        <f t="shared" si="181"/>
        <v>191</v>
      </c>
      <c r="X155" s="220">
        <f t="shared" si="181"/>
        <v>204</v>
      </c>
      <c r="Y155" s="220">
        <f t="shared" si="181"/>
        <v>361</v>
      </c>
      <c r="Z155" s="220">
        <v>1</v>
      </c>
      <c r="AA155" s="220">
        <v>4</v>
      </c>
      <c r="AB155" s="220">
        <v>0</v>
      </c>
      <c r="AC155" s="220">
        <v>3</v>
      </c>
      <c r="AD155" s="220">
        <v>0</v>
      </c>
      <c r="AE155" s="220">
        <f t="shared" si="182"/>
        <v>-219</v>
      </c>
      <c r="AF155" s="220">
        <f t="shared" si="182"/>
        <v>-401</v>
      </c>
      <c r="AG155" s="220">
        <f t="shared" si="182"/>
        <v>-408</v>
      </c>
      <c r="AH155" s="220">
        <f t="shared" si="182"/>
        <v>-350</v>
      </c>
      <c r="AI155" s="220">
        <f t="shared" si="182"/>
        <v>-198</v>
      </c>
      <c r="AJ155" s="50">
        <f t="shared" si="183"/>
        <v>1.3910000000000069</v>
      </c>
      <c r="AK155" s="257"/>
      <c r="AL155" s="257">
        <f t="shared" si="184"/>
        <v>1.2</v>
      </c>
      <c r="AM155" s="52"/>
      <c r="AN155" s="88"/>
    </row>
    <row r="156" spans="1:40" s="29" customFormat="1" ht="17.25" customHeight="1">
      <c r="A156" s="48">
        <v>146</v>
      </c>
      <c r="B156" s="49">
        <f t="shared" si="176"/>
        <v>45721</v>
      </c>
      <c r="C156" s="220">
        <f t="shared" si="177"/>
        <v>1049</v>
      </c>
      <c r="D156" s="220">
        <f t="shared" ref="D156" si="199">D155-26</f>
        <v>2566</v>
      </c>
      <c r="E156" s="220">
        <f t="shared" si="179"/>
        <v>3615</v>
      </c>
      <c r="F156" s="220">
        <f t="shared" si="171"/>
        <v>1186</v>
      </c>
      <c r="G156" s="220">
        <f t="shared" si="172"/>
        <v>1387</v>
      </c>
      <c r="H156" s="220">
        <f t="shared" si="173"/>
        <v>1427</v>
      </c>
      <c r="I156" s="220">
        <f t="shared" si="174"/>
        <v>1411</v>
      </c>
      <c r="J156" s="220">
        <f t="shared" si="175"/>
        <v>1254</v>
      </c>
      <c r="K156" s="220">
        <f t="shared" si="141"/>
        <v>2429</v>
      </c>
      <c r="L156" s="220">
        <f t="shared" si="141"/>
        <v>2228</v>
      </c>
      <c r="M156" s="220">
        <f t="shared" si="141"/>
        <v>2188</v>
      </c>
      <c r="N156" s="220">
        <f t="shared" si="141"/>
        <v>2204</v>
      </c>
      <c r="O156" s="220">
        <f t="shared" si="141"/>
        <v>2361</v>
      </c>
      <c r="P156" s="220">
        <f t="shared" si="180"/>
        <v>2000</v>
      </c>
      <c r="Q156" s="220">
        <f t="shared" si="180"/>
        <v>2000</v>
      </c>
      <c r="R156" s="220">
        <f t="shared" si="180"/>
        <v>2000</v>
      </c>
      <c r="S156" s="220">
        <f t="shared" si="180"/>
        <v>2000</v>
      </c>
      <c r="T156" s="220">
        <f t="shared" si="180"/>
        <v>2000</v>
      </c>
      <c r="U156" s="220">
        <f t="shared" si="181"/>
        <v>429</v>
      </c>
      <c r="V156" s="220">
        <f t="shared" si="181"/>
        <v>228</v>
      </c>
      <c r="W156" s="220">
        <f t="shared" si="181"/>
        <v>188</v>
      </c>
      <c r="X156" s="220">
        <f t="shared" si="181"/>
        <v>204</v>
      </c>
      <c r="Y156" s="220">
        <f t="shared" si="181"/>
        <v>361</v>
      </c>
      <c r="Z156" s="220">
        <v>1</v>
      </c>
      <c r="AA156" s="220">
        <v>0</v>
      </c>
      <c r="AB156" s="220">
        <v>3</v>
      </c>
      <c r="AC156" s="220">
        <v>0</v>
      </c>
      <c r="AD156" s="220">
        <v>0</v>
      </c>
      <c r="AE156" s="220">
        <f t="shared" si="182"/>
        <v>-220</v>
      </c>
      <c r="AF156" s="220">
        <f t="shared" si="182"/>
        <v>-401</v>
      </c>
      <c r="AG156" s="220">
        <f t="shared" si="182"/>
        <v>-411</v>
      </c>
      <c r="AH156" s="220">
        <f t="shared" si="182"/>
        <v>-350</v>
      </c>
      <c r="AI156" s="220">
        <f t="shared" si="182"/>
        <v>-198</v>
      </c>
      <c r="AJ156" s="50">
        <f t="shared" si="183"/>
        <v>1.388000000000007</v>
      </c>
      <c r="AK156" s="257"/>
      <c r="AL156" s="257">
        <f t="shared" si="184"/>
        <v>1.2</v>
      </c>
      <c r="AM156" s="52"/>
      <c r="AN156" s="88"/>
    </row>
    <row r="157" spans="1:40" s="29" customFormat="1" ht="17.25" customHeight="1">
      <c r="A157" s="48">
        <v>147</v>
      </c>
      <c r="B157" s="49">
        <f t="shared" si="176"/>
        <v>45722</v>
      </c>
      <c r="C157" s="220">
        <f t="shared" si="177"/>
        <v>1049</v>
      </c>
      <c r="D157" s="220">
        <f t="shared" ref="D157" si="200">D156+15</f>
        <v>2581</v>
      </c>
      <c r="E157" s="220">
        <f t="shared" si="179"/>
        <v>3630</v>
      </c>
      <c r="F157" s="220">
        <f t="shared" si="171"/>
        <v>1201</v>
      </c>
      <c r="G157" s="220">
        <f t="shared" si="172"/>
        <v>1403</v>
      </c>
      <c r="H157" s="220">
        <f t="shared" si="173"/>
        <v>1442</v>
      </c>
      <c r="I157" s="220">
        <f t="shared" si="174"/>
        <v>1426</v>
      </c>
      <c r="J157" s="220">
        <f t="shared" si="175"/>
        <v>1269</v>
      </c>
      <c r="K157" s="220">
        <f t="shared" si="141"/>
        <v>2429</v>
      </c>
      <c r="L157" s="220">
        <f t="shared" si="141"/>
        <v>2227</v>
      </c>
      <c r="M157" s="220">
        <f t="shared" si="141"/>
        <v>2188</v>
      </c>
      <c r="N157" s="220">
        <f t="shared" si="141"/>
        <v>2204</v>
      </c>
      <c r="O157" s="220">
        <f t="shared" si="141"/>
        <v>2361</v>
      </c>
      <c r="P157" s="220">
        <f t="shared" ref="P157:T172" si="201">+P156</f>
        <v>2000</v>
      </c>
      <c r="Q157" s="220">
        <f t="shared" si="201"/>
        <v>2000</v>
      </c>
      <c r="R157" s="220">
        <f t="shared" si="201"/>
        <v>2000</v>
      </c>
      <c r="S157" s="220">
        <f t="shared" si="201"/>
        <v>2000</v>
      </c>
      <c r="T157" s="220">
        <f t="shared" si="201"/>
        <v>2000</v>
      </c>
      <c r="U157" s="220">
        <f t="shared" ref="U157:Y172" si="202">U156-Z157</f>
        <v>429</v>
      </c>
      <c r="V157" s="220">
        <f t="shared" si="202"/>
        <v>227</v>
      </c>
      <c r="W157" s="220">
        <f t="shared" si="202"/>
        <v>188</v>
      </c>
      <c r="X157" s="220">
        <f t="shared" si="202"/>
        <v>204</v>
      </c>
      <c r="Y157" s="220">
        <f t="shared" si="202"/>
        <v>361</v>
      </c>
      <c r="Z157" s="220">
        <v>0</v>
      </c>
      <c r="AA157" s="220">
        <v>1</v>
      </c>
      <c r="AB157" s="220">
        <v>0</v>
      </c>
      <c r="AC157" s="220">
        <v>0</v>
      </c>
      <c r="AD157" s="220">
        <v>0</v>
      </c>
      <c r="AE157" s="220">
        <f t="shared" ref="AE157:AI172" si="203">AE156-Z157</f>
        <v>-220</v>
      </c>
      <c r="AF157" s="220">
        <f t="shared" si="203"/>
        <v>-402</v>
      </c>
      <c r="AG157" s="220">
        <f t="shared" si="203"/>
        <v>-411</v>
      </c>
      <c r="AH157" s="220">
        <f t="shared" si="203"/>
        <v>-350</v>
      </c>
      <c r="AI157" s="220">
        <f t="shared" si="203"/>
        <v>-198</v>
      </c>
      <c r="AJ157" s="50">
        <f t="shared" si="183"/>
        <v>1.388000000000007</v>
      </c>
      <c r="AK157" s="257"/>
      <c r="AL157" s="257">
        <f t="shared" si="184"/>
        <v>1.2</v>
      </c>
      <c r="AM157" s="52"/>
      <c r="AN157" s="88"/>
    </row>
    <row r="158" spans="1:40" s="29" customFormat="1" ht="17.25" customHeight="1">
      <c r="A158" s="48">
        <v>148</v>
      </c>
      <c r="B158" s="49">
        <f t="shared" si="176"/>
        <v>45723</v>
      </c>
      <c r="C158" s="220">
        <f t="shared" si="177"/>
        <v>1049</v>
      </c>
      <c r="D158" s="220">
        <f t="shared" ref="D158" si="204">D157+26</f>
        <v>2607</v>
      </c>
      <c r="E158" s="220">
        <f t="shared" si="179"/>
        <v>3656</v>
      </c>
      <c r="F158" s="220">
        <f t="shared" si="171"/>
        <v>1228</v>
      </c>
      <c r="G158" s="220">
        <f t="shared" si="172"/>
        <v>1430</v>
      </c>
      <c r="H158" s="220">
        <f t="shared" si="173"/>
        <v>1469</v>
      </c>
      <c r="I158" s="220">
        <f t="shared" si="174"/>
        <v>1452</v>
      </c>
      <c r="J158" s="220">
        <f t="shared" si="175"/>
        <v>1295</v>
      </c>
      <c r="K158" s="220">
        <f t="shared" si="141"/>
        <v>2428</v>
      </c>
      <c r="L158" s="220">
        <f t="shared" si="141"/>
        <v>2226</v>
      </c>
      <c r="M158" s="220">
        <f t="shared" si="141"/>
        <v>2187</v>
      </c>
      <c r="N158" s="220">
        <f t="shared" si="141"/>
        <v>2204</v>
      </c>
      <c r="O158" s="220">
        <f t="shared" si="141"/>
        <v>2361</v>
      </c>
      <c r="P158" s="220">
        <f t="shared" si="201"/>
        <v>2000</v>
      </c>
      <c r="Q158" s="220">
        <f t="shared" si="201"/>
        <v>2000</v>
      </c>
      <c r="R158" s="220">
        <f t="shared" si="201"/>
        <v>2000</v>
      </c>
      <c r="S158" s="220">
        <f t="shared" si="201"/>
        <v>2000</v>
      </c>
      <c r="T158" s="220">
        <f t="shared" si="201"/>
        <v>2000</v>
      </c>
      <c r="U158" s="220">
        <f t="shared" si="202"/>
        <v>428</v>
      </c>
      <c r="V158" s="220">
        <f t="shared" si="202"/>
        <v>226</v>
      </c>
      <c r="W158" s="220">
        <f t="shared" si="202"/>
        <v>187</v>
      </c>
      <c r="X158" s="220">
        <f t="shared" si="202"/>
        <v>204</v>
      </c>
      <c r="Y158" s="220">
        <f t="shared" si="202"/>
        <v>361</v>
      </c>
      <c r="Z158" s="220">
        <v>1</v>
      </c>
      <c r="AA158" s="220">
        <v>1</v>
      </c>
      <c r="AB158" s="220">
        <v>1</v>
      </c>
      <c r="AC158" s="220">
        <v>0</v>
      </c>
      <c r="AD158" s="220">
        <v>0</v>
      </c>
      <c r="AE158" s="220">
        <f t="shared" si="203"/>
        <v>-221</v>
      </c>
      <c r="AF158" s="220">
        <f t="shared" si="203"/>
        <v>-403</v>
      </c>
      <c r="AG158" s="220">
        <f t="shared" si="203"/>
        <v>-412</v>
      </c>
      <c r="AH158" s="220">
        <f t="shared" si="203"/>
        <v>-350</v>
      </c>
      <c r="AI158" s="220">
        <f t="shared" si="203"/>
        <v>-198</v>
      </c>
      <c r="AJ158" s="50">
        <f t="shared" si="183"/>
        <v>1.3870000000000071</v>
      </c>
      <c r="AK158" s="257"/>
      <c r="AL158" s="257">
        <f t="shared" si="184"/>
        <v>1.2</v>
      </c>
      <c r="AM158" s="52"/>
      <c r="AN158" s="88"/>
    </row>
    <row r="159" spans="1:40" s="29" customFormat="1" ht="17.25" customHeight="1">
      <c r="A159" s="48">
        <v>149</v>
      </c>
      <c r="B159" s="49">
        <f t="shared" si="176"/>
        <v>45724</v>
      </c>
      <c r="C159" s="220">
        <f t="shared" si="177"/>
        <v>1049</v>
      </c>
      <c r="D159" s="220">
        <f t="shared" ref="D159" si="205">D158+32</f>
        <v>2639</v>
      </c>
      <c r="E159" s="220">
        <f t="shared" si="179"/>
        <v>3688</v>
      </c>
      <c r="F159" s="220">
        <f t="shared" si="171"/>
        <v>1260</v>
      </c>
      <c r="G159" s="220">
        <f t="shared" si="172"/>
        <v>1465</v>
      </c>
      <c r="H159" s="220">
        <f t="shared" si="173"/>
        <v>1504</v>
      </c>
      <c r="I159" s="220">
        <f t="shared" si="174"/>
        <v>1484</v>
      </c>
      <c r="J159" s="220">
        <f t="shared" si="175"/>
        <v>1329</v>
      </c>
      <c r="K159" s="220">
        <f t="shared" si="141"/>
        <v>2428</v>
      </c>
      <c r="L159" s="220">
        <f t="shared" si="141"/>
        <v>2223</v>
      </c>
      <c r="M159" s="220">
        <f t="shared" si="141"/>
        <v>2184</v>
      </c>
      <c r="N159" s="220">
        <f t="shared" si="141"/>
        <v>2204</v>
      </c>
      <c r="O159" s="220">
        <f t="shared" si="141"/>
        <v>2359</v>
      </c>
      <c r="P159" s="220">
        <f t="shared" si="201"/>
        <v>2000</v>
      </c>
      <c r="Q159" s="220">
        <f t="shared" si="201"/>
        <v>2000</v>
      </c>
      <c r="R159" s="220">
        <f t="shared" si="201"/>
        <v>2000</v>
      </c>
      <c r="S159" s="220">
        <f t="shared" si="201"/>
        <v>2000</v>
      </c>
      <c r="T159" s="220">
        <f t="shared" si="201"/>
        <v>2000</v>
      </c>
      <c r="U159" s="220">
        <f t="shared" si="202"/>
        <v>428</v>
      </c>
      <c r="V159" s="220">
        <f t="shared" si="202"/>
        <v>223</v>
      </c>
      <c r="W159" s="220">
        <f t="shared" si="202"/>
        <v>184</v>
      </c>
      <c r="X159" s="220">
        <f t="shared" si="202"/>
        <v>204</v>
      </c>
      <c r="Y159" s="220">
        <f t="shared" si="202"/>
        <v>359</v>
      </c>
      <c r="Z159" s="220">
        <v>0</v>
      </c>
      <c r="AA159" s="220">
        <v>3</v>
      </c>
      <c r="AB159" s="220">
        <v>3</v>
      </c>
      <c r="AC159" s="220">
        <v>0</v>
      </c>
      <c r="AD159" s="220">
        <v>2</v>
      </c>
      <c r="AE159" s="220">
        <f t="shared" si="203"/>
        <v>-221</v>
      </c>
      <c r="AF159" s="220">
        <f t="shared" si="203"/>
        <v>-406</v>
      </c>
      <c r="AG159" s="220">
        <f t="shared" si="203"/>
        <v>-415</v>
      </c>
      <c r="AH159" s="220">
        <f t="shared" si="203"/>
        <v>-350</v>
      </c>
      <c r="AI159" s="220">
        <f t="shared" si="203"/>
        <v>-200</v>
      </c>
      <c r="AJ159" s="50">
        <f t="shared" si="183"/>
        <v>1.3840000000000072</v>
      </c>
      <c r="AK159" s="257"/>
      <c r="AL159" s="257">
        <f t="shared" si="184"/>
        <v>1.2</v>
      </c>
      <c r="AM159" s="52"/>
      <c r="AN159" s="88"/>
    </row>
    <row r="160" spans="1:40" s="29" customFormat="1" ht="17.25" customHeight="1">
      <c r="A160" s="48">
        <v>150</v>
      </c>
      <c r="B160" s="49">
        <f t="shared" si="176"/>
        <v>45725</v>
      </c>
      <c r="C160" s="220">
        <f t="shared" si="177"/>
        <v>1049</v>
      </c>
      <c r="D160" s="220">
        <v>1986</v>
      </c>
      <c r="E160" s="220">
        <f t="shared" si="179"/>
        <v>3035</v>
      </c>
      <c r="F160" s="220">
        <f t="shared" si="171"/>
        <v>607</v>
      </c>
      <c r="G160" s="220">
        <f t="shared" si="172"/>
        <v>814</v>
      </c>
      <c r="H160" s="220">
        <f t="shared" si="173"/>
        <v>852</v>
      </c>
      <c r="I160" s="220">
        <f t="shared" si="174"/>
        <v>833</v>
      </c>
      <c r="J160" s="220">
        <f t="shared" si="175"/>
        <v>676</v>
      </c>
      <c r="K160" s="220">
        <f t="shared" si="141"/>
        <v>2428</v>
      </c>
      <c r="L160" s="220">
        <f t="shared" si="141"/>
        <v>2221</v>
      </c>
      <c r="M160" s="220">
        <f t="shared" si="141"/>
        <v>2183</v>
      </c>
      <c r="N160" s="220">
        <f t="shared" si="141"/>
        <v>2202</v>
      </c>
      <c r="O160" s="220">
        <f t="shared" si="141"/>
        <v>2359</v>
      </c>
      <c r="P160" s="220">
        <f t="shared" si="201"/>
        <v>2000</v>
      </c>
      <c r="Q160" s="220">
        <f t="shared" si="201"/>
        <v>2000</v>
      </c>
      <c r="R160" s="220">
        <f t="shared" si="201"/>
        <v>2000</v>
      </c>
      <c r="S160" s="220">
        <f t="shared" si="201"/>
        <v>2000</v>
      </c>
      <c r="T160" s="220">
        <f t="shared" si="201"/>
        <v>2000</v>
      </c>
      <c r="U160" s="220">
        <f t="shared" si="202"/>
        <v>428</v>
      </c>
      <c r="V160" s="220">
        <f t="shared" si="202"/>
        <v>221</v>
      </c>
      <c r="W160" s="220">
        <f t="shared" si="202"/>
        <v>183</v>
      </c>
      <c r="X160" s="220">
        <f t="shared" si="202"/>
        <v>202</v>
      </c>
      <c r="Y160" s="220">
        <f t="shared" si="202"/>
        <v>359</v>
      </c>
      <c r="Z160" s="220">
        <v>0</v>
      </c>
      <c r="AA160" s="220">
        <v>2</v>
      </c>
      <c r="AB160" s="220">
        <v>1</v>
      </c>
      <c r="AC160" s="220">
        <v>2</v>
      </c>
      <c r="AD160" s="220">
        <v>0</v>
      </c>
      <c r="AE160" s="220">
        <f t="shared" si="203"/>
        <v>-221</v>
      </c>
      <c r="AF160" s="220">
        <f t="shared" si="203"/>
        <v>-408</v>
      </c>
      <c r="AG160" s="220">
        <f t="shared" si="203"/>
        <v>-416</v>
      </c>
      <c r="AH160" s="220">
        <f t="shared" si="203"/>
        <v>-352</v>
      </c>
      <c r="AI160" s="220">
        <f t="shared" si="203"/>
        <v>-200</v>
      </c>
      <c r="AJ160" s="50">
        <f t="shared" si="183"/>
        <v>1.3830000000000073</v>
      </c>
      <c r="AK160" s="257"/>
      <c r="AL160" s="257">
        <f t="shared" si="184"/>
        <v>1.2</v>
      </c>
      <c r="AM160" s="52"/>
      <c r="AN160" s="88"/>
    </row>
    <row r="161" spans="1:40" s="29" customFormat="1" ht="17.25" customHeight="1">
      <c r="A161" s="48">
        <v>151</v>
      </c>
      <c r="B161" s="49">
        <f t="shared" si="176"/>
        <v>45726</v>
      </c>
      <c r="C161" s="220">
        <f t="shared" si="177"/>
        <v>1049</v>
      </c>
      <c r="D161" s="220">
        <f t="shared" ref="D161" si="206">D160-26</f>
        <v>1960</v>
      </c>
      <c r="E161" s="220">
        <f t="shared" si="179"/>
        <v>3009</v>
      </c>
      <c r="F161" s="220">
        <f t="shared" si="171"/>
        <v>582</v>
      </c>
      <c r="G161" s="220">
        <f t="shared" si="172"/>
        <v>788</v>
      </c>
      <c r="H161" s="220">
        <f t="shared" si="173"/>
        <v>830</v>
      </c>
      <c r="I161" s="220">
        <f t="shared" si="174"/>
        <v>807</v>
      </c>
      <c r="J161" s="220">
        <f t="shared" si="175"/>
        <v>650</v>
      </c>
      <c r="K161" s="220">
        <f t="shared" si="141"/>
        <v>2427</v>
      </c>
      <c r="L161" s="220">
        <f t="shared" si="141"/>
        <v>2221</v>
      </c>
      <c r="M161" s="220">
        <f t="shared" si="141"/>
        <v>2179</v>
      </c>
      <c r="N161" s="220">
        <f t="shared" si="141"/>
        <v>2202</v>
      </c>
      <c r="O161" s="220">
        <f t="shared" si="141"/>
        <v>2359</v>
      </c>
      <c r="P161" s="220">
        <f t="shared" si="201"/>
        <v>2000</v>
      </c>
      <c r="Q161" s="220">
        <f t="shared" si="201"/>
        <v>2000</v>
      </c>
      <c r="R161" s="220">
        <f t="shared" si="201"/>
        <v>2000</v>
      </c>
      <c r="S161" s="220">
        <f t="shared" si="201"/>
        <v>2000</v>
      </c>
      <c r="T161" s="220">
        <f t="shared" si="201"/>
        <v>2000</v>
      </c>
      <c r="U161" s="220">
        <f t="shared" si="202"/>
        <v>427</v>
      </c>
      <c r="V161" s="220">
        <f t="shared" si="202"/>
        <v>221</v>
      </c>
      <c r="W161" s="220">
        <f t="shared" si="202"/>
        <v>179</v>
      </c>
      <c r="X161" s="220">
        <f t="shared" si="202"/>
        <v>202</v>
      </c>
      <c r="Y161" s="220">
        <f t="shared" si="202"/>
        <v>359</v>
      </c>
      <c r="Z161" s="220">
        <v>1</v>
      </c>
      <c r="AA161" s="220">
        <v>0</v>
      </c>
      <c r="AB161" s="220">
        <v>4</v>
      </c>
      <c r="AC161" s="220">
        <v>0</v>
      </c>
      <c r="AD161" s="220">
        <v>0</v>
      </c>
      <c r="AE161" s="220">
        <f t="shared" si="203"/>
        <v>-222</v>
      </c>
      <c r="AF161" s="220">
        <f t="shared" si="203"/>
        <v>-408</v>
      </c>
      <c r="AG161" s="220">
        <f t="shared" si="203"/>
        <v>-420</v>
      </c>
      <c r="AH161" s="220">
        <f t="shared" si="203"/>
        <v>-352</v>
      </c>
      <c r="AI161" s="220">
        <f t="shared" si="203"/>
        <v>-200</v>
      </c>
      <c r="AJ161" s="50">
        <f t="shared" si="183"/>
        <v>1.3790000000000073</v>
      </c>
      <c r="AK161" s="257"/>
      <c r="AL161" s="257">
        <f t="shared" si="184"/>
        <v>1.2</v>
      </c>
      <c r="AM161" s="52"/>
      <c r="AN161" s="88"/>
    </row>
    <row r="162" spans="1:40" s="29" customFormat="1" ht="17.25" customHeight="1">
      <c r="A162" s="48">
        <v>152</v>
      </c>
      <c r="B162" s="49">
        <f t="shared" si="176"/>
        <v>45727</v>
      </c>
      <c r="C162" s="220">
        <f t="shared" si="177"/>
        <v>1049</v>
      </c>
      <c r="D162" s="220">
        <f t="shared" ref="D162" si="207">D161+15</f>
        <v>1975</v>
      </c>
      <c r="E162" s="220">
        <f t="shared" si="179"/>
        <v>3024</v>
      </c>
      <c r="F162" s="220">
        <f t="shared" si="171"/>
        <v>597</v>
      </c>
      <c r="G162" s="220">
        <f t="shared" si="172"/>
        <v>803</v>
      </c>
      <c r="H162" s="220">
        <f t="shared" si="173"/>
        <v>845</v>
      </c>
      <c r="I162" s="220">
        <f t="shared" si="174"/>
        <v>826</v>
      </c>
      <c r="J162" s="220">
        <f t="shared" si="175"/>
        <v>665</v>
      </c>
      <c r="K162" s="220">
        <f t="shared" si="141"/>
        <v>2427</v>
      </c>
      <c r="L162" s="220">
        <f t="shared" si="141"/>
        <v>2221</v>
      </c>
      <c r="M162" s="220">
        <f t="shared" si="141"/>
        <v>2179</v>
      </c>
      <c r="N162" s="220">
        <f t="shared" si="141"/>
        <v>2198</v>
      </c>
      <c r="O162" s="220">
        <f t="shared" si="141"/>
        <v>2359</v>
      </c>
      <c r="P162" s="220">
        <f t="shared" si="201"/>
        <v>2000</v>
      </c>
      <c r="Q162" s="220">
        <f t="shared" si="201"/>
        <v>2000</v>
      </c>
      <c r="R162" s="220">
        <f t="shared" si="201"/>
        <v>2000</v>
      </c>
      <c r="S162" s="220">
        <f t="shared" si="201"/>
        <v>2000</v>
      </c>
      <c r="T162" s="220">
        <f t="shared" si="201"/>
        <v>2000</v>
      </c>
      <c r="U162" s="220">
        <f t="shared" si="202"/>
        <v>427</v>
      </c>
      <c r="V162" s="220">
        <f t="shared" si="202"/>
        <v>221</v>
      </c>
      <c r="W162" s="220">
        <f t="shared" si="202"/>
        <v>179</v>
      </c>
      <c r="X162" s="220">
        <f t="shared" si="202"/>
        <v>198</v>
      </c>
      <c r="Y162" s="220">
        <f t="shared" si="202"/>
        <v>359</v>
      </c>
      <c r="Z162" s="220">
        <v>0</v>
      </c>
      <c r="AA162" s="220">
        <v>0</v>
      </c>
      <c r="AB162" s="220">
        <v>0</v>
      </c>
      <c r="AC162" s="220">
        <v>4</v>
      </c>
      <c r="AD162" s="220">
        <v>0</v>
      </c>
      <c r="AE162" s="220">
        <f t="shared" si="203"/>
        <v>-222</v>
      </c>
      <c r="AF162" s="220">
        <f t="shared" si="203"/>
        <v>-408</v>
      </c>
      <c r="AG162" s="220">
        <f t="shared" si="203"/>
        <v>-420</v>
      </c>
      <c r="AH162" s="220">
        <f t="shared" si="203"/>
        <v>-356</v>
      </c>
      <c r="AI162" s="220">
        <f t="shared" si="203"/>
        <v>-200</v>
      </c>
      <c r="AJ162" s="50">
        <f t="shared" si="183"/>
        <v>1.3790000000000073</v>
      </c>
      <c r="AK162" s="257"/>
      <c r="AL162" s="257">
        <f t="shared" si="184"/>
        <v>1.2</v>
      </c>
      <c r="AM162" s="52"/>
      <c r="AN162" s="88"/>
    </row>
    <row r="163" spans="1:40" s="29" customFormat="1" ht="17.25" customHeight="1">
      <c r="A163" s="48">
        <v>153</v>
      </c>
      <c r="B163" s="49">
        <f t="shared" si="176"/>
        <v>45728</v>
      </c>
      <c r="C163" s="220">
        <f t="shared" si="177"/>
        <v>1049</v>
      </c>
      <c r="D163" s="220">
        <f t="shared" ref="D163" si="208">D162+26</f>
        <v>2001</v>
      </c>
      <c r="E163" s="220">
        <f t="shared" si="179"/>
        <v>3050</v>
      </c>
      <c r="F163" s="220">
        <f t="shared" si="171"/>
        <v>623</v>
      </c>
      <c r="G163" s="220">
        <f t="shared" si="172"/>
        <v>829</v>
      </c>
      <c r="H163" s="220">
        <f t="shared" si="173"/>
        <v>872</v>
      </c>
      <c r="I163" s="220">
        <f t="shared" si="174"/>
        <v>856</v>
      </c>
      <c r="J163" s="220">
        <f t="shared" si="175"/>
        <v>691</v>
      </c>
      <c r="K163" s="220">
        <f t="shared" si="141"/>
        <v>2427</v>
      </c>
      <c r="L163" s="220">
        <f t="shared" si="141"/>
        <v>2221</v>
      </c>
      <c r="M163" s="220">
        <f t="shared" si="141"/>
        <v>2178</v>
      </c>
      <c r="N163" s="220">
        <f t="shared" si="141"/>
        <v>2194</v>
      </c>
      <c r="O163" s="220">
        <f t="shared" si="141"/>
        <v>2359</v>
      </c>
      <c r="P163" s="220">
        <f t="shared" si="201"/>
        <v>2000</v>
      </c>
      <c r="Q163" s="220">
        <f t="shared" si="201"/>
        <v>2000</v>
      </c>
      <c r="R163" s="220">
        <f t="shared" si="201"/>
        <v>2000</v>
      </c>
      <c r="S163" s="220">
        <f t="shared" si="201"/>
        <v>2000</v>
      </c>
      <c r="T163" s="220">
        <f t="shared" si="201"/>
        <v>2000</v>
      </c>
      <c r="U163" s="220">
        <f t="shared" si="202"/>
        <v>427</v>
      </c>
      <c r="V163" s="220">
        <f t="shared" si="202"/>
        <v>221</v>
      </c>
      <c r="W163" s="220">
        <f t="shared" si="202"/>
        <v>178</v>
      </c>
      <c r="X163" s="220">
        <f t="shared" si="202"/>
        <v>194</v>
      </c>
      <c r="Y163" s="220">
        <f t="shared" si="202"/>
        <v>359</v>
      </c>
      <c r="Z163" s="220">
        <v>0</v>
      </c>
      <c r="AA163" s="220">
        <v>0</v>
      </c>
      <c r="AB163" s="220">
        <v>1</v>
      </c>
      <c r="AC163" s="220">
        <v>4</v>
      </c>
      <c r="AD163" s="220">
        <v>0</v>
      </c>
      <c r="AE163" s="220">
        <f t="shared" si="203"/>
        <v>-222</v>
      </c>
      <c r="AF163" s="220">
        <f t="shared" si="203"/>
        <v>-408</v>
      </c>
      <c r="AG163" s="220">
        <f t="shared" si="203"/>
        <v>-421</v>
      </c>
      <c r="AH163" s="220">
        <f t="shared" si="203"/>
        <v>-360</v>
      </c>
      <c r="AI163" s="220">
        <f t="shared" si="203"/>
        <v>-200</v>
      </c>
      <c r="AJ163" s="50">
        <f t="shared" si="183"/>
        <v>1.3780000000000074</v>
      </c>
      <c r="AK163" s="257"/>
      <c r="AL163" s="257">
        <f t="shared" si="184"/>
        <v>1.2</v>
      </c>
      <c r="AM163" s="52"/>
      <c r="AN163" s="88"/>
    </row>
    <row r="164" spans="1:40" s="29" customFormat="1" ht="17.25" customHeight="1">
      <c r="A164" s="48">
        <v>154</v>
      </c>
      <c r="B164" s="49">
        <f t="shared" si="176"/>
        <v>45729</v>
      </c>
      <c r="C164" s="220">
        <f t="shared" si="177"/>
        <v>1049</v>
      </c>
      <c r="D164" s="220">
        <f t="shared" ref="D164" si="209">D163+32</f>
        <v>2033</v>
      </c>
      <c r="E164" s="220">
        <f t="shared" si="179"/>
        <v>3082</v>
      </c>
      <c r="F164" s="220">
        <f t="shared" si="171"/>
        <v>656</v>
      </c>
      <c r="G164" s="220">
        <f t="shared" si="172"/>
        <v>864</v>
      </c>
      <c r="H164" s="220">
        <f t="shared" si="173"/>
        <v>907</v>
      </c>
      <c r="I164" s="220">
        <f t="shared" si="174"/>
        <v>891</v>
      </c>
      <c r="J164" s="220">
        <f t="shared" si="175"/>
        <v>723</v>
      </c>
      <c r="K164" s="220">
        <f t="shared" si="141"/>
        <v>2426</v>
      </c>
      <c r="L164" s="220">
        <f t="shared" si="141"/>
        <v>2218</v>
      </c>
      <c r="M164" s="220">
        <f t="shared" si="141"/>
        <v>2175</v>
      </c>
      <c r="N164" s="220">
        <f t="shared" si="141"/>
        <v>2191</v>
      </c>
      <c r="O164" s="220">
        <f t="shared" si="141"/>
        <v>2359</v>
      </c>
      <c r="P164" s="220">
        <f t="shared" si="201"/>
        <v>2000</v>
      </c>
      <c r="Q164" s="220">
        <f t="shared" si="201"/>
        <v>2000</v>
      </c>
      <c r="R164" s="220">
        <f t="shared" si="201"/>
        <v>2000</v>
      </c>
      <c r="S164" s="220">
        <f t="shared" si="201"/>
        <v>2000</v>
      </c>
      <c r="T164" s="220">
        <f t="shared" si="201"/>
        <v>2000</v>
      </c>
      <c r="U164" s="220">
        <f t="shared" si="202"/>
        <v>426</v>
      </c>
      <c r="V164" s="220">
        <f t="shared" si="202"/>
        <v>218</v>
      </c>
      <c r="W164" s="220">
        <f t="shared" si="202"/>
        <v>175</v>
      </c>
      <c r="X164" s="220">
        <f t="shared" si="202"/>
        <v>191</v>
      </c>
      <c r="Y164" s="220">
        <f t="shared" si="202"/>
        <v>359</v>
      </c>
      <c r="Z164" s="220">
        <v>1</v>
      </c>
      <c r="AA164" s="220">
        <v>3</v>
      </c>
      <c r="AB164" s="220">
        <v>3</v>
      </c>
      <c r="AC164" s="220">
        <v>3</v>
      </c>
      <c r="AD164" s="220">
        <v>0</v>
      </c>
      <c r="AE164" s="220">
        <f t="shared" si="203"/>
        <v>-223</v>
      </c>
      <c r="AF164" s="220">
        <f t="shared" si="203"/>
        <v>-411</v>
      </c>
      <c r="AG164" s="220">
        <f t="shared" si="203"/>
        <v>-424</v>
      </c>
      <c r="AH164" s="220">
        <f t="shared" si="203"/>
        <v>-363</v>
      </c>
      <c r="AI164" s="220">
        <f t="shared" si="203"/>
        <v>-200</v>
      </c>
      <c r="AJ164" s="50">
        <f t="shared" si="183"/>
        <v>1.3750000000000075</v>
      </c>
      <c r="AK164" s="257"/>
      <c r="AL164" s="257">
        <f t="shared" si="184"/>
        <v>1.2</v>
      </c>
      <c r="AM164" s="52"/>
      <c r="AN164" s="88"/>
    </row>
    <row r="165" spans="1:40" s="29" customFormat="1" ht="17.25" customHeight="1">
      <c r="A165" s="48">
        <v>155</v>
      </c>
      <c r="B165" s="49">
        <f t="shared" si="176"/>
        <v>45730</v>
      </c>
      <c r="C165" s="220">
        <f t="shared" si="177"/>
        <v>1049</v>
      </c>
      <c r="D165" s="220">
        <f t="shared" ref="D165" si="210">D164-18</f>
        <v>2015</v>
      </c>
      <c r="E165" s="220">
        <f t="shared" si="179"/>
        <v>3064</v>
      </c>
      <c r="F165" s="220">
        <f t="shared" si="171"/>
        <v>638</v>
      </c>
      <c r="G165" s="220">
        <f t="shared" si="172"/>
        <v>846</v>
      </c>
      <c r="H165" s="220">
        <f t="shared" si="173"/>
        <v>892</v>
      </c>
      <c r="I165" s="220">
        <f t="shared" si="174"/>
        <v>875</v>
      </c>
      <c r="J165" s="220">
        <f t="shared" si="175"/>
        <v>705</v>
      </c>
      <c r="K165" s="220">
        <f t="shared" ref="K165:O190" si="211">P165+U165</f>
        <v>2426</v>
      </c>
      <c r="L165" s="220">
        <f t="shared" si="211"/>
        <v>2218</v>
      </c>
      <c r="M165" s="220">
        <f t="shared" si="211"/>
        <v>2172</v>
      </c>
      <c r="N165" s="220">
        <f t="shared" si="211"/>
        <v>2189</v>
      </c>
      <c r="O165" s="220">
        <f t="shared" si="211"/>
        <v>2359</v>
      </c>
      <c r="P165" s="220">
        <f t="shared" si="201"/>
        <v>2000</v>
      </c>
      <c r="Q165" s="220">
        <f t="shared" si="201"/>
        <v>2000</v>
      </c>
      <c r="R165" s="220">
        <f t="shared" si="201"/>
        <v>2000</v>
      </c>
      <c r="S165" s="220">
        <f t="shared" si="201"/>
        <v>2000</v>
      </c>
      <c r="T165" s="220">
        <f t="shared" si="201"/>
        <v>2000</v>
      </c>
      <c r="U165" s="220">
        <f t="shared" si="202"/>
        <v>426</v>
      </c>
      <c r="V165" s="220">
        <f t="shared" si="202"/>
        <v>218</v>
      </c>
      <c r="W165" s="220">
        <f t="shared" si="202"/>
        <v>172</v>
      </c>
      <c r="X165" s="220">
        <f t="shared" si="202"/>
        <v>189</v>
      </c>
      <c r="Y165" s="220">
        <f t="shared" si="202"/>
        <v>359</v>
      </c>
      <c r="Z165" s="220">
        <v>0</v>
      </c>
      <c r="AA165" s="220">
        <v>0</v>
      </c>
      <c r="AB165" s="220">
        <v>3</v>
      </c>
      <c r="AC165" s="220">
        <v>2</v>
      </c>
      <c r="AD165" s="220">
        <v>0</v>
      </c>
      <c r="AE165" s="220">
        <f t="shared" si="203"/>
        <v>-223</v>
      </c>
      <c r="AF165" s="220">
        <f t="shared" si="203"/>
        <v>-411</v>
      </c>
      <c r="AG165" s="220">
        <f t="shared" si="203"/>
        <v>-427</v>
      </c>
      <c r="AH165" s="220">
        <f t="shared" si="203"/>
        <v>-365</v>
      </c>
      <c r="AI165" s="220">
        <f t="shared" si="203"/>
        <v>-200</v>
      </c>
      <c r="AJ165" s="50">
        <f t="shared" si="183"/>
        <v>1.3720000000000077</v>
      </c>
      <c r="AK165" s="257"/>
      <c r="AL165" s="257">
        <f t="shared" si="184"/>
        <v>1.2</v>
      </c>
      <c r="AM165" s="52"/>
      <c r="AN165" s="88"/>
    </row>
    <row r="166" spans="1:40" s="29" customFormat="1" ht="17.25" customHeight="1">
      <c r="A166" s="48">
        <v>156</v>
      </c>
      <c r="B166" s="49">
        <f t="shared" si="176"/>
        <v>45731</v>
      </c>
      <c r="C166" s="220">
        <f t="shared" si="177"/>
        <v>1049</v>
      </c>
      <c r="D166" s="220">
        <f t="shared" ref="D166" si="212">D165-26</f>
        <v>1989</v>
      </c>
      <c r="E166" s="220">
        <f t="shared" si="179"/>
        <v>3038</v>
      </c>
      <c r="F166" s="220">
        <f t="shared" si="171"/>
        <v>613</v>
      </c>
      <c r="G166" s="220">
        <f t="shared" si="172"/>
        <v>820</v>
      </c>
      <c r="H166" s="220">
        <f t="shared" si="173"/>
        <v>867</v>
      </c>
      <c r="I166" s="220">
        <f t="shared" si="174"/>
        <v>849</v>
      </c>
      <c r="J166" s="220">
        <f t="shared" si="175"/>
        <v>679</v>
      </c>
      <c r="K166" s="220">
        <f t="shared" si="211"/>
        <v>2425</v>
      </c>
      <c r="L166" s="220">
        <f t="shared" si="211"/>
        <v>2218</v>
      </c>
      <c r="M166" s="220">
        <f t="shared" si="211"/>
        <v>2171</v>
      </c>
      <c r="N166" s="220">
        <f t="shared" si="211"/>
        <v>2189</v>
      </c>
      <c r="O166" s="220">
        <f t="shared" si="211"/>
        <v>2359</v>
      </c>
      <c r="P166" s="220">
        <f t="shared" si="201"/>
        <v>2000</v>
      </c>
      <c r="Q166" s="220">
        <f t="shared" si="201"/>
        <v>2000</v>
      </c>
      <c r="R166" s="220">
        <f t="shared" si="201"/>
        <v>2000</v>
      </c>
      <c r="S166" s="220">
        <f t="shared" si="201"/>
        <v>2000</v>
      </c>
      <c r="T166" s="220">
        <f t="shared" si="201"/>
        <v>2000</v>
      </c>
      <c r="U166" s="220">
        <f t="shared" si="202"/>
        <v>425</v>
      </c>
      <c r="V166" s="220">
        <f t="shared" si="202"/>
        <v>218</v>
      </c>
      <c r="W166" s="220">
        <f t="shared" si="202"/>
        <v>171</v>
      </c>
      <c r="X166" s="220">
        <f t="shared" si="202"/>
        <v>189</v>
      </c>
      <c r="Y166" s="220">
        <f t="shared" si="202"/>
        <v>359</v>
      </c>
      <c r="Z166" s="220">
        <v>1</v>
      </c>
      <c r="AA166" s="220">
        <v>0</v>
      </c>
      <c r="AB166" s="220">
        <v>1</v>
      </c>
      <c r="AC166" s="220">
        <v>0</v>
      </c>
      <c r="AD166" s="220">
        <v>0</v>
      </c>
      <c r="AE166" s="220">
        <f t="shared" si="203"/>
        <v>-224</v>
      </c>
      <c r="AF166" s="220">
        <f t="shared" si="203"/>
        <v>-411</v>
      </c>
      <c r="AG166" s="220">
        <f t="shared" si="203"/>
        <v>-428</v>
      </c>
      <c r="AH166" s="220">
        <f t="shared" si="203"/>
        <v>-365</v>
      </c>
      <c r="AI166" s="220">
        <f t="shared" si="203"/>
        <v>-200</v>
      </c>
      <c r="AJ166" s="50">
        <f t="shared" si="183"/>
        <v>1.3710000000000078</v>
      </c>
      <c r="AK166" s="257"/>
      <c r="AL166" s="257">
        <f t="shared" si="184"/>
        <v>1.2</v>
      </c>
      <c r="AM166" s="52"/>
      <c r="AN166" s="88"/>
    </row>
    <row r="167" spans="1:40" s="29" customFormat="1" ht="17.25" customHeight="1">
      <c r="A167" s="48">
        <v>157</v>
      </c>
      <c r="B167" s="49">
        <f t="shared" si="176"/>
        <v>45732</v>
      </c>
      <c r="C167" s="220">
        <f t="shared" si="177"/>
        <v>1049</v>
      </c>
      <c r="D167" s="220">
        <f t="shared" ref="D167" si="213">D166+15</f>
        <v>2004</v>
      </c>
      <c r="E167" s="220">
        <f t="shared" si="179"/>
        <v>3053</v>
      </c>
      <c r="F167" s="220">
        <f t="shared" si="171"/>
        <v>628</v>
      </c>
      <c r="G167" s="220">
        <f t="shared" si="172"/>
        <v>839</v>
      </c>
      <c r="H167" s="220">
        <f t="shared" si="173"/>
        <v>884</v>
      </c>
      <c r="I167" s="220">
        <f t="shared" si="174"/>
        <v>864</v>
      </c>
      <c r="J167" s="220">
        <f t="shared" si="175"/>
        <v>694</v>
      </c>
      <c r="K167" s="220">
        <f t="shared" si="211"/>
        <v>2425</v>
      </c>
      <c r="L167" s="220">
        <f t="shared" si="211"/>
        <v>2214</v>
      </c>
      <c r="M167" s="220">
        <f t="shared" si="211"/>
        <v>2169</v>
      </c>
      <c r="N167" s="220">
        <f t="shared" si="211"/>
        <v>2189</v>
      </c>
      <c r="O167" s="220">
        <f t="shared" si="211"/>
        <v>2359</v>
      </c>
      <c r="P167" s="220">
        <f t="shared" si="201"/>
        <v>2000</v>
      </c>
      <c r="Q167" s="220">
        <f t="shared" si="201"/>
        <v>2000</v>
      </c>
      <c r="R167" s="220">
        <f t="shared" si="201"/>
        <v>2000</v>
      </c>
      <c r="S167" s="220">
        <f t="shared" si="201"/>
        <v>2000</v>
      </c>
      <c r="T167" s="220">
        <f t="shared" si="201"/>
        <v>2000</v>
      </c>
      <c r="U167" s="220">
        <f t="shared" si="202"/>
        <v>425</v>
      </c>
      <c r="V167" s="220">
        <f t="shared" si="202"/>
        <v>214</v>
      </c>
      <c r="W167" s="220">
        <f t="shared" si="202"/>
        <v>169</v>
      </c>
      <c r="X167" s="220">
        <f t="shared" si="202"/>
        <v>189</v>
      </c>
      <c r="Y167" s="220">
        <f t="shared" si="202"/>
        <v>359</v>
      </c>
      <c r="Z167" s="220">
        <v>0</v>
      </c>
      <c r="AA167" s="220">
        <v>4</v>
      </c>
      <c r="AB167" s="220">
        <v>2</v>
      </c>
      <c r="AC167" s="220">
        <v>0</v>
      </c>
      <c r="AD167" s="220">
        <v>0</v>
      </c>
      <c r="AE167" s="220">
        <f t="shared" si="203"/>
        <v>-224</v>
      </c>
      <c r="AF167" s="220">
        <f t="shared" si="203"/>
        <v>-415</v>
      </c>
      <c r="AG167" s="220">
        <f t="shared" si="203"/>
        <v>-430</v>
      </c>
      <c r="AH167" s="220">
        <f t="shared" si="203"/>
        <v>-365</v>
      </c>
      <c r="AI167" s="220">
        <f t="shared" si="203"/>
        <v>-200</v>
      </c>
      <c r="AJ167" s="50">
        <f t="shared" si="183"/>
        <v>1.3690000000000078</v>
      </c>
      <c r="AK167" s="257"/>
      <c r="AL167" s="257">
        <f t="shared" si="184"/>
        <v>1.2</v>
      </c>
      <c r="AM167" s="52"/>
      <c r="AN167" s="88"/>
    </row>
    <row r="168" spans="1:40" s="29" customFormat="1" ht="17.25" customHeight="1">
      <c r="A168" s="48">
        <v>158</v>
      </c>
      <c r="B168" s="49">
        <f t="shared" si="176"/>
        <v>45733</v>
      </c>
      <c r="C168" s="220">
        <f t="shared" si="177"/>
        <v>1049</v>
      </c>
      <c r="D168" s="220">
        <f t="shared" ref="D168" si="214">D167+26</f>
        <v>2030</v>
      </c>
      <c r="E168" s="220">
        <f t="shared" si="179"/>
        <v>3079</v>
      </c>
      <c r="F168" s="220">
        <f t="shared" si="171"/>
        <v>655</v>
      </c>
      <c r="G168" s="220">
        <f t="shared" si="172"/>
        <v>865</v>
      </c>
      <c r="H168" s="220">
        <f t="shared" si="173"/>
        <v>910</v>
      </c>
      <c r="I168" s="220">
        <f t="shared" si="174"/>
        <v>890</v>
      </c>
      <c r="J168" s="220">
        <f t="shared" si="175"/>
        <v>720</v>
      </c>
      <c r="K168" s="220">
        <f t="shared" si="211"/>
        <v>2424</v>
      </c>
      <c r="L168" s="220">
        <f t="shared" si="211"/>
        <v>2214</v>
      </c>
      <c r="M168" s="220">
        <f t="shared" si="211"/>
        <v>2169</v>
      </c>
      <c r="N168" s="220">
        <f t="shared" si="211"/>
        <v>2189</v>
      </c>
      <c r="O168" s="220">
        <f t="shared" si="211"/>
        <v>2359</v>
      </c>
      <c r="P168" s="220">
        <f t="shared" si="201"/>
        <v>2000</v>
      </c>
      <c r="Q168" s="220">
        <f t="shared" si="201"/>
        <v>2000</v>
      </c>
      <c r="R168" s="220">
        <f t="shared" si="201"/>
        <v>2000</v>
      </c>
      <c r="S168" s="220">
        <f t="shared" si="201"/>
        <v>2000</v>
      </c>
      <c r="T168" s="220">
        <f t="shared" si="201"/>
        <v>2000</v>
      </c>
      <c r="U168" s="220">
        <f t="shared" si="202"/>
        <v>424</v>
      </c>
      <c r="V168" s="220">
        <f t="shared" si="202"/>
        <v>214</v>
      </c>
      <c r="W168" s="220">
        <f t="shared" si="202"/>
        <v>169</v>
      </c>
      <c r="X168" s="220">
        <f t="shared" si="202"/>
        <v>189</v>
      </c>
      <c r="Y168" s="220">
        <f t="shared" si="202"/>
        <v>359</v>
      </c>
      <c r="Z168" s="220">
        <v>1</v>
      </c>
      <c r="AA168" s="220">
        <v>0</v>
      </c>
      <c r="AB168" s="220">
        <v>0</v>
      </c>
      <c r="AC168" s="220">
        <v>0</v>
      </c>
      <c r="AD168" s="220">
        <v>0</v>
      </c>
      <c r="AE168" s="220">
        <f t="shared" si="203"/>
        <v>-225</v>
      </c>
      <c r="AF168" s="220">
        <f t="shared" si="203"/>
        <v>-415</v>
      </c>
      <c r="AG168" s="220">
        <f t="shared" si="203"/>
        <v>-430</v>
      </c>
      <c r="AH168" s="220">
        <f t="shared" si="203"/>
        <v>-365</v>
      </c>
      <c r="AI168" s="220">
        <f t="shared" si="203"/>
        <v>-200</v>
      </c>
      <c r="AJ168" s="50">
        <f t="shared" si="183"/>
        <v>1.3690000000000078</v>
      </c>
      <c r="AK168" s="257"/>
      <c r="AL168" s="257">
        <f t="shared" si="184"/>
        <v>1.2</v>
      </c>
      <c r="AM168" s="52"/>
      <c r="AN168" s="88"/>
    </row>
    <row r="169" spans="1:40" s="29" customFormat="1" ht="17.25" customHeight="1">
      <c r="A169" s="48">
        <v>159</v>
      </c>
      <c r="B169" s="49">
        <f t="shared" si="176"/>
        <v>45734</v>
      </c>
      <c r="C169" s="220">
        <f t="shared" si="177"/>
        <v>1049</v>
      </c>
      <c r="D169" s="220">
        <f t="shared" ref="D169" si="215">D168+32</f>
        <v>2062</v>
      </c>
      <c r="E169" s="220">
        <f t="shared" si="179"/>
        <v>3111</v>
      </c>
      <c r="F169" s="220">
        <f t="shared" si="171"/>
        <v>687</v>
      </c>
      <c r="G169" s="220">
        <f t="shared" si="172"/>
        <v>897</v>
      </c>
      <c r="H169" s="220">
        <f t="shared" si="173"/>
        <v>943</v>
      </c>
      <c r="I169" s="220">
        <f t="shared" si="174"/>
        <v>922</v>
      </c>
      <c r="J169" s="220">
        <f t="shared" si="175"/>
        <v>754</v>
      </c>
      <c r="K169" s="220">
        <f t="shared" si="211"/>
        <v>2424</v>
      </c>
      <c r="L169" s="220">
        <f t="shared" si="211"/>
        <v>2214</v>
      </c>
      <c r="M169" s="220">
        <f t="shared" si="211"/>
        <v>2168</v>
      </c>
      <c r="N169" s="220">
        <f t="shared" si="211"/>
        <v>2189</v>
      </c>
      <c r="O169" s="220">
        <f t="shared" si="211"/>
        <v>2357</v>
      </c>
      <c r="P169" s="220">
        <f t="shared" si="201"/>
        <v>2000</v>
      </c>
      <c r="Q169" s="220">
        <f t="shared" si="201"/>
        <v>2000</v>
      </c>
      <c r="R169" s="220">
        <f t="shared" si="201"/>
        <v>2000</v>
      </c>
      <c r="S169" s="220">
        <f t="shared" si="201"/>
        <v>2000</v>
      </c>
      <c r="T169" s="220">
        <f t="shared" si="201"/>
        <v>2000</v>
      </c>
      <c r="U169" s="220">
        <f t="shared" si="202"/>
        <v>424</v>
      </c>
      <c r="V169" s="220">
        <f t="shared" si="202"/>
        <v>214</v>
      </c>
      <c r="W169" s="220">
        <f t="shared" si="202"/>
        <v>168</v>
      </c>
      <c r="X169" s="220">
        <f t="shared" si="202"/>
        <v>189</v>
      </c>
      <c r="Y169" s="220">
        <f t="shared" si="202"/>
        <v>357</v>
      </c>
      <c r="Z169" s="220">
        <v>0</v>
      </c>
      <c r="AA169" s="220">
        <v>0</v>
      </c>
      <c r="AB169" s="220">
        <v>1</v>
      </c>
      <c r="AC169" s="220">
        <v>0</v>
      </c>
      <c r="AD169" s="220">
        <v>2</v>
      </c>
      <c r="AE169" s="220">
        <f t="shared" si="203"/>
        <v>-225</v>
      </c>
      <c r="AF169" s="220">
        <f t="shared" si="203"/>
        <v>-415</v>
      </c>
      <c r="AG169" s="220">
        <f t="shared" si="203"/>
        <v>-431</v>
      </c>
      <c r="AH169" s="220">
        <f t="shared" si="203"/>
        <v>-365</v>
      </c>
      <c r="AI169" s="220">
        <f t="shared" si="203"/>
        <v>-202</v>
      </c>
      <c r="AJ169" s="50">
        <f t="shared" si="183"/>
        <v>1.3680000000000079</v>
      </c>
      <c r="AK169" s="257"/>
      <c r="AL169" s="257">
        <f t="shared" si="184"/>
        <v>1.2</v>
      </c>
      <c r="AM169" s="52"/>
      <c r="AN169" s="88"/>
    </row>
    <row r="170" spans="1:40" s="29" customFormat="1" ht="17.25" customHeight="1">
      <c r="A170" s="48">
        <v>160</v>
      </c>
      <c r="B170" s="49">
        <f t="shared" si="176"/>
        <v>45735</v>
      </c>
      <c r="C170" s="220">
        <f t="shared" si="177"/>
        <v>1049</v>
      </c>
      <c r="D170" s="220">
        <f t="shared" ref="D170" si="216">D169-18</f>
        <v>2044</v>
      </c>
      <c r="E170" s="220">
        <f t="shared" si="179"/>
        <v>3093</v>
      </c>
      <c r="F170" s="220">
        <f t="shared" si="171"/>
        <v>670</v>
      </c>
      <c r="G170" s="220">
        <f t="shared" si="172"/>
        <v>880</v>
      </c>
      <c r="H170" s="220">
        <f t="shared" si="173"/>
        <v>925</v>
      </c>
      <c r="I170" s="220">
        <f t="shared" si="174"/>
        <v>904</v>
      </c>
      <c r="J170" s="220">
        <f t="shared" si="175"/>
        <v>736</v>
      </c>
      <c r="K170" s="220">
        <f t="shared" si="211"/>
        <v>2423</v>
      </c>
      <c r="L170" s="220">
        <f t="shared" si="211"/>
        <v>2213</v>
      </c>
      <c r="M170" s="220">
        <f t="shared" si="211"/>
        <v>2168</v>
      </c>
      <c r="N170" s="220">
        <f t="shared" si="211"/>
        <v>2189</v>
      </c>
      <c r="O170" s="220">
        <f t="shared" si="211"/>
        <v>2357</v>
      </c>
      <c r="P170" s="220">
        <f t="shared" si="201"/>
        <v>2000</v>
      </c>
      <c r="Q170" s="220">
        <f t="shared" si="201"/>
        <v>2000</v>
      </c>
      <c r="R170" s="220">
        <f t="shared" si="201"/>
        <v>2000</v>
      </c>
      <c r="S170" s="220">
        <f t="shared" si="201"/>
        <v>2000</v>
      </c>
      <c r="T170" s="220">
        <f t="shared" si="201"/>
        <v>2000</v>
      </c>
      <c r="U170" s="220">
        <f t="shared" si="202"/>
        <v>423</v>
      </c>
      <c r="V170" s="220">
        <f t="shared" si="202"/>
        <v>213</v>
      </c>
      <c r="W170" s="220">
        <f t="shared" si="202"/>
        <v>168</v>
      </c>
      <c r="X170" s="220">
        <f t="shared" si="202"/>
        <v>189</v>
      </c>
      <c r="Y170" s="220">
        <f t="shared" si="202"/>
        <v>357</v>
      </c>
      <c r="Z170" s="220">
        <v>1</v>
      </c>
      <c r="AA170" s="220">
        <v>1</v>
      </c>
      <c r="AB170" s="220">
        <v>0</v>
      </c>
      <c r="AC170" s="220">
        <v>0</v>
      </c>
      <c r="AD170" s="220">
        <v>0</v>
      </c>
      <c r="AE170" s="220">
        <f t="shared" si="203"/>
        <v>-226</v>
      </c>
      <c r="AF170" s="220">
        <f t="shared" si="203"/>
        <v>-416</v>
      </c>
      <c r="AG170" s="220">
        <f t="shared" si="203"/>
        <v>-431</v>
      </c>
      <c r="AH170" s="220">
        <f t="shared" si="203"/>
        <v>-365</v>
      </c>
      <c r="AI170" s="220">
        <f t="shared" si="203"/>
        <v>-202</v>
      </c>
      <c r="AJ170" s="50">
        <f t="shared" si="183"/>
        <v>1.3680000000000079</v>
      </c>
      <c r="AK170" s="257"/>
      <c r="AL170" s="257">
        <f t="shared" si="184"/>
        <v>1.2</v>
      </c>
      <c r="AM170" s="52"/>
      <c r="AN170" s="88"/>
    </row>
    <row r="171" spans="1:40" s="29" customFormat="1" ht="17.25" customHeight="1">
      <c r="A171" s="48">
        <v>161</v>
      </c>
      <c r="B171" s="49">
        <f t="shared" si="176"/>
        <v>45736</v>
      </c>
      <c r="C171" s="220">
        <f t="shared" si="177"/>
        <v>1049</v>
      </c>
      <c r="D171" s="220">
        <f t="shared" ref="D171" si="217">D170-26</f>
        <v>2018</v>
      </c>
      <c r="E171" s="220">
        <f t="shared" si="179"/>
        <v>3067</v>
      </c>
      <c r="F171" s="220">
        <f t="shared" si="171"/>
        <v>644</v>
      </c>
      <c r="G171" s="220">
        <f t="shared" si="172"/>
        <v>855</v>
      </c>
      <c r="H171" s="220">
        <f t="shared" si="173"/>
        <v>900</v>
      </c>
      <c r="I171" s="220">
        <f t="shared" si="174"/>
        <v>878</v>
      </c>
      <c r="J171" s="220">
        <f t="shared" si="175"/>
        <v>710</v>
      </c>
      <c r="K171" s="220">
        <f t="shared" si="211"/>
        <v>2423</v>
      </c>
      <c r="L171" s="220">
        <f t="shared" si="211"/>
        <v>2212</v>
      </c>
      <c r="M171" s="220">
        <f t="shared" si="211"/>
        <v>2167</v>
      </c>
      <c r="N171" s="220">
        <f t="shared" si="211"/>
        <v>2189</v>
      </c>
      <c r="O171" s="220">
        <f t="shared" si="211"/>
        <v>2357</v>
      </c>
      <c r="P171" s="220">
        <f t="shared" si="201"/>
        <v>2000</v>
      </c>
      <c r="Q171" s="220">
        <f t="shared" si="201"/>
        <v>2000</v>
      </c>
      <c r="R171" s="220">
        <f t="shared" si="201"/>
        <v>2000</v>
      </c>
      <c r="S171" s="220">
        <f t="shared" si="201"/>
        <v>2000</v>
      </c>
      <c r="T171" s="220">
        <f t="shared" si="201"/>
        <v>2000</v>
      </c>
      <c r="U171" s="220">
        <f t="shared" si="202"/>
        <v>423</v>
      </c>
      <c r="V171" s="220">
        <f t="shared" si="202"/>
        <v>212</v>
      </c>
      <c r="W171" s="220">
        <f t="shared" si="202"/>
        <v>167</v>
      </c>
      <c r="X171" s="220">
        <f t="shared" si="202"/>
        <v>189</v>
      </c>
      <c r="Y171" s="220">
        <f t="shared" si="202"/>
        <v>357</v>
      </c>
      <c r="Z171" s="220">
        <v>0</v>
      </c>
      <c r="AA171" s="220">
        <v>1</v>
      </c>
      <c r="AB171" s="220">
        <v>1</v>
      </c>
      <c r="AC171" s="220">
        <v>0</v>
      </c>
      <c r="AD171" s="220">
        <v>0</v>
      </c>
      <c r="AE171" s="220">
        <f t="shared" si="203"/>
        <v>-226</v>
      </c>
      <c r="AF171" s="220">
        <f t="shared" si="203"/>
        <v>-417</v>
      </c>
      <c r="AG171" s="220">
        <f t="shared" si="203"/>
        <v>-432</v>
      </c>
      <c r="AH171" s="220">
        <f t="shared" si="203"/>
        <v>-365</v>
      </c>
      <c r="AI171" s="220">
        <f t="shared" si="203"/>
        <v>-202</v>
      </c>
      <c r="AJ171" s="50">
        <f t="shared" si="183"/>
        <v>1.367000000000008</v>
      </c>
      <c r="AK171" s="257"/>
      <c r="AL171" s="257">
        <f t="shared" si="184"/>
        <v>1.2</v>
      </c>
      <c r="AM171" s="52"/>
      <c r="AN171" s="88"/>
    </row>
    <row r="172" spans="1:40" s="29" customFormat="1" ht="17.25" customHeight="1">
      <c r="A172" s="48">
        <v>162</v>
      </c>
      <c r="B172" s="49">
        <f t="shared" si="176"/>
        <v>45737</v>
      </c>
      <c r="C172" s="220">
        <f t="shared" si="177"/>
        <v>1049</v>
      </c>
      <c r="D172" s="220">
        <f t="shared" ref="D172" si="218">D171+15</f>
        <v>2033</v>
      </c>
      <c r="E172" s="220">
        <f t="shared" si="179"/>
        <v>3082</v>
      </c>
      <c r="F172" s="220">
        <f t="shared" si="171"/>
        <v>660</v>
      </c>
      <c r="G172" s="220">
        <f t="shared" si="172"/>
        <v>870</v>
      </c>
      <c r="H172" s="220">
        <f t="shared" si="173"/>
        <v>919</v>
      </c>
      <c r="I172" s="220">
        <f t="shared" si="174"/>
        <v>895</v>
      </c>
      <c r="J172" s="220">
        <f t="shared" si="175"/>
        <v>725</v>
      </c>
      <c r="K172" s="220">
        <f t="shared" si="211"/>
        <v>2422</v>
      </c>
      <c r="L172" s="220">
        <f t="shared" si="211"/>
        <v>2212</v>
      </c>
      <c r="M172" s="220">
        <f t="shared" si="211"/>
        <v>2163</v>
      </c>
      <c r="N172" s="220">
        <f t="shared" si="211"/>
        <v>2187</v>
      </c>
      <c r="O172" s="220">
        <f t="shared" si="211"/>
        <v>2357</v>
      </c>
      <c r="P172" s="220">
        <f t="shared" si="201"/>
        <v>2000</v>
      </c>
      <c r="Q172" s="220">
        <f t="shared" si="201"/>
        <v>2000</v>
      </c>
      <c r="R172" s="220">
        <f t="shared" si="201"/>
        <v>2000</v>
      </c>
      <c r="S172" s="220">
        <f t="shared" si="201"/>
        <v>2000</v>
      </c>
      <c r="T172" s="220">
        <f t="shared" si="201"/>
        <v>2000</v>
      </c>
      <c r="U172" s="220">
        <f t="shared" si="202"/>
        <v>422</v>
      </c>
      <c r="V172" s="220">
        <f t="shared" si="202"/>
        <v>212</v>
      </c>
      <c r="W172" s="220">
        <f t="shared" si="202"/>
        <v>163</v>
      </c>
      <c r="X172" s="220">
        <f t="shared" si="202"/>
        <v>187</v>
      </c>
      <c r="Y172" s="220">
        <f t="shared" si="202"/>
        <v>357</v>
      </c>
      <c r="Z172" s="220">
        <v>1</v>
      </c>
      <c r="AA172" s="220">
        <v>0</v>
      </c>
      <c r="AB172" s="220">
        <v>4</v>
      </c>
      <c r="AC172" s="220">
        <v>2</v>
      </c>
      <c r="AD172" s="220">
        <v>0</v>
      </c>
      <c r="AE172" s="220">
        <f t="shared" si="203"/>
        <v>-227</v>
      </c>
      <c r="AF172" s="220">
        <f t="shared" si="203"/>
        <v>-417</v>
      </c>
      <c r="AG172" s="220">
        <f t="shared" si="203"/>
        <v>-436</v>
      </c>
      <c r="AH172" s="220">
        <f t="shared" si="203"/>
        <v>-367</v>
      </c>
      <c r="AI172" s="220">
        <f t="shared" si="203"/>
        <v>-202</v>
      </c>
      <c r="AJ172" s="50">
        <f t="shared" si="183"/>
        <v>1.363000000000008</v>
      </c>
      <c r="AK172" s="257"/>
      <c r="AL172" s="257">
        <f t="shared" si="184"/>
        <v>1.2</v>
      </c>
      <c r="AM172" s="52"/>
      <c r="AN172" s="88"/>
    </row>
    <row r="173" spans="1:40" s="29" customFormat="1" ht="17.25" customHeight="1">
      <c r="A173" s="48">
        <v>163</v>
      </c>
      <c r="B173" s="49">
        <f t="shared" si="176"/>
        <v>45738</v>
      </c>
      <c r="C173" s="220">
        <f t="shared" si="177"/>
        <v>1049</v>
      </c>
      <c r="D173" s="220">
        <f t="shared" ref="D173" si="219">D172+26</f>
        <v>2059</v>
      </c>
      <c r="E173" s="220">
        <f t="shared" si="179"/>
        <v>3108</v>
      </c>
      <c r="F173" s="220">
        <f t="shared" si="171"/>
        <v>687</v>
      </c>
      <c r="G173" s="220">
        <f t="shared" si="172"/>
        <v>897</v>
      </c>
      <c r="H173" s="220">
        <f t="shared" si="173"/>
        <v>946</v>
      </c>
      <c r="I173" s="220">
        <f t="shared" si="174"/>
        <v>921</v>
      </c>
      <c r="J173" s="220">
        <f t="shared" si="175"/>
        <v>751</v>
      </c>
      <c r="K173" s="220">
        <f t="shared" si="211"/>
        <v>2421</v>
      </c>
      <c r="L173" s="220">
        <f t="shared" si="211"/>
        <v>2211</v>
      </c>
      <c r="M173" s="220">
        <f t="shared" si="211"/>
        <v>2162</v>
      </c>
      <c r="N173" s="220">
        <f t="shared" si="211"/>
        <v>2187</v>
      </c>
      <c r="O173" s="220">
        <f t="shared" si="211"/>
        <v>2357</v>
      </c>
      <c r="P173" s="220">
        <f t="shared" ref="P173:T188" si="220">+P172</f>
        <v>2000</v>
      </c>
      <c r="Q173" s="220">
        <f t="shared" si="220"/>
        <v>2000</v>
      </c>
      <c r="R173" s="220">
        <f t="shared" si="220"/>
        <v>2000</v>
      </c>
      <c r="S173" s="220">
        <f t="shared" si="220"/>
        <v>2000</v>
      </c>
      <c r="T173" s="220">
        <f t="shared" si="220"/>
        <v>2000</v>
      </c>
      <c r="U173" s="220">
        <f t="shared" ref="U173:Y188" si="221">U172-Z173</f>
        <v>421</v>
      </c>
      <c r="V173" s="220">
        <f t="shared" si="221"/>
        <v>211</v>
      </c>
      <c r="W173" s="220">
        <f t="shared" si="221"/>
        <v>162</v>
      </c>
      <c r="X173" s="220">
        <f t="shared" si="221"/>
        <v>187</v>
      </c>
      <c r="Y173" s="220">
        <f t="shared" si="221"/>
        <v>357</v>
      </c>
      <c r="Z173" s="220">
        <v>1</v>
      </c>
      <c r="AA173" s="220">
        <v>1</v>
      </c>
      <c r="AB173" s="220">
        <v>1</v>
      </c>
      <c r="AC173" s="220">
        <v>0</v>
      </c>
      <c r="AD173" s="220">
        <v>0</v>
      </c>
      <c r="AE173" s="220">
        <f t="shared" ref="AE173:AI188" si="222">AE172-Z173</f>
        <v>-228</v>
      </c>
      <c r="AF173" s="220">
        <f t="shared" si="222"/>
        <v>-418</v>
      </c>
      <c r="AG173" s="220">
        <f t="shared" si="222"/>
        <v>-437</v>
      </c>
      <c r="AH173" s="220">
        <f t="shared" si="222"/>
        <v>-367</v>
      </c>
      <c r="AI173" s="220">
        <f t="shared" si="222"/>
        <v>-202</v>
      </c>
      <c r="AJ173" s="50">
        <f t="shared" si="183"/>
        <v>1.3620000000000081</v>
      </c>
      <c r="AK173" s="257"/>
      <c r="AL173" s="257">
        <f t="shared" si="184"/>
        <v>1.2</v>
      </c>
      <c r="AM173" s="52"/>
      <c r="AN173" s="88"/>
    </row>
    <row r="174" spans="1:40" s="29" customFormat="1" ht="17.25" customHeight="1">
      <c r="A174" s="48">
        <v>164</v>
      </c>
      <c r="B174" s="49">
        <f t="shared" si="176"/>
        <v>45739</v>
      </c>
      <c r="C174" s="220">
        <f t="shared" si="177"/>
        <v>1049</v>
      </c>
      <c r="D174" s="220">
        <f t="shared" ref="D174" si="223">D173+32</f>
        <v>2091</v>
      </c>
      <c r="E174" s="220">
        <f t="shared" si="179"/>
        <v>3140</v>
      </c>
      <c r="F174" s="220">
        <f t="shared" si="171"/>
        <v>719</v>
      </c>
      <c r="G174" s="220">
        <f t="shared" si="172"/>
        <v>929</v>
      </c>
      <c r="H174" s="220">
        <f t="shared" si="173"/>
        <v>978</v>
      </c>
      <c r="I174" s="220">
        <f t="shared" si="174"/>
        <v>953</v>
      </c>
      <c r="J174" s="220">
        <f t="shared" si="175"/>
        <v>783</v>
      </c>
      <c r="K174" s="220">
        <f t="shared" si="211"/>
        <v>2421</v>
      </c>
      <c r="L174" s="220">
        <f t="shared" si="211"/>
        <v>2211</v>
      </c>
      <c r="M174" s="220">
        <f t="shared" si="211"/>
        <v>2162</v>
      </c>
      <c r="N174" s="220">
        <f t="shared" si="211"/>
        <v>2187</v>
      </c>
      <c r="O174" s="220">
        <f t="shared" si="211"/>
        <v>2357</v>
      </c>
      <c r="P174" s="220">
        <f t="shared" si="220"/>
        <v>2000</v>
      </c>
      <c r="Q174" s="220">
        <f t="shared" si="220"/>
        <v>2000</v>
      </c>
      <c r="R174" s="220">
        <f t="shared" si="220"/>
        <v>2000</v>
      </c>
      <c r="S174" s="220">
        <f t="shared" si="220"/>
        <v>2000</v>
      </c>
      <c r="T174" s="220">
        <f t="shared" si="220"/>
        <v>2000</v>
      </c>
      <c r="U174" s="220">
        <f t="shared" si="221"/>
        <v>421</v>
      </c>
      <c r="V174" s="220">
        <f t="shared" si="221"/>
        <v>211</v>
      </c>
      <c r="W174" s="220">
        <f t="shared" si="221"/>
        <v>162</v>
      </c>
      <c r="X174" s="220">
        <f t="shared" si="221"/>
        <v>187</v>
      </c>
      <c r="Y174" s="220">
        <f t="shared" si="221"/>
        <v>357</v>
      </c>
      <c r="Z174" s="220">
        <v>0</v>
      </c>
      <c r="AA174" s="220">
        <v>0</v>
      </c>
      <c r="AB174" s="220">
        <v>0</v>
      </c>
      <c r="AC174" s="220">
        <v>0</v>
      </c>
      <c r="AD174" s="220">
        <v>0</v>
      </c>
      <c r="AE174" s="220">
        <f t="shared" si="222"/>
        <v>-228</v>
      </c>
      <c r="AF174" s="220">
        <f t="shared" si="222"/>
        <v>-418</v>
      </c>
      <c r="AG174" s="220">
        <f t="shared" si="222"/>
        <v>-437</v>
      </c>
      <c r="AH174" s="220">
        <f t="shared" si="222"/>
        <v>-367</v>
      </c>
      <c r="AI174" s="220">
        <f t="shared" si="222"/>
        <v>-202</v>
      </c>
      <c r="AJ174" s="50">
        <f t="shared" si="183"/>
        <v>1.3620000000000081</v>
      </c>
      <c r="AK174" s="257"/>
      <c r="AL174" s="257">
        <f t="shared" si="184"/>
        <v>1.2</v>
      </c>
      <c r="AM174" s="52"/>
      <c r="AN174" s="88"/>
    </row>
    <row r="175" spans="1:40" s="29" customFormat="1" ht="17.25" customHeight="1">
      <c r="A175" s="48">
        <v>165</v>
      </c>
      <c r="B175" s="49">
        <f t="shared" si="176"/>
        <v>45740</v>
      </c>
      <c r="C175" s="220">
        <f t="shared" si="177"/>
        <v>1049</v>
      </c>
      <c r="D175" s="220">
        <f t="shared" ref="D175" si="224">D174-18</f>
        <v>2073</v>
      </c>
      <c r="E175" s="220">
        <f t="shared" si="179"/>
        <v>3122</v>
      </c>
      <c r="F175" s="220">
        <f t="shared" si="171"/>
        <v>701</v>
      </c>
      <c r="G175" s="220">
        <f t="shared" si="172"/>
        <v>912</v>
      </c>
      <c r="H175" s="220">
        <f t="shared" si="173"/>
        <v>964</v>
      </c>
      <c r="I175" s="220">
        <f t="shared" si="174"/>
        <v>936</v>
      </c>
      <c r="J175" s="220">
        <f t="shared" si="175"/>
        <v>765</v>
      </c>
      <c r="K175" s="220">
        <f t="shared" si="211"/>
        <v>2421</v>
      </c>
      <c r="L175" s="220">
        <f t="shared" si="211"/>
        <v>2210</v>
      </c>
      <c r="M175" s="220">
        <f t="shared" si="211"/>
        <v>2158</v>
      </c>
      <c r="N175" s="220">
        <f t="shared" si="211"/>
        <v>2186</v>
      </c>
      <c r="O175" s="220">
        <f t="shared" si="211"/>
        <v>2357</v>
      </c>
      <c r="P175" s="220">
        <f t="shared" si="220"/>
        <v>2000</v>
      </c>
      <c r="Q175" s="220">
        <f t="shared" si="220"/>
        <v>2000</v>
      </c>
      <c r="R175" s="220">
        <f t="shared" si="220"/>
        <v>2000</v>
      </c>
      <c r="S175" s="220">
        <f t="shared" si="220"/>
        <v>2000</v>
      </c>
      <c r="T175" s="220">
        <f t="shared" si="220"/>
        <v>2000</v>
      </c>
      <c r="U175" s="220">
        <f t="shared" si="221"/>
        <v>421</v>
      </c>
      <c r="V175" s="220">
        <f t="shared" si="221"/>
        <v>210</v>
      </c>
      <c r="W175" s="220">
        <f t="shared" si="221"/>
        <v>158</v>
      </c>
      <c r="X175" s="220">
        <f t="shared" si="221"/>
        <v>186</v>
      </c>
      <c r="Y175" s="220">
        <f t="shared" si="221"/>
        <v>357</v>
      </c>
      <c r="Z175" s="220">
        <v>0</v>
      </c>
      <c r="AA175" s="220">
        <v>1</v>
      </c>
      <c r="AB175" s="220">
        <v>4</v>
      </c>
      <c r="AC175" s="220">
        <v>1</v>
      </c>
      <c r="AD175" s="220">
        <v>0</v>
      </c>
      <c r="AE175" s="220">
        <f t="shared" si="222"/>
        <v>-228</v>
      </c>
      <c r="AF175" s="220">
        <f t="shared" si="222"/>
        <v>-419</v>
      </c>
      <c r="AG175" s="220">
        <f t="shared" si="222"/>
        <v>-441</v>
      </c>
      <c r="AH175" s="220">
        <f t="shared" si="222"/>
        <v>-368</v>
      </c>
      <c r="AI175" s="220">
        <f t="shared" si="222"/>
        <v>-202</v>
      </c>
      <c r="AJ175" s="50">
        <f t="shared" si="183"/>
        <v>1.3580000000000081</v>
      </c>
      <c r="AK175" s="257"/>
      <c r="AL175" s="257">
        <f t="shared" si="184"/>
        <v>1.2</v>
      </c>
      <c r="AM175" s="52"/>
      <c r="AN175" s="88"/>
    </row>
    <row r="176" spans="1:40" s="29" customFormat="1" ht="17.25" customHeight="1">
      <c r="A176" s="48">
        <v>166</v>
      </c>
      <c r="B176" s="49">
        <f t="shared" si="176"/>
        <v>45741</v>
      </c>
      <c r="C176" s="220">
        <f t="shared" si="177"/>
        <v>1049</v>
      </c>
      <c r="D176" s="220">
        <f t="shared" ref="D176:D184" si="225">D175-26</f>
        <v>2047</v>
      </c>
      <c r="E176" s="220">
        <f t="shared" si="179"/>
        <v>3096</v>
      </c>
      <c r="F176" s="220">
        <f t="shared" si="171"/>
        <v>676</v>
      </c>
      <c r="G176" s="220">
        <f t="shared" si="172"/>
        <v>888</v>
      </c>
      <c r="H176" s="220">
        <f t="shared" si="173"/>
        <v>938</v>
      </c>
      <c r="I176" s="220">
        <f t="shared" si="174"/>
        <v>911</v>
      </c>
      <c r="J176" s="220">
        <f t="shared" si="175"/>
        <v>739</v>
      </c>
      <c r="K176" s="220">
        <f t="shared" si="211"/>
        <v>2420</v>
      </c>
      <c r="L176" s="220">
        <f t="shared" si="211"/>
        <v>2208</v>
      </c>
      <c r="M176" s="220">
        <f t="shared" si="211"/>
        <v>2158</v>
      </c>
      <c r="N176" s="220">
        <f t="shared" si="211"/>
        <v>2185</v>
      </c>
      <c r="O176" s="220">
        <f t="shared" si="211"/>
        <v>2357</v>
      </c>
      <c r="P176" s="220">
        <f t="shared" si="220"/>
        <v>2000</v>
      </c>
      <c r="Q176" s="220">
        <f t="shared" si="220"/>
        <v>2000</v>
      </c>
      <c r="R176" s="220">
        <f t="shared" si="220"/>
        <v>2000</v>
      </c>
      <c r="S176" s="220">
        <f t="shared" si="220"/>
        <v>2000</v>
      </c>
      <c r="T176" s="220">
        <f t="shared" si="220"/>
        <v>2000</v>
      </c>
      <c r="U176" s="220">
        <f t="shared" si="221"/>
        <v>420</v>
      </c>
      <c r="V176" s="220">
        <f t="shared" si="221"/>
        <v>208</v>
      </c>
      <c r="W176" s="220">
        <f t="shared" si="221"/>
        <v>158</v>
      </c>
      <c r="X176" s="220">
        <f t="shared" si="221"/>
        <v>185</v>
      </c>
      <c r="Y176" s="220">
        <f t="shared" si="221"/>
        <v>357</v>
      </c>
      <c r="Z176" s="220">
        <v>1</v>
      </c>
      <c r="AA176" s="220">
        <v>2</v>
      </c>
      <c r="AB176" s="220">
        <v>0</v>
      </c>
      <c r="AC176" s="220">
        <v>1</v>
      </c>
      <c r="AD176" s="220">
        <v>0</v>
      </c>
      <c r="AE176" s="220">
        <f t="shared" si="222"/>
        <v>-229</v>
      </c>
      <c r="AF176" s="220">
        <f t="shared" si="222"/>
        <v>-421</v>
      </c>
      <c r="AG176" s="220">
        <f t="shared" si="222"/>
        <v>-441</v>
      </c>
      <c r="AH176" s="220">
        <f t="shared" si="222"/>
        <v>-369</v>
      </c>
      <c r="AI176" s="220">
        <f t="shared" si="222"/>
        <v>-202</v>
      </c>
      <c r="AJ176" s="50">
        <f t="shared" si="183"/>
        <v>1.3580000000000081</v>
      </c>
      <c r="AK176" s="257"/>
      <c r="AL176" s="257">
        <f t="shared" si="184"/>
        <v>1.2</v>
      </c>
      <c r="AM176" s="52"/>
      <c r="AN176" s="88"/>
    </row>
    <row r="177" spans="1:41" s="29" customFormat="1" ht="17.25" customHeight="1">
      <c r="A177" s="48">
        <v>167</v>
      </c>
      <c r="B177" s="49">
        <f t="shared" si="176"/>
        <v>45742</v>
      </c>
      <c r="C177" s="220">
        <f t="shared" si="177"/>
        <v>1049</v>
      </c>
      <c r="D177" s="220">
        <f t="shared" ref="D177:D185" si="226">D176+15</f>
        <v>2062</v>
      </c>
      <c r="E177" s="220">
        <f t="shared" si="179"/>
        <v>3111</v>
      </c>
      <c r="F177" s="220">
        <f t="shared" si="171"/>
        <v>692</v>
      </c>
      <c r="G177" s="220">
        <f t="shared" si="172"/>
        <v>907</v>
      </c>
      <c r="H177" s="220">
        <f t="shared" si="173"/>
        <v>956</v>
      </c>
      <c r="I177" s="220">
        <f t="shared" si="174"/>
        <v>930</v>
      </c>
      <c r="J177" s="220">
        <f t="shared" si="175"/>
        <v>754</v>
      </c>
      <c r="K177" s="220">
        <f t="shared" si="211"/>
        <v>2419</v>
      </c>
      <c r="L177" s="220">
        <f t="shared" si="211"/>
        <v>2204</v>
      </c>
      <c r="M177" s="220">
        <f t="shared" si="211"/>
        <v>2155</v>
      </c>
      <c r="N177" s="220">
        <f t="shared" si="211"/>
        <v>2181</v>
      </c>
      <c r="O177" s="220">
        <f t="shared" si="211"/>
        <v>2357</v>
      </c>
      <c r="P177" s="220">
        <f t="shared" si="220"/>
        <v>2000</v>
      </c>
      <c r="Q177" s="220">
        <f t="shared" si="220"/>
        <v>2000</v>
      </c>
      <c r="R177" s="220">
        <f t="shared" si="220"/>
        <v>2000</v>
      </c>
      <c r="S177" s="220">
        <f t="shared" si="220"/>
        <v>2000</v>
      </c>
      <c r="T177" s="220">
        <f t="shared" si="220"/>
        <v>2000</v>
      </c>
      <c r="U177" s="220">
        <f t="shared" si="221"/>
        <v>419</v>
      </c>
      <c r="V177" s="220">
        <f t="shared" si="221"/>
        <v>204</v>
      </c>
      <c r="W177" s="220">
        <f t="shared" si="221"/>
        <v>155</v>
      </c>
      <c r="X177" s="220">
        <f t="shared" si="221"/>
        <v>181</v>
      </c>
      <c r="Y177" s="220">
        <f t="shared" si="221"/>
        <v>357</v>
      </c>
      <c r="Z177" s="220">
        <v>1</v>
      </c>
      <c r="AA177" s="220">
        <v>4</v>
      </c>
      <c r="AB177" s="220">
        <v>3</v>
      </c>
      <c r="AC177" s="220">
        <v>4</v>
      </c>
      <c r="AD177" s="220">
        <v>0</v>
      </c>
      <c r="AE177" s="220">
        <f t="shared" si="222"/>
        <v>-230</v>
      </c>
      <c r="AF177" s="220">
        <f t="shared" si="222"/>
        <v>-425</v>
      </c>
      <c r="AG177" s="220">
        <f t="shared" si="222"/>
        <v>-444</v>
      </c>
      <c r="AH177" s="220">
        <f t="shared" si="222"/>
        <v>-373</v>
      </c>
      <c r="AI177" s="220">
        <f t="shared" si="222"/>
        <v>-202</v>
      </c>
      <c r="AJ177" s="50">
        <f t="shared" si="183"/>
        <v>1.3550000000000082</v>
      </c>
      <c r="AK177" s="257"/>
      <c r="AL177" s="257">
        <f t="shared" si="184"/>
        <v>1.2</v>
      </c>
      <c r="AM177" s="52"/>
      <c r="AN177" s="88"/>
    </row>
    <row r="178" spans="1:41" s="29" customFormat="1" ht="17.25" customHeight="1">
      <c r="A178" s="48">
        <v>168</v>
      </c>
      <c r="B178" s="49">
        <f t="shared" si="176"/>
        <v>45743</v>
      </c>
      <c r="C178" s="220">
        <f t="shared" si="177"/>
        <v>1049</v>
      </c>
      <c r="D178" s="220">
        <f t="shared" ref="D178" si="227">D177+26</f>
        <v>2088</v>
      </c>
      <c r="E178" s="220">
        <f t="shared" si="179"/>
        <v>3137</v>
      </c>
      <c r="F178" s="220">
        <f t="shared" si="171"/>
        <v>718</v>
      </c>
      <c r="G178" s="220">
        <f t="shared" si="172"/>
        <v>934</v>
      </c>
      <c r="H178" s="220">
        <f t="shared" si="173"/>
        <v>983</v>
      </c>
      <c r="I178" s="220">
        <f t="shared" si="174"/>
        <v>957</v>
      </c>
      <c r="J178" s="220">
        <f t="shared" si="175"/>
        <v>780</v>
      </c>
      <c r="K178" s="220">
        <f t="shared" si="211"/>
        <v>2419</v>
      </c>
      <c r="L178" s="220">
        <f t="shared" si="211"/>
        <v>2203</v>
      </c>
      <c r="M178" s="220">
        <f t="shared" si="211"/>
        <v>2154</v>
      </c>
      <c r="N178" s="220">
        <f t="shared" si="211"/>
        <v>2180</v>
      </c>
      <c r="O178" s="220">
        <f t="shared" si="211"/>
        <v>2357</v>
      </c>
      <c r="P178" s="220">
        <f t="shared" si="220"/>
        <v>2000</v>
      </c>
      <c r="Q178" s="220">
        <f t="shared" si="220"/>
        <v>2000</v>
      </c>
      <c r="R178" s="220">
        <f t="shared" si="220"/>
        <v>2000</v>
      </c>
      <c r="S178" s="220">
        <f t="shared" si="220"/>
        <v>2000</v>
      </c>
      <c r="T178" s="220">
        <f t="shared" si="220"/>
        <v>2000</v>
      </c>
      <c r="U178" s="220">
        <f t="shared" si="221"/>
        <v>419</v>
      </c>
      <c r="V178" s="220">
        <f t="shared" si="221"/>
        <v>203</v>
      </c>
      <c r="W178" s="220">
        <f t="shared" si="221"/>
        <v>154</v>
      </c>
      <c r="X178" s="220">
        <f t="shared" si="221"/>
        <v>180</v>
      </c>
      <c r="Y178" s="220">
        <f t="shared" si="221"/>
        <v>357</v>
      </c>
      <c r="Z178" s="220">
        <v>0</v>
      </c>
      <c r="AA178" s="220">
        <v>1</v>
      </c>
      <c r="AB178" s="220">
        <v>1</v>
      </c>
      <c r="AC178" s="220">
        <v>1</v>
      </c>
      <c r="AD178" s="220">
        <v>0</v>
      </c>
      <c r="AE178" s="220">
        <f t="shared" si="222"/>
        <v>-230</v>
      </c>
      <c r="AF178" s="220">
        <f t="shared" si="222"/>
        <v>-426</v>
      </c>
      <c r="AG178" s="220">
        <f t="shared" si="222"/>
        <v>-445</v>
      </c>
      <c r="AH178" s="220">
        <f t="shared" si="222"/>
        <v>-374</v>
      </c>
      <c r="AI178" s="220">
        <f t="shared" si="222"/>
        <v>-202</v>
      </c>
      <c r="AJ178" s="50">
        <f t="shared" si="183"/>
        <v>1.3540000000000083</v>
      </c>
      <c r="AK178" s="257"/>
      <c r="AL178" s="257">
        <f t="shared" si="184"/>
        <v>1.2</v>
      </c>
      <c r="AM178" s="52"/>
      <c r="AN178" s="88"/>
    </row>
    <row r="179" spans="1:41" s="29" customFormat="1" ht="17.25" customHeight="1">
      <c r="A179" s="48">
        <v>169</v>
      </c>
      <c r="B179" s="49">
        <f t="shared" si="176"/>
        <v>45744</v>
      </c>
      <c r="C179" s="220">
        <f t="shared" si="177"/>
        <v>1049</v>
      </c>
      <c r="D179" s="220">
        <f t="shared" ref="D179" si="228">D178+32</f>
        <v>2120</v>
      </c>
      <c r="E179" s="220">
        <f t="shared" si="179"/>
        <v>3169</v>
      </c>
      <c r="F179" s="220">
        <f t="shared" si="171"/>
        <v>751</v>
      </c>
      <c r="G179" s="220">
        <f t="shared" si="172"/>
        <v>966</v>
      </c>
      <c r="H179" s="220">
        <f t="shared" si="173"/>
        <v>1015</v>
      </c>
      <c r="I179" s="220">
        <f t="shared" si="174"/>
        <v>989</v>
      </c>
      <c r="J179" s="220">
        <f t="shared" si="175"/>
        <v>813</v>
      </c>
      <c r="K179" s="220">
        <f t="shared" si="211"/>
        <v>2418</v>
      </c>
      <c r="L179" s="220">
        <f t="shared" si="211"/>
        <v>2203</v>
      </c>
      <c r="M179" s="220">
        <f t="shared" si="211"/>
        <v>2154</v>
      </c>
      <c r="N179" s="220">
        <f t="shared" si="211"/>
        <v>2180</v>
      </c>
      <c r="O179" s="220">
        <f t="shared" si="211"/>
        <v>2356</v>
      </c>
      <c r="P179" s="220">
        <f t="shared" si="220"/>
        <v>2000</v>
      </c>
      <c r="Q179" s="220">
        <f t="shared" si="220"/>
        <v>2000</v>
      </c>
      <c r="R179" s="220">
        <f t="shared" si="220"/>
        <v>2000</v>
      </c>
      <c r="S179" s="220">
        <f t="shared" si="220"/>
        <v>2000</v>
      </c>
      <c r="T179" s="220">
        <f t="shared" si="220"/>
        <v>2000</v>
      </c>
      <c r="U179" s="220">
        <f t="shared" si="221"/>
        <v>418</v>
      </c>
      <c r="V179" s="220">
        <f t="shared" si="221"/>
        <v>203</v>
      </c>
      <c r="W179" s="220">
        <f t="shared" si="221"/>
        <v>154</v>
      </c>
      <c r="X179" s="220">
        <f t="shared" si="221"/>
        <v>180</v>
      </c>
      <c r="Y179" s="220">
        <f t="shared" si="221"/>
        <v>356</v>
      </c>
      <c r="Z179" s="220">
        <v>1</v>
      </c>
      <c r="AA179" s="220">
        <v>0</v>
      </c>
      <c r="AB179" s="220">
        <v>0</v>
      </c>
      <c r="AC179" s="220">
        <v>0</v>
      </c>
      <c r="AD179" s="220">
        <v>1</v>
      </c>
      <c r="AE179" s="220">
        <f t="shared" si="222"/>
        <v>-231</v>
      </c>
      <c r="AF179" s="220">
        <f t="shared" si="222"/>
        <v>-426</v>
      </c>
      <c r="AG179" s="220">
        <f t="shared" si="222"/>
        <v>-445</v>
      </c>
      <c r="AH179" s="220">
        <f t="shared" si="222"/>
        <v>-374</v>
      </c>
      <c r="AI179" s="220">
        <f t="shared" si="222"/>
        <v>-203</v>
      </c>
      <c r="AJ179" s="50">
        <f t="shared" si="183"/>
        <v>1.3540000000000083</v>
      </c>
      <c r="AK179" s="257"/>
      <c r="AL179" s="257">
        <f t="shared" si="184"/>
        <v>1.2</v>
      </c>
      <c r="AM179" s="52"/>
      <c r="AN179" s="88"/>
    </row>
    <row r="180" spans="1:41" s="29" customFormat="1" ht="17.25" customHeight="1">
      <c r="A180" s="48">
        <v>170</v>
      </c>
      <c r="B180" s="49">
        <f t="shared" si="176"/>
        <v>45745</v>
      </c>
      <c r="C180" s="220">
        <f t="shared" si="177"/>
        <v>1049</v>
      </c>
      <c r="D180" s="220">
        <f t="shared" ref="D180" si="229">D179-18</f>
        <v>2102</v>
      </c>
      <c r="E180" s="220">
        <f t="shared" si="179"/>
        <v>3151</v>
      </c>
      <c r="F180" s="220">
        <f t="shared" si="171"/>
        <v>733</v>
      </c>
      <c r="G180" s="220">
        <f t="shared" si="172"/>
        <v>948</v>
      </c>
      <c r="H180" s="220">
        <f t="shared" si="173"/>
        <v>997</v>
      </c>
      <c r="I180" s="220">
        <f t="shared" si="174"/>
        <v>972</v>
      </c>
      <c r="J180" s="220">
        <f t="shared" si="175"/>
        <v>795</v>
      </c>
      <c r="K180" s="220">
        <f t="shared" si="211"/>
        <v>2418</v>
      </c>
      <c r="L180" s="220">
        <f t="shared" si="211"/>
        <v>2203</v>
      </c>
      <c r="M180" s="220">
        <f t="shared" si="211"/>
        <v>2154</v>
      </c>
      <c r="N180" s="220">
        <f t="shared" si="211"/>
        <v>2179</v>
      </c>
      <c r="O180" s="220">
        <f t="shared" si="211"/>
        <v>2356</v>
      </c>
      <c r="P180" s="220">
        <f t="shared" si="220"/>
        <v>2000</v>
      </c>
      <c r="Q180" s="220">
        <f t="shared" si="220"/>
        <v>2000</v>
      </c>
      <c r="R180" s="220">
        <f t="shared" si="220"/>
        <v>2000</v>
      </c>
      <c r="S180" s="220">
        <f t="shared" si="220"/>
        <v>2000</v>
      </c>
      <c r="T180" s="220">
        <f t="shared" si="220"/>
        <v>2000</v>
      </c>
      <c r="U180" s="220">
        <f t="shared" si="221"/>
        <v>418</v>
      </c>
      <c r="V180" s="220">
        <f t="shared" si="221"/>
        <v>203</v>
      </c>
      <c r="W180" s="220">
        <f t="shared" si="221"/>
        <v>154</v>
      </c>
      <c r="X180" s="220">
        <f t="shared" si="221"/>
        <v>179</v>
      </c>
      <c r="Y180" s="220">
        <f t="shared" si="221"/>
        <v>356</v>
      </c>
      <c r="Z180" s="220">
        <v>0</v>
      </c>
      <c r="AA180" s="220">
        <v>0</v>
      </c>
      <c r="AB180" s="220">
        <v>0</v>
      </c>
      <c r="AC180" s="220">
        <v>1</v>
      </c>
      <c r="AD180" s="220">
        <v>0</v>
      </c>
      <c r="AE180" s="220">
        <f t="shared" si="222"/>
        <v>-231</v>
      </c>
      <c r="AF180" s="220">
        <f t="shared" si="222"/>
        <v>-426</v>
      </c>
      <c r="AG180" s="220">
        <f t="shared" si="222"/>
        <v>-445</v>
      </c>
      <c r="AH180" s="220">
        <f t="shared" si="222"/>
        <v>-375</v>
      </c>
      <c r="AI180" s="220">
        <f t="shared" si="222"/>
        <v>-203</v>
      </c>
      <c r="AJ180" s="50">
        <f t="shared" si="183"/>
        <v>1.3540000000000083</v>
      </c>
      <c r="AK180" s="257"/>
      <c r="AL180" s="257">
        <f t="shared" si="184"/>
        <v>1.2</v>
      </c>
      <c r="AM180" s="52"/>
      <c r="AN180" s="88"/>
    </row>
    <row r="181" spans="1:41" s="29" customFormat="1" ht="17.25" customHeight="1">
      <c r="A181" s="48">
        <v>171</v>
      </c>
      <c r="B181" s="49">
        <f t="shared" si="176"/>
        <v>45746</v>
      </c>
      <c r="C181" s="220">
        <f t="shared" si="177"/>
        <v>1049</v>
      </c>
      <c r="D181" s="220">
        <f t="shared" ref="D181" si="230">D180-26</f>
        <v>2076</v>
      </c>
      <c r="E181" s="220">
        <f t="shared" si="179"/>
        <v>3125</v>
      </c>
      <c r="F181" s="220">
        <f t="shared" si="171"/>
        <v>708</v>
      </c>
      <c r="G181" s="220">
        <f t="shared" si="172"/>
        <v>925</v>
      </c>
      <c r="H181" s="220">
        <f t="shared" si="173"/>
        <v>973</v>
      </c>
      <c r="I181" s="220">
        <f t="shared" si="174"/>
        <v>948</v>
      </c>
      <c r="J181" s="220">
        <f t="shared" si="175"/>
        <v>769</v>
      </c>
      <c r="K181" s="220">
        <f t="shared" si="211"/>
        <v>2417</v>
      </c>
      <c r="L181" s="220">
        <f t="shared" si="211"/>
        <v>2200</v>
      </c>
      <c r="M181" s="220">
        <f t="shared" si="211"/>
        <v>2152</v>
      </c>
      <c r="N181" s="220">
        <f t="shared" si="211"/>
        <v>2177</v>
      </c>
      <c r="O181" s="220">
        <f t="shared" si="211"/>
        <v>2356</v>
      </c>
      <c r="P181" s="220">
        <f t="shared" si="220"/>
        <v>2000</v>
      </c>
      <c r="Q181" s="220">
        <f t="shared" si="220"/>
        <v>2000</v>
      </c>
      <c r="R181" s="220">
        <f t="shared" si="220"/>
        <v>2000</v>
      </c>
      <c r="S181" s="220">
        <f t="shared" si="220"/>
        <v>2000</v>
      </c>
      <c r="T181" s="220">
        <f t="shared" si="220"/>
        <v>2000</v>
      </c>
      <c r="U181" s="220">
        <f t="shared" si="221"/>
        <v>417</v>
      </c>
      <c r="V181" s="220">
        <f t="shared" si="221"/>
        <v>200</v>
      </c>
      <c r="W181" s="220">
        <f t="shared" si="221"/>
        <v>152</v>
      </c>
      <c r="X181" s="220">
        <f t="shared" si="221"/>
        <v>177</v>
      </c>
      <c r="Y181" s="220">
        <f t="shared" si="221"/>
        <v>356</v>
      </c>
      <c r="Z181" s="220">
        <v>1</v>
      </c>
      <c r="AA181" s="220">
        <v>3</v>
      </c>
      <c r="AB181" s="220">
        <v>2</v>
      </c>
      <c r="AC181" s="220">
        <v>2</v>
      </c>
      <c r="AD181" s="220">
        <v>0</v>
      </c>
      <c r="AE181" s="220">
        <f t="shared" si="222"/>
        <v>-232</v>
      </c>
      <c r="AF181" s="220">
        <f t="shared" si="222"/>
        <v>-429</v>
      </c>
      <c r="AG181" s="220">
        <f t="shared" si="222"/>
        <v>-447</v>
      </c>
      <c r="AH181" s="220">
        <f t="shared" si="222"/>
        <v>-377</v>
      </c>
      <c r="AI181" s="220">
        <f t="shared" si="222"/>
        <v>-203</v>
      </c>
      <c r="AJ181" s="50">
        <f t="shared" si="183"/>
        <v>1.3520000000000083</v>
      </c>
      <c r="AK181" s="257"/>
      <c r="AL181" s="257">
        <f t="shared" si="184"/>
        <v>1.2</v>
      </c>
      <c r="AM181" s="52"/>
      <c r="AN181" s="88"/>
    </row>
    <row r="182" spans="1:41" s="29" customFormat="1" ht="17.25" customHeight="1">
      <c r="A182" s="48">
        <v>172</v>
      </c>
      <c r="B182" s="49">
        <f t="shared" si="176"/>
        <v>45747</v>
      </c>
      <c r="C182" s="220">
        <f t="shared" si="177"/>
        <v>1049</v>
      </c>
      <c r="D182" s="220">
        <f t="shared" ref="D182" si="231">D181+15</f>
        <v>2091</v>
      </c>
      <c r="E182" s="220">
        <f t="shared" si="179"/>
        <v>3140</v>
      </c>
      <c r="F182" s="220">
        <f t="shared" si="171"/>
        <v>724</v>
      </c>
      <c r="G182" s="220">
        <f t="shared" si="172"/>
        <v>940</v>
      </c>
      <c r="H182" s="220">
        <f t="shared" si="173"/>
        <v>990</v>
      </c>
      <c r="I182" s="220">
        <f t="shared" si="174"/>
        <v>965</v>
      </c>
      <c r="J182" s="220">
        <f t="shared" si="175"/>
        <v>785</v>
      </c>
      <c r="K182" s="220">
        <f t="shared" si="211"/>
        <v>2416</v>
      </c>
      <c r="L182" s="220">
        <f t="shared" si="211"/>
        <v>2200</v>
      </c>
      <c r="M182" s="220">
        <f t="shared" si="211"/>
        <v>2150</v>
      </c>
      <c r="N182" s="220">
        <f t="shared" si="211"/>
        <v>2175</v>
      </c>
      <c r="O182" s="220">
        <f t="shared" si="211"/>
        <v>2355</v>
      </c>
      <c r="P182" s="220">
        <f t="shared" si="220"/>
        <v>2000</v>
      </c>
      <c r="Q182" s="220">
        <f t="shared" si="220"/>
        <v>2000</v>
      </c>
      <c r="R182" s="220">
        <f t="shared" si="220"/>
        <v>2000</v>
      </c>
      <c r="S182" s="220">
        <f t="shared" si="220"/>
        <v>2000</v>
      </c>
      <c r="T182" s="220">
        <f t="shared" si="220"/>
        <v>2000</v>
      </c>
      <c r="U182" s="220">
        <f t="shared" si="221"/>
        <v>416</v>
      </c>
      <c r="V182" s="220">
        <f t="shared" si="221"/>
        <v>200</v>
      </c>
      <c r="W182" s="220">
        <f t="shared" si="221"/>
        <v>150</v>
      </c>
      <c r="X182" s="220">
        <f t="shared" si="221"/>
        <v>175</v>
      </c>
      <c r="Y182" s="220">
        <f t="shared" si="221"/>
        <v>355</v>
      </c>
      <c r="Z182" s="220">
        <v>1</v>
      </c>
      <c r="AA182" s="220">
        <v>0</v>
      </c>
      <c r="AB182" s="220">
        <v>2</v>
      </c>
      <c r="AC182" s="220">
        <v>2</v>
      </c>
      <c r="AD182" s="220">
        <v>1</v>
      </c>
      <c r="AE182" s="220">
        <f t="shared" si="222"/>
        <v>-233</v>
      </c>
      <c r="AF182" s="220">
        <f t="shared" si="222"/>
        <v>-429</v>
      </c>
      <c r="AG182" s="220">
        <f t="shared" si="222"/>
        <v>-449</v>
      </c>
      <c r="AH182" s="220">
        <f t="shared" si="222"/>
        <v>-379</v>
      </c>
      <c r="AI182" s="220">
        <f t="shared" si="222"/>
        <v>-204</v>
      </c>
      <c r="AJ182" s="50">
        <f t="shared" si="183"/>
        <v>1.3500000000000083</v>
      </c>
      <c r="AK182" s="257"/>
      <c r="AL182" s="257">
        <f t="shared" si="184"/>
        <v>1.2</v>
      </c>
      <c r="AM182" s="52"/>
      <c r="AN182" s="88"/>
    </row>
    <row r="183" spans="1:41" s="29" customFormat="1" ht="17.25" customHeight="1">
      <c r="A183" s="48">
        <v>173</v>
      </c>
      <c r="B183" s="49">
        <f t="shared" si="176"/>
        <v>45748</v>
      </c>
      <c r="C183" s="220">
        <f t="shared" si="177"/>
        <v>1049</v>
      </c>
      <c r="D183" s="220">
        <f t="shared" ref="D183" si="232">D182+26</f>
        <v>2117</v>
      </c>
      <c r="E183" s="220">
        <f t="shared" si="179"/>
        <v>3166</v>
      </c>
      <c r="F183" s="220">
        <f t="shared" si="171"/>
        <v>750</v>
      </c>
      <c r="G183" s="220">
        <f t="shared" si="172"/>
        <v>966</v>
      </c>
      <c r="H183" s="220">
        <f t="shared" si="173"/>
        <v>1016</v>
      </c>
      <c r="I183" s="220">
        <f t="shared" si="174"/>
        <v>992</v>
      </c>
      <c r="J183" s="220">
        <f t="shared" si="175"/>
        <v>811</v>
      </c>
      <c r="K183" s="220">
        <f t="shared" si="211"/>
        <v>2416</v>
      </c>
      <c r="L183" s="220">
        <f t="shared" si="211"/>
        <v>2200</v>
      </c>
      <c r="M183" s="220">
        <f t="shared" si="211"/>
        <v>2150</v>
      </c>
      <c r="N183" s="220">
        <f t="shared" si="211"/>
        <v>2174</v>
      </c>
      <c r="O183" s="220">
        <f t="shared" si="211"/>
        <v>2355</v>
      </c>
      <c r="P183" s="220">
        <f t="shared" si="220"/>
        <v>2000</v>
      </c>
      <c r="Q183" s="220">
        <f t="shared" si="220"/>
        <v>2000</v>
      </c>
      <c r="R183" s="220">
        <f t="shared" si="220"/>
        <v>2000</v>
      </c>
      <c r="S183" s="220">
        <f t="shared" si="220"/>
        <v>2000</v>
      </c>
      <c r="T183" s="220">
        <f t="shared" si="220"/>
        <v>2000</v>
      </c>
      <c r="U183" s="220">
        <f t="shared" si="221"/>
        <v>416</v>
      </c>
      <c r="V183" s="220">
        <f t="shared" si="221"/>
        <v>200</v>
      </c>
      <c r="W183" s="220">
        <f t="shared" si="221"/>
        <v>150</v>
      </c>
      <c r="X183" s="220">
        <f t="shared" si="221"/>
        <v>174</v>
      </c>
      <c r="Y183" s="220">
        <f t="shared" si="221"/>
        <v>355</v>
      </c>
      <c r="Z183" s="220">
        <v>0</v>
      </c>
      <c r="AA183" s="220">
        <v>0</v>
      </c>
      <c r="AB183" s="220">
        <v>0</v>
      </c>
      <c r="AC183" s="220">
        <v>1</v>
      </c>
      <c r="AD183" s="220">
        <v>0</v>
      </c>
      <c r="AE183" s="220">
        <f t="shared" si="222"/>
        <v>-233</v>
      </c>
      <c r="AF183" s="220">
        <f t="shared" si="222"/>
        <v>-429</v>
      </c>
      <c r="AG183" s="220">
        <f t="shared" si="222"/>
        <v>-449</v>
      </c>
      <c r="AH183" s="220">
        <f t="shared" si="222"/>
        <v>-380</v>
      </c>
      <c r="AI183" s="220">
        <f t="shared" si="222"/>
        <v>-204</v>
      </c>
      <c r="AJ183" s="50">
        <f t="shared" si="183"/>
        <v>1.3500000000000083</v>
      </c>
      <c r="AK183" s="257"/>
      <c r="AL183" s="257">
        <f t="shared" si="184"/>
        <v>1.2</v>
      </c>
      <c r="AM183" s="52"/>
      <c r="AN183" s="88"/>
    </row>
    <row r="184" spans="1:41" s="29" customFormat="1" ht="17.25" customHeight="1">
      <c r="A184" s="48">
        <v>174</v>
      </c>
      <c r="B184" s="49">
        <f t="shared" si="176"/>
        <v>45749</v>
      </c>
      <c r="C184" s="220">
        <f t="shared" si="177"/>
        <v>1049</v>
      </c>
      <c r="D184" s="220">
        <f t="shared" si="225"/>
        <v>2091</v>
      </c>
      <c r="E184" s="220">
        <f t="shared" si="179"/>
        <v>3140</v>
      </c>
      <c r="F184" s="220">
        <f t="shared" si="171"/>
        <v>725</v>
      </c>
      <c r="G184" s="220">
        <f t="shared" si="172"/>
        <v>941</v>
      </c>
      <c r="H184" s="220">
        <f t="shared" si="173"/>
        <v>994</v>
      </c>
      <c r="I184" s="220">
        <f t="shared" si="174"/>
        <v>966</v>
      </c>
      <c r="J184" s="220">
        <f t="shared" si="175"/>
        <v>785</v>
      </c>
      <c r="K184" s="220">
        <f t="shared" si="211"/>
        <v>2415</v>
      </c>
      <c r="L184" s="220">
        <f t="shared" si="211"/>
        <v>2199</v>
      </c>
      <c r="M184" s="220">
        <f t="shared" si="211"/>
        <v>2146</v>
      </c>
      <c r="N184" s="220">
        <f t="shared" si="211"/>
        <v>2174</v>
      </c>
      <c r="O184" s="220">
        <f t="shared" si="211"/>
        <v>2355</v>
      </c>
      <c r="P184" s="220">
        <f t="shared" si="220"/>
        <v>2000</v>
      </c>
      <c r="Q184" s="220">
        <f t="shared" si="220"/>
        <v>2000</v>
      </c>
      <c r="R184" s="220">
        <f t="shared" si="220"/>
        <v>2000</v>
      </c>
      <c r="S184" s="220">
        <f t="shared" si="220"/>
        <v>2000</v>
      </c>
      <c r="T184" s="220">
        <f t="shared" si="220"/>
        <v>2000</v>
      </c>
      <c r="U184" s="220">
        <f t="shared" si="221"/>
        <v>415</v>
      </c>
      <c r="V184" s="220">
        <f t="shared" si="221"/>
        <v>199</v>
      </c>
      <c r="W184" s="220">
        <f t="shared" si="221"/>
        <v>146</v>
      </c>
      <c r="X184" s="220">
        <f t="shared" si="221"/>
        <v>174</v>
      </c>
      <c r="Y184" s="220">
        <f t="shared" si="221"/>
        <v>355</v>
      </c>
      <c r="Z184" s="220">
        <v>1</v>
      </c>
      <c r="AA184" s="220">
        <v>1</v>
      </c>
      <c r="AB184" s="220">
        <v>4</v>
      </c>
      <c r="AC184" s="220">
        <v>0</v>
      </c>
      <c r="AD184" s="220">
        <v>0</v>
      </c>
      <c r="AE184" s="220">
        <f t="shared" si="222"/>
        <v>-234</v>
      </c>
      <c r="AF184" s="220">
        <f t="shared" si="222"/>
        <v>-430</v>
      </c>
      <c r="AG184" s="220">
        <f t="shared" si="222"/>
        <v>-453</v>
      </c>
      <c r="AH184" s="220">
        <f t="shared" si="222"/>
        <v>-380</v>
      </c>
      <c r="AI184" s="220">
        <f t="shared" si="222"/>
        <v>-204</v>
      </c>
      <c r="AJ184" s="50">
        <f t="shared" si="183"/>
        <v>1.3460000000000083</v>
      </c>
      <c r="AK184" s="257"/>
      <c r="AL184" s="257">
        <f t="shared" si="184"/>
        <v>1.2</v>
      </c>
      <c r="AM184" s="52"/>
      <c r="AN184" s="88"/>
    </row>
    <row r="185" spans="1:41" s="29" customFormat="1" ht="17.25" customHeight="1">
      <c r="A185" s="48">
        <v>175</v>
      </c>
      <c r="B185" s="49">
        <f t="shared" si="176"/>
        <v>45750</v>
      </c>
      <c r="C185" s="220">
        <f t="shared" si="177"/>
        <v>1049</v>
      </c>
      <c r="D185" s="220">
        <f t="shared" si="226"/>
        <v>2106</v>
      </c>
      <c r="E185" s="220">
        <f t="shared" si="179"/>
        <v>3155</v>
      </c>
      <c r="F185" s="220">
        <f t="shared" si="171"/>
        <v>741</v>
      </c>
      <c r="G185" s="220">
        <f t="shared" si="172"/>
        <v>956</v>
      </c>
      <c r="H185" s="220">
        <f t="shared" si="173"/>
        <v>1009</v>
      </c>
      <c r="I185" s="220">
        <f t="shared" si="174"/>
        <v>981</v>
      </c>
      <c r="J185" s="220">
        <f t="shared" si="175"/>
        <v>800</v>
      </c>
      <c r="K185" s="220">
        <f t="shared" si="211"/>
        <v>2414</v>
      </c>
      <c r="L185" s="220">
        <f t="shared" si="211"/>
        <v>2199</v>
      </c>
      <c r="M185" s="220">
        <f t="shared" si="211"/>
        <v>2146</v>
      </c>
      <c r="N185" s="220">
        <f t="shared" si="211"/>
        <v>2174</v>
      </c>
      <c r="O185" s="220">
        <f t="shared" si="211"/>
        <v>2355</v>
      </c>
      <c r="P185" s="220">
        <f t="shared" si="220"/>
        <v>2000</v>
      </c>
      <c r="Q185" s="220">
        <f t="shared" si="220"/>
        <v>2000</v>
      </c>
      <c r="R185" s="220">
        <f t="shared" si="220"/>
        <v>2000</v>
      </c>
      <c r="S185" s="220">
        <f t="shared" si="220"/>
        <v>2000</v>
      </c>
      <c r="T185" s="220">
        <f t="shared" si="220"/>
        <v>2000</v>
      </c>
      <c r="U185" s="220">
        <f t="shared" si="221"/>
        <v>414</v>
      </c>
      <c r="V185" s="220">
        <f t="shared" si="221"/>
        <v>199</v>
      </c>
      <c r="W185" s="220">
        <f t="shared" si="221"/>
        <v>146</v>
      </c>
      <c r="X185" s="220">
        <f t="shared" si="221"/>
        <v>174</v>
      </c>
      <c r="Y185" s="220">
        <f t="shared" si="221"/>
        <v>355</v>
      </c>
      <c r="Z185" s="220">
        <v>1</v>
      </c>
      <c r="AA185" s="220">
        <v>0</v>
      </c>
      <c r="AB185" s="220">
        <v>0</v>
      </c>
      <c r="AC185" s="220">
        <v>0</v>
      </c>
      <c r="AD185" s="220">
        <v>0</v>
      </c>
      <c r="AE185" s="220">
        <f t="shared" si="222"/>
        <v>-235</v>
      </c>
      <c r="AF185" s="220">
        <f t="shared" si="222"/>
        <v>-430</v>
      </c>
      <c r="AG185" s="220">
        <f t="shared" si="222"/>
        <v>-453</v>
      </c>
      <c r="AH185" s="220">
        <f t="shared" si="222"/>
        <v>-380</v>
      </c>
      <c r="AI185" s="220">
        <f t="shared" si="222"/>
        <v>-204</v>
      </c>
      <c r="AJ185" s="50">
        <f t="shared" si="183"/>
        <v>1.3460000000000083</v>
      </c>
      <c r="AK185" s="257"/>
      <c r="AL185" s="257">
        <f t="shared" si="184"/>
        <v>1.2</v>
      </c>
      <c r="AM185" s="52"/>
      <c r="AN185" s="88"/>
    </row>
    <row r="186" spans="1:41" s="29" customFormat="1" ht="17.25" customHeight="1">
      <c r="A186" s="48">
        <v>176</v>
      </c>
      <c r="B186" s="49">
        <f t="shared" si="176"/>
        <v>45751</v>
      </c>
      <c r="C186" s="220">
        <f t="shared" si="177"/>
        <v>1049</v>
      </c>
      <c r="D186" s="220">
        <f t="shared" ref="D186" si="233">D185+26</f>
        <v>2132</v>
      </c>
      <c r="E186" s="220">
        <f t="shared" si="179"/>
        <v>3181</v>
      </c>
      <c r="F186" s="220">
        <f t="shared" si="171"/>
        <v>767</v>
      </c>
      <c r="G186" s="220">
        <f t="shared" si="172"/>
        <v>982</v>
      </c>
      <c r="H186" s="220">
        <f t="shared" si="173"/>
        <v>1036</v>
      </c>
      <c r="I186" s="220">
        <f t="shared" si="174"/>
        <v>1007</v>
      </c>
      <c r="J186" s="220">
        <f t="shared" si="175"/>
        <v>826</v>
      </c>
      <c r="K186" s="220">
        <f t="shared" si="211"/>
        <v>2414</v>
      </c>
      <c r="L186" s="220">
        <f t="shared" si="211"/>
        <v>2199</v>
      </c>
      <c r="M186" s="220">
        <f t="shared" si="211"/>
        <v>2145</v>
      </c>
      <c r="N186" s="220">
        <f t="shared" si="211"/>
        <v>2174</v>
      </c>
      <c r="O186" s="220">
        <f t="shared" si="211"/>
        <v>2355</v>
      </c>
      <c r="P186" s="220">
        <f t="shared" si="220"/>
        <v>2000</v>
      </c>
      <c r="Q186" s="220">
        <f t="shared" si="220"/>
        <v>2000</v>
      </c>
      <c r="R186" s="220">
        <f t="shared" si="220"/>
        <v>2000</v>
      </c>
      <c r="S186" s="220">
        <f t="shared" si="220"/>
        <v>2000</v>
      </c>
      <c r="T186" s="220">
        <f t="shared" si="220"/>
        <v>2000</v>
      </c>
      <c r="U186" s="220">
        <f t="shared" si="221"/>
        <v>414</v>
      </c>
      <c r="V186" s="220">
        <f t="shared" si="221"/>
        <v>199</v>
      </c>
      <c r="W186" s="220">
        <f t="shared" si="221"/>
        <v>145</v>
      </c>
      <c r="X186" s="220">
        <f t="shared" si="221"/>
        <v>174</v>
      </c>
      <c r="Y186" s="220">
        <f t="shared" si="221"/>
        <v>355</v>
      </c>
      <c r="Z186" s="220">
        <v>0</v>
      </c>
      <c r="AA186" s="220">
        <v>0</v>
      </c>
      <c r="AB186" s="220">
        <v>1</v>
      </c>
      <c r="AC186" s="220">
        <v>0</v>
      </c>
      <c r="AD186" s="220">
        <v>0</v>
      </c>
      <c r="AE186" s="220">
        <f t="shared" si="222"/>
        <v>-235</v>
      </c>
      <c r="AF186" s="220">
        <f t="shared" si="222"/>
        <v>-430</v>
      </c>
      <c r="AG186" s="220">
        <f t="shared" si="222"/>
        <v>-454</v>
      </c>
      <c r="AH186" s="220">
        <f t="shared" si="222"/>
        <v>-380</v>
      </c>
      <c r="AI186" s="220">
        <f t="shared" si="222"/>
        <v>-204</v>
      </c>
      <c r="AJ186" s="50">
        <f t="shared" si="183"/>
        <v>1.3450000000000084</v>
      </c>
      <c r="AK186" s="257"/>
      <c r="AL186" s="257">
        <f t="shared" si="184"/>
        <v>1.2</v>
      </c>
      <c r="AM186" s="52"/>
      <c r="AN186" s="88"/>
    </row>
    <row r="187" spans="1:41" s="29" customFormat="1" ht="17.25" customHeight="1">
      <c r="A187" s="48">
        <v>177</v>
      </c>
      <c r="B187" s="49">
        <f t="shared" si="176"/>
        <v>45752</v>
      </c>
      <c r="C187" s="220">
        <f t="shared" si="177"/>
        <v>1049</v>
      </c>
      <c r="D187" s="220">
        <f t="shared" ref="D187" si="234">D186+32</f>
        <v>2164</v>
      </c>
      <c r="E187" s="220">
        <f t="shared" si="179"/>
        <v>3213</v>
      </c>
      <c r="F187" s="220">
        <f t="shared" si="171"/>
        <v>800</v>
      </c>
      <c r="G187" s="220">
        <f t="shared" si="172"/>
        <v>1017</v>
      </c>
      <c r="H187" s="220">
        <f t="shared" si="173"/>
        <v>1069</v>
      </c>
      <c r="I187" s="220">
        <f t="shared" si="174"/>
        <v>1039</v>
      </c>
      <c r="J187" s="220">
        <f t="shared" si="175"/>
        <v>858</v>
      </c>
      <c r="K187" s="220">
        <f t="shared" si="211"/>
        <v>2413</v>
      </c>
      <c r="L187" s="220">
        <f t="shared" si="211"/>
        <v>2196</v>
      </c>
      <c r="M187" s="220">
        <f t="shared" si="211"/>
        <v>2144</v>
      </c>
      <c r="N187" s="220">
        <f t="shared" si="211"/>
        <v>2174</v>
      </c>
      <c r="O187" s="220">
        <f t="shared" si="211"/>
        <v>2355</v>
      </c>
      <c r="P187" s="220">
        <f t="shared" si="220"/>
        <v>2000</v>
      </c>
      <c r="Q187" s="220">
        <f t="shared" si="220"/>
        <v>2000</v>
      </c>
      <c r="R187" s="220">
        <f t="shared" si="220"/>
        <v>2000</v>
      </c>
      <c r="S187" s="220">
        <f t="shared" si="220"/>
        <v>2000</v>
      </c>
      <c r="T187" s="220">
        <f t="shared" si="220"/>
        <v>2000</v>
      </c>
      <c r="U187" s="220">
        <f t="shared" si="221"/>
        <v>413</v>
      </c>
      <c r="V187" s="220">
        <f t="shared" si="221"/>
        <v>196</v>
      </c>
      <c r="W187" s="220">
        <f t="shared" si="221"/>
        <v>144</v>
      </c>
      <c r="X187" s="220">
        <f t="shared" si="221"/>
        <v>174</v>
      </c>
      <c r="Y187" s="220">
        <f t="shared" si="221"/>
        <v>355</v>
      </c>
      <c r="Z187" s="220">
        <v>1</v>
      </c>
      <c r="AA187" s="220">
        <v>3</v>
      </c>
      <c r="AB187" s="220">
        <v>1</v>
      </c>
      <c r="AC187" s="220">
        <v>0</v>
      </c>
      <c r="AD187" s="220">
        <v>0</v>
      </c>
      <c r="AE187" s="220">
        <f t="shared" si="222"/>
        <v>-236</v>
      </c>
      <c r="AF187" s="220">
        <f t="shared" si="222"/>
        <v>-433</v>
      </c>
      <c r="AG187" s="220">
        <f t="shared" si="222"/>
        <v>-455</v>
      </c>
      <c r="AH187" s="220">
        <f t="shared" si="222"/>
        <v>-380</v>
      </c>
      <c r="AI187" s="220">
        <f t="shared" si="222"/>
        <v>-204</v>
      </c>
      <c r="AJ187" s="50">
        <f t="shared" si="183"/>
        <v>1.3440000000000085</v>
      </c>
      <c r="AK187" s="257"/>
      <c r="AL187" s="257">
        <f t="shared" si="184"/>
        <v>1.2</v>
      </c>
      <c r="AM187" s="52"/>
      <c r="AN187" s="88"/>
    </row>
    <row r="188" spans="1:41" s="29" customFormat="1" ht="17.25" customHeight="1">
      <c r="A188" s="48">
        <v>178</v>
      </c>
      <c r="B188" s="49">
        <f t="shared" si="176"/>
        <v>45753</v>
      </c>
      <c r="C188" s="220">
        <f t="shared" si="177"/>
        <v>1049</v>
      </c>
      <c r="D188" s="220">
        <f t="shared" ref="D188" si="235">D187-18</f>
        <v>2146</v>
      </c>
      <c r="E188" s="220">
        <f t="shared" si="179"/>
        <v>3195</v>
      </c>
      <c r="F188" s="220">
        <f t="shared" si="171"/>
        <v>782</v>
      </c>
      <c r="G188" s="220">
        <f t="shared" si="172"/>
        <v>1001</v>
      </c>
      <c r="H188" s="220">
        <f t="shared" si="173"/>
        <v>1051</v>
      </c>
      <c r="I188" s="220">
        <f t="shared" si="174"/>
        <v>1021</v>
      </c>
      <c r="J188" s="220">
        <f t="shared" si="175"/>
        <v>841</v>
      </c>
      <c r="K188" s="220">
        <f t="shared" si="211"/>
        <v>2413</v>
      </c>
      <c r="L188" s="220">
        <f t="shared" si="211"/>
        <v>2194</v>
      </c>
      <c r="M188" s="220">
        <f t="shared" si="211"/>
        <v>2144</v>
      </c>
      <c r="N188" s="220">
        <f t="shared" si="211"/>
        <v>2174</v>
      </c>
      <c r="O188" s="220">
        <f t="shared" si="211"/>
        <v>2354</v>
      </c>
      <c r="P188" s="220">
        <f t="shared" si="220"/>
        <v>2000</v>
      </c>
      <c r="Q188" s="220">
        <f t="shared" si="220"/>
        <v>2000</v>
      </c>
      <c r="R188" s="220">
        <f t="shared" si="220"/>
        <v>2000</v>
      </c>
      <c r="S188" s="220">
        <f t="shared" si="220"/>
        <v>2000</v>
      </c>
      <c r="T188" s="220">
        <f t="shared" si="220"/>
        <v>2000</v>
      </c>
      <c r="U188" s="220">
        <f t="shared" si="221"/>
        <v>413</v>
      </c>
      <c r="V188" s="220">
        <f t="shared" si="221"/>
        <v>194</v>
      </c>
      <c r="W188" s="220">
        <f t="shared" si="221"/>
        <v>144</v>
      </c>
      <c r="X188" s="220">
        <f t="shared" si="221"/>
        <v>174</v>
      </c>
      <c r="Y188" s="220">
        <f t="shared" si="221"/>
        <v>354</v>
      </c>
      <c r="Z188" s="220">
        <v>0</v>
      </c>
      <c r="AA188" s="220">
        <v>2</v>
      </c>
      <c r="AB188" s="220">
        <v>0</v>
      </c>
      <c r="AC188" s="220">
        <v>0</v>
      </c>
      <c r="AD188" s="220">
        <v>1</v>
      </c>
      <c r="AE188" s="220">
        <f t="shared" si="222"/>
        <v>-236</v>
      </c>
      <c r="AF188" s="220">
        <f t="shared" si="222"/>
        <v>-435</v>
      </c>
      <c r="AG188" s="220">
        <f t="shared" si="222"/>
        <v>-455</v>
      </c>
      <c r="AH188" s="220">
        <f t="shared" si="222"/>
        <v>-380</v>
      </c>
      <c r="AI188" s="220">
        <f t="shared" si="222"/>
        <v>-205</v>
      </c>
      <c r="AJ188" s="50">
        <f t="shared" si="183"/>
        <v>1.3440000000000085</v>
      </c>
      <c r="AK188" s="257"/>
      <c r="AL188" s="257">
        <f t="shared" si="184"/>
        <v>1.2</v>
      </c>
      <c r="AM188" s="52"/>
      <c r="AN188" s="88"/>
    </row>
    <row r="189" spans="1:41" s="29" customFormat="1" ht="17.25" customHeight="1">
      <c r="A189" s="48">
        <v>179</v>
      </c>
      <c r="B189" s="49">
        <f t="shared" si="176"/>
        <v>45754</v>
      </c>
      <c r="C189" s="220">
        <f t="shared" si="177"/>
        <v>1049</v>
      </c>
      <c r="D189" s="220">
        <f t="shared" ref="D189" si="236">D188-26</f>
        <v>2120</v>
      </c>
      <c r="E189" s="220">
        <f t="shared" si="179"/>
        <v>3169</v>
      </c>
      <c r="F189" s="220">
        <f t="shared" si="171"/>
        <v>756</v>
      </c>
      <c r="G189" s="220">
        <f t="shared" si="172"/>
        <v>975</v>
      </c>
      <c r="H189" s="220">
        <f t="shared" si="173"/>
        <v>1026</v>
      </c>
      <c r="I189" s="220">
        <f t="shared" si="174"/>
        <v>996</v>
      </c>
      <c r="J189" s="220">
        <f t="shared" si="175"/>
        <v>815</v>
      </c>
      <c r="K189" s="220">
        <f t="shared" si="211"/>
        <v>2413</v>
      </c>
      <c r="L189" s="220">
        <f t="shared" si="211"/>
        <v>2194</v>
      </c>
      <c r="M189" s="220">
        <f t="shared" si="211"/>
        <v>2143</v>
      </c>
      <c r="N189" s="220">
        <f t="shared" si="211"/>
        <v>2173</v>
      </c>
      <c r="O189" s="220">
        <f t="shared" si="211"/>
        <v>2354</v>
      </c>
      <c r="P189" s="220">
        <f t="shared" ref="P189:T191" si="237">+P188</f>
        <v>2000</v>
      </c>
      <c r="Q189" s="220">
        <f t="shared" si="237"/>
        <v>2000</v>
      </c>
      <c r="R189" s="220">
        <f t="shared" si="237"/>
        <v>2000</v>
      </c>
      <c r="S189" s="220">
        <f t="shared" si="237"/>
        <v>2000</v>
      </c>
      <c r="T189" s="220">
        <f t="shared" si="237"/>
        <v>2000</v>
      </c>
      <c r="U189" s="220">
        <f t="shared" ref="U189:Y204" si="238">U188-Z189</f>
        <v>413</v>
      </c>
      <c r="V189" s="220">
        <f t="shared" si="238"/>
        <v>194</v>
      </c>
      <c r="W189" s="220">
        <f t="shared" si="238"/>
        <v>143</v>
      </c>
      <c r="X189" s="220">
        <f t="shared" si="238"/>
        <v>173</v>
      </c>
      <c r="Y189" s="220">
        <f t="shared" si="238"/>
        <v>354</v>
      </c>
      <c r="Z189" s="220">
        <v>0</v>
      </c>
      <c r="AA189" s="220">
        <v>0</v>
      </c>
      <c r="AB189" s="220">
        <v>1</v>
      </c>
      <c r="AC189" s="220">
        <v>1</v>
      </c>
      <c r="AD189" s="220">
        <v>0</v>
      </c>
      <c r="AE189" s="220">
        <f t="shared" ref="AE189:AI204" si="239">AE188-Z189</f>
        <v>-236</v>
      </c>
      <c r="AF189" s="220">
        <f t="shared" si="239"/>
        <v>-435</v>
      </c>
      <c r="AG189" s="220">
        <f t="shared" si="239"/>
        <v>-456</v>
      </c>
      <c r="AH189" s="220">
        <f t="shared" si="239"/>
        <v>-381</v>
      </c>
      <c r="AI189" s="220">
        <f t="shared" si="239"/>
        <v>-205</v>
      </c>
      <c r="AJ189" s="50">
        <f t="shared" si="183"/>
        <v>1.3430000000000086</v>
      </c>
      <c r="AK189" s="257"/>
      <c r="AL189" s="257">
        <f t="shared" si="184"/>
        <v>1.2</v>
      </c>
      <c r="AM189" s="52"/>
      <c r="AN189" s="88"/>
    </row>
    <row r="190" spans="1:41" s="29" customFormat="1" ht="17.25" customHeight="1">
      <c r="A190" s="48">
        <v>180</v>
      </c>
      <c r="B190" s="49">
        <f t="shared" si="176"/>
        <v>45755</v>
      </c>
      <c r="C190" s="220">
        <f t="shared" si="177"/>
        <v>1049</v>
      </c>
      <c r="D190" s="220">
        <f t="shared" ref="D190:D191" si="240">D189+15</f>
        <v>2135</v>
      </c>
      <c r="E190" s="220">
        <f t="shared" si="179"/>
        <v>3184</v>
      </c>
      <c r="F190" s="220">
        <f t="shared" si="171"/>
        <v>772</v>
      </c>
      <c r="G190" s="220">
        <f t="shared" si="172"/>
        <v>990</v>
      </c>
      <c r="H190" s="220">
        <f t="shared" si="173"/>
        <v>1042</v>
      </c>
      <c r="I190" s="220">
        <f t="shared" si="174"/>
        <v>1011</v>
      </c>
      <c r="J190" s="220">
        <f t="shared" si="175"/>
        <v>832</v>
      </c>
      <c r="K190" s="220">
        <f t="shared" si="211"/>
        <v>2412</v>
      </c>
      <c r="L190" s="220">
        <f t="shared" si="211"/>
        <v>2194</v>
      </c>
      <c r="M190" s="220">
        <f t="shared" si="211"/>
        <v>2142</v>
      </c>
      <c r="N190" s="220">
        <f t="shared" si="211"/>
        <v>2173</v>
      </c>
      <c r="O190" s="220">
        <f t="shared" si="211"/>
        <v>2352</v>
      </c>
      <c r="P190" s="220">
        <f t="shared" si="237"/>
        <v>2000</v>
      </c>
      <c r="Q190" s="220">
        <f t="shared" si="237"/>
        <v>2000</v>
      </c>
      <c r="R190" s="220">
        <f t="shared" si="237"/>
        <v>2000</v>
      </c>
      <c r="S190" s="220">
        <f t="shared" si="237"/>
        <v>2000</v>
      </c>
      <c r="T190" s="220">
        <f t="shared" si="237"/>
        <v>2000</v>
      </c>
      <c r="U190" s="220">
        <f t="shared" si="238"/>
        <v>412</v>
      </c>
      <c r="V190" s="220">
        <f t="shared" si="238"/>
        <v>194</v>
      </c>
      <c r="W190" s="220">
        <f t="shared" si="238"/>
        <v>142</v>
      </c>
      <c r="X190" s="220">
        <f t="shared" si="238"/>
        <v>173</v>
      </c>
      <c r="Y190" s="220">
        <f t="shared" si="238"/>
        <v>352</v>
      </c>
      <c r="Z190" s="220">
        <v>1</v>
      </c>
      <c r="AA190" s="220">
        <v>0</v>
      </c>
      <c r="AB190" s="220">
        <v>1</v>
      </c>
      <c r="AC190" s="220">
        <v>0</v>
      </c>
      <c r="AD190" s="220">
        <v>2</v>
      </c>
      <c r="AE190" s="220">
        <f t="shared" si="239"/>
        <v>-237</v>
      </c>
      <c r="AF190" s="220">
        <f t="shared" si="239"/>
        <v>-435</v>
      </c>
      <c r="AG190" s="220">
        <f t="shared" si="239"/>
        <v>-457</v>
      </c>
      <c r="AH190" s="220">
        <f t="shared" si="239"/>
        <v>-381</v>
      </c>
      <c r="AI190" s="220">
        <f t="shared" si="239"/>
        <v>-207</v>
      </c>
      <c r="AJ190" s="50">
        <f t="shared" si="183"/>
        <v>1.3420000000000087</v>
      </c>
      <c r="AK190" s="257"/>
      <c r="AL190" s="257">
        <f t="shared" si="184"/>
        <v>1.2</v>
      </c>
      <c r="AM190" s="52"/>
      <c r="AN190" s="88"/>
    </row>
    <row r="191" spans="1:41">
      <c r="A191" s="48">
        <v>180</v>
      </c>
      <c r="B191" s="49">
        <f t="shared" si="176"/>
        <v>45756</v>
      </c>
      <c r="C191" s="220">
        <f t="shared" si="177"/>
        <v>1049</v>
      </c>
      <c r="D191" s="220">
        <f t="shared" si="240"/>
        <v>2150</v>
      </c>
      <c r="E191" s="220">
        <f t="shared" ref="E191" si="241">+C191+D191</f>
        <v>3199</v>
      </c>
      <c r="F191" s="220">
        <f t="shared" ref="F191" si="242">E191-K191</f>
        <v>788</v>
      </c>
      <c r="G191" s="220">
        <f t="shared" ref="G191" si="243">E191-L191</f>
        <v>1005</v>
      </c>
      <c r="H191" s="220">
        <f t="shared" ref="H191" si="244">E191-M191</f>
        <v>1058</v>
      </c>
      <c r="I191" s="220">
        <f t="shared" ref="I191" si="245">E191-N191</f>
        <v>1026</v>
      </c>
      <c r="J191" s="220">
        <f t="shared" ref="J191" si="246">E191-O191</f>
        <v>849</v>
      </c>
      <c r="K191" s="220">
        <f t="shared" ref="K191" si="247">P191+U191</f>
        <v>2411</v>
      </c>
      <c r="L191" s="220">
        <f t="shared" ref="L191" si="248">Q191+V191</f>
        <v>2194</v>
      </c>
      <c r="M191" s="220">
        <f t="shared" ref="M191" si="249">R191+W191</f>
        <v>2141</v>
      </c>
      <c r="N191" s="220">
        <f t="shared" ref="N191" si="250">S191+X191</f>
        <v>2173</v>
      </c>
      <c r="O191" s="220">
        <f t="shared" ref="O191" si="251">T191+Y191</f>
        <v>2350</v>
      </c>
      <c r="P191" s="220">
        <f t="shared" si="237"/>
        <v>2000</v>
      </c>
      <c r="Q191" s="220">
        <f t="shared" si="237"/>
        <v>2000</v>
      </c>
      <c r="R191" s="220">
        <f t="shared" si="237"/>
        <v>2000</v>
      </c>
      <c r="S191" s="220">
        <f t="shared" si="237"/>
        <v>2000</v>
      </c>
      <c r="T191" s="220">
        <f t="shared" si="237"/>
        <v>2000</v>
      </c>
      <c r="U191" s="220">
        <f t="shared" ref="U191" si="252">U190-Z191</f>
        <v>411</v>
      </c>
      <c r="V191" s="220">
        <f t="shared" ref="V191" si="253">V190-AA191</f>
        <v>194</v>
      </c>
      <c r="W191" s="220">
        <f t="shared" ref="W191" si="254">W190-AB191</f>
        <v>141</v>
      </c>
      <c r="X191" s="220">
        <f t="shared" ref="X191" si="255">X190-AC191</f>
        <v>173</v>
      </c>
      <c r="Y191" s="220">
        <f t="shared" ref="Y191" si="256">Y190-AD191</f>
        <v>350</v>
      </c>
      <c r="Z191" s="220">
        <v>1</v>
      </c>
      <c r="AA191" s="220">
        <v>0</v>
      </c>
      <c r="AB191" s="220">
        <v>1</v>
      </c>
      <c r="AC191" s="220">
        <v>0</v>
      </c>
      <c r="AD191" s="220">
        <v>2</v>
      </c>
      <c r="AE191" s="220">
        <f t="shared" ref="AE191" si="257">AE190-Z191</f>
        <v>-238</v>
      </c>
      <c r="AF191" s="220">
        <f t="shared" ref="AF191" si="258">AF190-AA191</f>
        <v>-435</v>
      </c>
      <c r="AG191" s="220">
        <f t="shared" ref="AG191" si="259">AG190-AB191</f>
        <v>-458</v>
      </c>
      <c r="AH191" s="220">
        <f t="shared" ref="AH191" si="260">AH190-AC191</f>
        <v>-381</v>
      </c>
      <c r="AI191" s="220">
        <f t="shared" ref="AI191" si="261">AI190-AD191</f>
        <v>-209</v>
      </c>
      <c r="AJ191" s="50">
        <f t="shared" ref="AJ191" si="262">AJ190-AB191/1000+AK191</f>
        <v>1.3410000000000089</v>
      </c>
      <c r="AK191" s="257"/>
      <c r="AL191" s="257">
        <f t="shared" ref="AL191" si="263">AL190+AK191</f>
        <v>1.2</v>
      </c>
    </row>
    <row r="192" spans="1:41" s="261" customFormat="1" ht="17.25" customHeight="1">
      <c r="A192" s="76">
        <v>180</v>
      </c>
      <c r="B192" s="77">
        <f t="shared" si="176"/>
        <v>45757</v>
      </c>
      <c r="C192" s="213">
        <f>+C190</f>
        <v>1049</v>
      </c>
      <c r="D192" s="213">
        <f>D190-26</f>
        <v>2109</v>
      </c>
      <c r="E192" s="213">
        <f>+C192+D192</f>
        <v>3158</v>
      </c>
      <c r="F192" s="213">
        <f>E192-K192</f>
        <v>754</v>
      </c>
      <c r="G192" s="213">
        <f>E192-L192</f>
        <v>973</v>
      </c>
      <c r="H192" s="213">
        <f>E192-M192</f>
        <v>1025</v>
      </c>
      <c r="I192" s="213">
        <f>E192-N192</f>
        <v>994</v>
      </c>
      <c r="J192" s="213">
        <f>E192-O192</f>
        <v>814</v>
      </c>
      <c r="K192" s="213">
        <f>P192+U192</f>
        <v>2404</v>
      </c>
      <c r="L192" s="213">
        <f>Q192+V192</f>
        <v>2185</v>
      </c>
      <c r="M192" s="213">
        <f>R192+W192</f>
        <v>2133</v>
      </c>
      <c r="N192" s="213">
        <f>S192+X192</f>
        <v>2164</v>
      </c>
      <c r="O192" s="213">
        <f>T192+Y192</f>
        <v>2344</v>
      </c>
      <c r="P192" s="213">
        <f>+P190</f>
        <v>2000</v>
      </c>
      <c r="Q192" s="213">
        <f>+Q190</f>
        <v>2000</v>
      </c>
      <c r="R192" s="213">
        <f>+R190</f>
        <v>2000</v>
      </c>
      <c r="S192" s="213">
        <f>+S190</f>
        <v>2000</v>
      </c>
      <c r="T192" s="213">
        <f>+T190</f>
        <v>2000</v>
      </c>
      <c r="U192" s="213">
        <f>U190-Z192</f>
        <v>404</v>
      </c>
      <c r="V192" s="213">
        <f>V190-AA192</f>
        <v>185</v>
      </c>
      <c r="W192" s="213">
        <f>W190-AB192</f>
        <v>133</v>
      </c>
      <c r="X192" s="213">
        <f>X190-AC192</f>
        <v>164</v>
      </c>
      <c r="Y192" s="213">
        <f>Y190-AD192</f>
        <v>344</v>
      </c>
      <c r="Z192" s="213">
        <v>8</v>
      </c>
      <c r="AA192" s="213">
        <v>9</v>
      </c>
      <c r="AB192" s="213">
        <v>9</v>
      </c>
      <c r="AC192" s="213">
        <v>9</v>
      </c>
      <c r="AD192" s="213">
        <v>8</v>
      </c>
      <c r="AE192" s="213">
        <f>AE190-Z192</f>
        <v>-245</v>
      </c>
      <c r="AF192" s="213">
        <f>AF190-AA192</f>
        <v>-444</v>
      </c>
      <c r="AG192" s="213">
        <f>AG190-AB192</f>
        <v>-466</v>
      </c>
      <c r="AH192" s="213">
        <f>AH190-AC192</f>
        <v>-390</v>
      </c>
      <c r="AI192" s="213">
        <f>AI190-AD192</f>
        <v>-215</v>
      </c>
      <c r="AJ192" s="78">
        <f>AJ190-AB192/1000+AK192</f>
        <v>1.3330000000000088</v>
      </c>
      <c r="AK192" s="259"/>
      <c r="AL192" s="259">
        <f>AL190+AK192</f>
        <v>1.2</v>
      </c>
      <c r="AM192" s="81"/>
      <c r="AN192" s="260"/>
      <c r="AO192" s="261" t="s">
        <v>151</v>
      </c>
    </row>
    <row r="193" spans="1:40" s="68" customFormat="1" ht="17.25" customHeight="1">
      <c r="A193" s="105">
        <v>214</v>
      </c>
      <c r="B193" s="104">
        <f>B192+1</f>
        <v>45758</v>
      </c>
      <c r="C193" s="192">
        <f t="shared" ref="C193:C243" si="264">+C191</f>
        <v>1049</v>
      </c>
      <c r="D193" s="192">
        <f t="shared" ref="D193:D243" si="265">D191-26</f>
        <v>2124</v>
      </c>
      <c r="E193" s="192">
        <f t="shared" ref="E193:E224" si="266">+C193+D193</f>
        <v>3173</v>
      </c>
      <c r="F193" s="192">
        <f t="shared" ref="F193:F224" si="267">E193-K193</f>
        <v>770</v>
      </c>
      <c r="G193" s="192">
        <f t="shared" ref="G193:G224" si="268">E193-L193</f>
        <v>988</v>
      </c>
      <c r="H193" s="192">
        <f t="shared" ref="H193:H224" si="269">E193-M193</f>
        <v>1041</v>
      </c>
      <c r="I193" s="192">
        <f t="shared" ref="I193:I224" si="270">E193-N193</f>
        <v>1009</v>
      </c>
      <c r="J193" s="192" t="e">
        <f t="shared" ref="J193:J224" si="271">E193-O193</f>
        <v>#REF!</v>
      </c>
      <c r="K193" s="192">
        <f t="shared" ref="K193:K224" si="272">P193+U193</f>
        <v>2403</v>
      </c>
      <c r="L193" s="192">
        <f t="shared" ref="L193:L224" si="273">Q193+V193</f>
        <v>2185</v>
      </c>
      <c r="M193" s="192">
        <f t="shared" ref="M193:M224" si="274">R193+W193</f>
        <v>2132</v>
      </c>
      <c r="N193" s="192">
        <f t="shared" ref="N193:N224" si="275">S193+X193</f>
        <v>2164</v>
      </c>
      <c r="O193" s="192" t="e">
        <f t="shared" ref="O193:O224" si="276">T193+Y193</f>
        <v>#REF!</v>
      </c>
      <c r="P193" s="192">
        <f t="shared" ref="P193:T193" si="277">+P191</f>
        <v>2000</v>
      </c>
      <c r="Q193" s="192">
        <f t="shared" si="277"/>
        <v>2000</v>
      </c>
      <c r="R193" s="192">
        <f t="shared" si="277"/>
        <v>2000</v>
      </c>
      <c r="S193" s="192">
        <f t="shared" si="277"/>
        <v>2000</v>
      </c>
      <c r="T193" s="192">
        <f t="shared" si="277"/>
        <v>2000</v>
      </c>
      <c r="U193" s="192">
        <f t="shared" ref="U193:W193" si="278">U191-Z193</f>
        <v>403</v>
      </c>
      <c r="V193" s="192">
        <f t="shared" si="278"/>
        <v>185</v>
      </c>
      <c r="W193" s="192">
        <f t="shared" si="278"/>
        <v>132</v>
      </c>
      <c r="X193" s="192">
        <f t="shared" ref="X193:X224" si="279">X191-AC193</f>
        <v>164</v>
      </c>
      <c r="Y193" s="192" t="e">
        <f>#REF!-AD193</f>
        <v>#REF!</v>
      </c>
      <c r="Z193" s="192">
        <v>8</v>
      </c>
      <c r="AA193" s="192">
        <v>9</v>
      </c>
      <c r="AB193" s="192">
        <v>9</v>
      </c>
      <c r="AC193" s="192">
        <v>9</v>
      </c>
      <c r="AD193" s="192">
        <v>7</v>
      </c>
      <c r="AE193" s="192" t="e">
        <f>#REF!-Z193</f>
        <v>#REF!</v>
      </c>
      <c r="AF193" s="192">
        <f t="shared" ref="AF193:AI193" si="280">AF191-AA193</f>
        <v>-444</v>
      </c>
      <c r="AG193" s="192">
        <f t="shared" si="280"/>
        <v>-467</v>
      </c>
      <c r="AH193" s="192">
        <f t="shared" si="280"/>
        <v>-390</v>
      </c>
      <c r="AI193" s="192">
        <f t="shared" si="280"/>
        <v>-216</v>
      </c>
      <c r="AJ193" s="107">
        <f t="shared" ref="AJ193:AJ224" si="281">AJ191-AB193/1000+AK193</f>
        <v>1.332000000000009</v>
      </c>
      <c r="AK193" s="203"/>
      <c r="AL193" s="203">
        <f t="shared" ref="AL193:AL225" si="282">AL191+AK193</f>
        <v>1.2</v>
      </c>
      <c r="AM193" s="262"/>
      <c r="AN193" s="263"/>
    </row>
    <row r="194" spans="1:40" s="68" customFormat="1" ht="17.25" customHeight="1">
      <c r="A194" s="105">
        <v>214</v>
      </c>
      <c r="B194" s="104">
        <f t="shared" ref="B194:B243" si="283">B193+1</f>
        <v>45759</v>
      </c>
      <c r="C194" s="192">
        <f t="shared" si="264"/>
        <v>1049</v>
      </c>
      <c r="D194" s="192">
        <f t="shared" si="265"/>
        <v>2083</v>
      </c>
      <c r="E194" s="192">
        <f t="shared" si="266"/>
        <v>3132</v>
      </c>
      <c r="F194" s="192">
        <f t="shared" si="267"/>
        <v>735</v>
      </c>
      <c r="G194" s="192">
        <f t="shared" si="268"/>
        <v>956</v>
      </c>
      <c r="H194" s="192">
        <f t="shared" si="269"/>
        <v>1008</v>
      </c>
      <c r="I194" s="192">
        <f t="shared" si="270"/>
        <v>977</v>
      </c>
      <c r="J194" s="192" t="e">
        <f t="shared" si="271"/>
        <v>#REF!</v>
      </c>
      <c r="K194" s="192">
        <f t="shared" si="272"/>
        <v>2397</v>
      </c>
      <c r="L194" s="192">
        <f t="shared" si="273"/>
        <v>2176</v>
      </c>
      <c r="M194" s="192">
        <f t="shared" si="274"/>
        <v>2124</v>
      </c>
      <c r="N194" s="192">
        <f t="shared" si="275"/>
        <v>2155</v>
      </c>
      <c r="O194" s="192" t="e">
        <f t="shared" si="276"/>
        <v>#REF!</v>
      </c>
      <c r="P194" s="192">
        <f t="shared" ref="P194:T194" si="284">+P192</f>
        <v>2000</v>
      </c>
      <c r="Q194" s="192">
        <f t="shared" si="284"/>
        <v>2000</v>
      </c>
      <c r="R194" s="192">
        <f t="shared" si="284"/>
        <v>2000</v>
      </c>
      <c r="S194" s="192">
        <f t="shared" si="284"/>
        <v>2000</v>
      </c>
      <c r="T194" s="192">
        <f t="shared" si="284"/>
        <v>2000</v>
      </c>
      <c r="U194" s="192">
        <f t="shared" ref="U194:W194" si="285">U192-Z194</f>
        <v>397</v>
      </c>
      <c r="V194" s="192">
        <f t="shared" si="285"/>
        <v>176</v>
      </c>
      <c r="W194" s="192">
        <f t="shared" si="285"/>
        <v>124</v>
      </c>
      <c r="X194" s="192">
        <f t="shared" si="279"/>
        <v>155</v>
      </c>
      <c r="Y194" s="192" t="e">
        <f t="shared" si="238"/>
        <v>#REF!</v>
      </c>
      <c r="Z194" s="192">
        <v>7</v>
      </c>
      <c r="AA194" s="192">
        <v>9</v>
      </c>
      <c r="AB194" s="192">
        <v>9</v>
      </c>
      <c r="AC194" s="192">
        <v>9</v>
      </c>
      <c r="AD194" s="192">
        <v>7</v>
      </c>
      <c r="AE194" s="192" t="e">
        <f t="shared" si="239"/>
        <v>#REF!</v>
      </c>
      <c r="AF194" s="192">
        <f t="shared" ref="AF194:AI194" si="286">AF192-AA194</f>
        <v>-453</v>
      </c>
      <c r="AG194" s="192">
        <f t="shared" si="286"/>
        <v>-475</v>
      </c>
      <c r="AH194" s="192">
        <f t="shared" si="286"/>
        <v>-399</v>
      </c>
      <c r="AI194" s="192">
        <f t="shared" si="286"/>
        <v>-222</v>
      </c>
      <c r="AJ194" s="107">
        <f t="shared" si="281"/>
        <v>1.3240000000000089</v>
      </c>
      <c r="AK194" s="203"/>
      <c r="AL194" s="203">
        <f t="shared" si="282"/>
        <v>1.2</v>
      </c>
      <c r="AM194" s="262"/>
      <c r="AN194" s="263"/>
    </row>
    <row r="195" spans="1:40" s="68" customFormat="1" ht="17.25" customHeight="1">
      <c r="A195" s="105">
        <v>214</v>
      </c>
      <c r="B195" s="104">
        <f t="shared" si="283"/>
        <v>45760</v>
      </c>
      <c r="C195" s="192">
        <f t="shared" si="264"/>
        <v>1049</v>
      </c>
      <c r="D195" s="192">
        <f t="shared" si="265"/>
        <v>2098</v>
      </c>
      <c r="E195" s="192">
        <f t="shared" si="266"/>
        <v>3147</v>
      </c>
      <c r="F195" s="192">
        <f t="shared" si="267"/>
        <v>751</v>
      </c>
      <c r="G195" s="192">
        <f t="shared" si="268"/>
        <v>970</v>
      </c>
      <c r="H195" s="192">
        <f t="shared" si="269"/>
        <v>1024</v>
      </c>
      <c r="I195" s="192">
        <f t="shared" si="270"/>
        <v>991</v>
      </c>
      <c r="J195" s="192" t="e">
        <f t="shared" si="271"/>
        <v>#REF!</v>
      </c>
      <c r="K195" s="192">
        <f t="shared" si="272"/>
        <v>2396</v>
      </c>
      <c r="L195" s="192">
        <f t="shared" si="273"/>
        <v>2177</v>
      </c>
      <c r="M195" s="192">
        <f t="shared" si="274"/>
        <v>2123</v>
      </c>
      <c r="N195" s="192">
        <f t="shared" si="275"/>
        <v>2156</v>
      </c>
      <c r="O195" s="192" t="e">
        <f t="shared" si="276"/>
        <v>#REF!</v>
      </c>
      <c r="P195" s="192">
        <f t="shared" ref="P195:T195" si="287">+P193</f>
        <v>2000</v>
      </c>
      <c r="Q195" s="192">
        <f t="shared" si="287"/>
        <v>2000</v>
      </c>
      <c r="R195" s="192">
        <f t="shared" si="287"/>
        <v>2000</v>
      </c>
      <c r="S195" s="192">
        <f t="shared" si="287"/>
        <v>2000</v>
      </c>
      <c r="T195" s="192">
        <f t="shared" si="287"/>
        <v>2000</v>
      </c>
      <c r="U195" s="192">
        <f t="shared" ref="U195:W195" si="288">U193-Z195</f>
        <v>396</v>
      </c>
      <c r="V195" s="192">
        <f t="shared" si="288"/>
        <v>177</v>
      </c>
      <c r="W195" s="192">
        <f t="shared" si="288"/>
        <v>123</v>
      </c>
      <c r="X195" s="192">
        <f t="shared" si="279"/>
        <v>156</v>
      </c>
      <c r="Y195" s="192" t="e">
        <f t="shared" si="238"/>
        <v>#REF!</v>
      </c>
      <c r="Z195" s="192">
        <v>7</v>
      </c>
      <c r="AA195" s="192">
        <v>8</v>
      </c>
      <c r="AB195" s="192">
        <v>9</v>
      </c>
      <c r="AC195" s="192">
        <v>8</v>
      </c>
      <c r="AD195" s="192">
        <v>6</v>
      </c>
      <c r="AE195" s="192" t="e">
        <f t="shared" si="239"/>
        <v>#REF!</v>
      </c>
      <c r="AF195" s="192">
        <f t="shared" ref="AF195:AI195" si="289">AF193-AA195</f>
        <v>-452</v>
      </c>
      <c r="AG195" s="192">
        <f t="shared" si="289"/>
        <v>-476</v>
      </c>
      <c r="AH195" s="192">
        <f t="shared" si="289"/>
        <v>-398</v>
      </c>
      <c r="AI195" s="192">
        <f t="shared" si="289"/>
        <v>-222</v>
      </c>
      <c r="AJ195" s="107">
        <f t="shared" si="281"/>
        <v>1.3230000000000091</v>
      </c>
      <c r="AK195" s="203"/>
      <c r="AL195" s="203">
        <f t="shared" si="282"/>
        <v>1.2</v>
      </c>
      <c r="AM195" s="262"/>
      <c r="AN195" s="263"/>
    </row>
    <row r="196" spans="1:40" s="68" customFormat="1" ht="17.25" customHeight="1">
      <c r="A196" s="105">
        <v>214</v>
      </c>
      <c r="B196" s="104">
        <f t="shared" si="283"/>
        <v>45761</v>
      </c>
      <c r="C196" s="192">
        <f t="shared" si="264"/>
        <v>1049</v>
      </c>
      <c r="D196" s="192">
        <f t="shared" si="265"/>
        <v>2057</v>
      </c>
      <c r="E196" s="192">
        <f t="shared" si="266"/>
        <v>3106</v>
      </c>
      <c r="F196" s="192">
        <f t="shared" si="267"/>
        <v>716</v>
      </c>
      <c r="G196" s="192">
        <f t="shared" si="268"/>
        <v>939</v>
      </c>
      <c r="H196" s="192">
        <f t="shared" si="269"/>
        <v>990</v>
      </c>
      <c r="I196" s="192">
        <f t="shared" si="270"/>
        <v>960</v>
      </c>
      <c r="J196" s="192" t="e">
        <f t="shared" si="271"/>
        <v>#REF!</v>
      </c>
      <c r="K196" s="192">
        <f t="shared" si="272"/>
        <v>2390</v>
      </c>
      <c r="L196" s="192">
        <f t="shared" si="273"/>
        <v>2167</v>
      </c>
      <c r="M196" s="192">
        <f t="shared" si="274"/>
        <v>2116</v>
      </c>
      <c r="N196" s="192">
        <f t="shared" si="275"/>
        <v>2146</v>
      </c>
      <c r="O196" s="192" t="e">
        <f t="shared" si="276"/>
        <v>#REF!</v>
      </c>
      <c r="P196" s="192">
        <f t="shared" ref="P196:T196" si="290">+P194</f>
        <v>2000</v>
      </c>
      <c r="Q196" s="192">
        <f t="shared" si="290"/>
        <v>2000</v>
      </c>
      <c r="R196" s="192">
        <f t="shared" si="290"/>
        <v>2000</v>
      </c>
      <c r="S196" s="192">
        <f t="shared" si="290"/>
        <v>2000</v>
      </c>
      <c r="T196" s="192">
        <f t="shared" si="290"/>
        <v>2000</v>
      </c>
      <c r="U196" s="192">
        <f t="shared" ref="U196:W196" si="291">U194-Z196</f>
        <v>390</v>
      </c>
      <c r="V196" s="192">
        <f t="shared" si="291"/>
        <v>167</v>
      </c>
      <c r="W196" s="192">
        <f t="shared" si="291"/>
        <v>116</v>
      </c>
      <c r="X196" s="192">
        <f t="shared" si="279"/>
        <v>146</v>
      </c>
      <c r="Y196" s="192" t="e">
        <f t="shared" si="238"/>
        <v>#REF!</v>
      </c>
      <c r="Z196" s="192">
        <v>7</v>
      </c>
      <c r="AA196" s="192">
        <v>9</v>
      </c>
      <c r="AB196" s="192">
        <v>8</v>
      </c>
      <c r="AC196" s="192">
        <v>9</v>
      </c>
      <c r="AD196" s="192">
        <v>6</v>
      </c>
      <c r="AE196" s="192" t="e">
        <f t="shared" si="239"/>
        <v>#REF!</v>
      </c>
      <c r="AF196" s="192">
        <f t="shared" ref="AF196:AI196" si="292">AF194-AA196</f>
        <v>-462</v>
      </c>
      <c r="AG196" s="192">
        <f t="shared" si="292"/>
        <v>-483</v>
      </c>
      <c r="AH196" s="192">
        <f t="shared" si="292"/>
        <v>-408</v>
      </c>
      <c r="AI196" s="192">
        <f t="shared" si="292"/>
        <v>-228</v>
      </c>
      <c r="AJ196" s="107">
        <f t="shared" si="281"/>
        <v>1.3160000000000089</v>
      </c>
      <c r="AK196" s="203"/>
      <c r="AL196" s="203">
        <f t="shared" si="282"/>
        <v>1.2</v>
      </c>
      <c r="AM196" s="262"/>
      <c r="AN196" s="263"/>
    </row>
    <row r="197" spans="1:40" s="68" customFormat="1" ht="17.25" customHeight="1">
      <c r="A197" s="105">
        <v>214</v>
      </c>
      <c r="B197" s="104">
        <f t="shared" si="283"/>
        <v>45762</v>
      </c>
      <c r="C197" s="192">
        <f t="shared" si="264"/>
        <v>1049</v>
      </c>
      <c r="D197" s="192">
        <f t="shared" si="265"/>
        <v>2072</v>
      </c>
      <c r="E197" s="192">
        <f t="shared" si="266"/>
        <v>3121</v>
      </c>
      <c r="F197" s="192">
        <f t="shared" si="267"/>
        <v>731</v>
      </c>
      <c r="G197" s="192">
        <f t="shared" si="268"/>
        <v>953</v>
      </c>
      <c r="H197" s="192">
        <f t="shared" si="269"/>
        <v>1006</v>
      </c>
      <c r="I197" s="192">
        <f t="shared" si="270"/>
        <v>974</v>
      </c>
      <c r="J197" s="192" t="e">
        <f t="shared" si="271"/>
        <v>#REF!</v>
      </c>
      <c r="K197" s="192">
        <f t="shared" si="272"/>
        <v>2390</v>
      </c>
      <c r="L197" s="192">
        <f t="shared" si="273"/>
        <v>2168</v>
      </c>
      <c r="M197" s="192">
        <f t="shared" si="274"/>
        <v>2115</v>
      </c>
      <c r="N197" s="192">
        <f t="shared" si="275"/>
        <v>2147</v>
      </c>
      <c r="O197" s="192" t="e">
        <f t="shared" si="276"/>
        <v>#REF!</v>
      </c>
      <c r="P197" s="192">
        <f t="shared" ref="P197:T197" si="293">+P195</f>
        <v>2000</v>
      </c>
      <c r="Q197" s="192">
        <f t="shared" si="293"/>
        <v>2000</v>
      </c>
      <c r="R197" s="192">
        <f t="shared" si="293"/>
        <v>2000</v>
      </c>
      <c r="S197" s="192">
        <f t="shared" si="293"/>
        <v>2000</v>
      </c>
      <c r="T197" s="192">
        <f t="shared" si="293"/>
        <v>2000</v>
      </c>
      <c r="U197" s="192">
        <f t="shared" ref="U197:W197" si="294">U195-Z197</f>
        <v>390</v>
      </c>
      <c r="V197" s="192">
        <f t="shared" si="294"/>
        <v>168</v>
      </c>
      <c r="W197" s="192">
        <f t="shared" si="294"/>
        <v>115</v>
      </c>
      <c r="X197" s="192">
        <f t="shared" si="279"/>
        <v>147</v>
      </c>
      <c r="Y197" s="192" t="e">
        <f t="shared" si="238"/>
        <v>#REF!</v>
      </c>
      <c r="Z197" s="192">
        <v>6</v>
      </c>
      <c r="AA197" s="192">
        <v>9</v>
      </c>
      <c r="AB197" s="192">
        <v>8</v>
      </c>
      <c r="AC197" s="192">
        <v>9</v>
      </c>
      <c r="AD197" s="192">
        <v>6</v>
      </c>
      <c r="AE197" s="192" t="e">
        <f t="shared" si="239"/>
        <v>#REF!</v>
      </c>
      <c r="AF197" s="192">
        <f t="shared" ref="AF197:AI197" si="295">AF195-AA197</f>
        <v>-461</v>
      </c>
      <c r="AG197" s="192">
        <f t="shared" si="295"/>
        <v>-484</v>
      </c>
      <c r="AH197" s="192">
        <f t="shared" si="295"/>
        <v>-407</v>
      </c>
      <c r="AI197" s="192">
        <f t="shared" si="295"/>
        <v>-228</v>
      </c>
      <c r="AJ197" s="107">
        <f t="shared" si="281"/>
        <v>1.3150000000000091</v>
      </c>
      <c r="AK197" s="203"/>
      <c r="AL197" s="203">
        <f t="shared" si="282"/>
        <v>1.2</v>
      </c>
      <c r="AM197" s="262"/>
      <c r="AN197" s="263"/>
    </row>
    <row r="198" spans="1:40" s="68" customFormat="1" ht="17.25" customHeight="1">
      <c r="A198" s="105">
        <v>214</v>
      </c>
      <c r="B198" s="104">
        <f t="shared" si="283"/>
        <v>45763</v>
      </c>
      <c r="C198" s="192">
        <f t="shared" si="264"/>
        <v>1049</v>
      </c>
      <c r="D198" s="192">
        <f t="shared" si="265"/>
        <v>2031</v>
      </c>
      <c r="E198" s="192">
        <f t="shared" si="266"/>
        <v>3080</v>
      </c>
      <c r="F198" s="192">
        <f t="shared" si="267"/>
        <v>696</v>
      </c>
      <c r="G198" s="192">
        <f t="shared" si="268"/>
        <v>922</v>
      </c>
      <c r="H198" s="192">
        <f t="shared" si="269"/>
        <v>972</v>
      </c>
      <c r="I198" s="192">
        <f t="shared" si="270"/>
        <v>943</v>
      </c>
      <c r="J198" s="192" t="e">
        <f t="shared" si="271"/>
        <v>#REF!</v>
      </c>
      <c r="K198" s="192">
        <f t="shared" si="272"/>
        <v>2384</v>
      </c>
      <c r="L198" s="192">
        <f t="shared" si="273"/>
        <v>2158</v>
      </c>
      <c r="M198" s="192">
        <f t="shared" si="274"/>
        <v>2108</v>
      </c>
      <c r="N198" s="192">
        <f t="shared" si="275"/>
        <v>2137</v>
      </c>
      <c r="O198" s="192" t="e">
        <f t="shared" si="276"/>
        <v>#REF!</v>
      </c>
      <c r="P198" s="192">
        <f t="shared" ref="P198:T198" si="296">+P196</f>
        <v>2000</v>
      </c>
      <c r="Q198" s="192">
        <f t="shared" si="296"/>
        <v>2000</v>
      </c>
      <c r="R198" s="192">
        <f t="shared" si="296"/>
        <v>2000</v>
      </c>
      <c r="S198" s="192">
        <f t="shared" si="296"/>
        <v>2000</v>
      </c>
      <c r="T198" s="192">
        <f t="shared" si="296"/>
        <v>2000</v>
      </c>
      <c r="U198" s="192">
        <f t="shared" ref="U198:W198" si="297">U196-Z198</f>
        <v>384</v>
      </c>
      <c r="V198" s="192">
        <f t="shared" si="297"/>
        <v>158</v>
      </c>
      <c r="W198" s="192">
        <f t="shared" si="297"/>
        <v>108</v>
      </c>
      <c r="X198" s="192">
        <f t="shared" si="279"/>
        <v>137</v>
      </c>
      <c r="Y198" s="192" t="e">
        <f t="shared" si="238"/>
        <v>#REF!</v>
      </c>
      <c r="Z198" s="192">
        <v>6</v>
      </c>
      <c r="AA198" s="192">
        <v>9</v>
      </c>
      <c r="AB198" s="192">
        <v>8</v>
      </c>
      <c r="AC198" s="192">
        <v>9</v>
      </c>
      <c r="AD198" s="192">
        <v>6</v>
      </c>
      <c r="AE198" s="192" t="e">
        <f t="shared" si="239"/>
        <v>#REF!</v>
      </c>
      <c r="AF198" s="192">
        <f t="shared" ref="AF198:AI198" si="298">AF196-AA198</f>
        <v>-471</v>
      </c>
      <c r="AG198" s="192">
        <f t="shared" si="298"/>
        <v>-491</v>
      </c>
      <c r="AH198" s="192">
        <f t="shared" si="298"/>
        <v>-417</v>
      </c>
      <c r="AI198" s="192">
        <f t="shared" si="298"/>
        <v>-234</v>
      </c>
      <c r="AJ198" s="107">
        <f t="shared" si="281"/>
        <v>1.3080000000000089</v>
      </c>
      <c r="AK198" s="203"/>
      <c r="AL198" s="203">
        <f t="shared" si="282"/>
        <v>1.2</v>
      </c>
      <c r="AM198" s="262"/>
      <c r="AN198" s="263"/>
    </row>
    <row r="199" spans="1:40" s="68" customFormat="1" ht="17.25" customHeight="1">
      <c r="A199" s="105">
        <v>214</v>
      </c>
      <c r="B199" s="104">
        <f t="shared" si="283"/>
        <v>45764</v>
      </c>
      <c r="C199" s="192">
        <f t="shared" si="264"/>
        <v>1049</v>
      </c>
      <c r="D199" s="192">
        <f t="shared" si="265"/>
        <v>2046</v>
      </c>
      <c r="E199" s="192">
        <f t="shared" si="266"/>
        <v>3095</v>
      </c>
      <c r="F199" s="192">
        <f t="shared" si="267"/>
        <v>711</v>
      </c>
      <c r="G199" s="192">
        <f t="shared" si="268"/>
        <v>935</v>
      </c>
      <c r="H199" s="192">
        <f t="shared" si="269"/>
        <v>987</v>
      </c>
      <c r="I199" s="192">
        <f t="shared" si="270"/>
        <v>956</v>
      </c>
      <c r="J199" s="192" t="e">
        <f t="shared" si="271"/>
        <v>#REF!</v>
      </c>
      <c r="K199" s="192">
        <f t="shared" si="272"/>
        <v>2384</v>
      </c>
      <c r="L199" s="192">
        <f t="shared" si="273"/>
        <v>2160</v>
      </c>
      <c r="M199" s="192">
        <f t="shared" si="274"/>
        <v>2108</v>
      </c>
      <c r="N199" s="192">
        <f t="shared" si="275"/>
        <v>2139</v>
      </c>
      <c r="O199" s="192" t="e">
        <f t="shared" si="276"/>
        <v>#REF!</v>
      </c>
      <c r="P199" s="192">
        <f t="shared" ref="P199:T199" si="299">+P197</f>
        <v>2000</v>
      </c>
      <c r="Q199" s="192">
        <f t="shared" si="299"/>
        <v>2000</v>
      </c>
      <c r="R199" s="192">
        <f t="shared" si="299"/>
        <v>2000</v>
      </c>
      <c r="S199" s="192">
        <f t="shared" si="299"/>
        <v>2000</v>
      </c>
      <c r="T199" s="192">
        <f t="shared" si="299"/>
        <v>2000</v>
      </c>
      <c r="U199" s="192">
        <f t="shared" ref="U199:W199" si="300">U197-Z199</f>
        <v>384</v>
      </c>
      <c r="V199" s="192">
        <f t="shared" si="300"/>
        <v>160</v>
      </c>
      <c r="W199" s="192">
        <f t="shared" si="300"/>
        <v>108</v>
      </c>
      <c r="X199" s="192">
        <f t="shared" si="279"/>
        <v>139</v>
      </c>
      <c r="Y199" s="192" t="e">
        <f t="shared" si="238"/>
        <v>#REF!</v>
      </c>
      <c r="Z199" s="192">
        <v>6</v>
      </c>
      <c r="AA199" s="192">
        <v>8</v>
      </c>
      <c r="AB199" s="192">
        <v>7</v>
      </c>
      <c r="AC199" s="192">
        <v>8</v>
      </c>
      <c r="AD199" s="192">
        <v>5</v>
      </c>
      <c r="AE199" s="192" t="e">
        <f t="shared" si="239"/>
        <v>#REF!</v>
      </c>
      <c r="AF199" s="192">
        <f t="shared" ref="AF199:AI199" si="301">AF197-AA199</f>
        <v>-469</v>
      </c>
      <c r="AG199" s="192">
        <f t="shared" si="301"/>
        <v>-491</v>
      </c>
      <c r="AH199" s="192">
        <f t="shared" si="301"/>
        <v>-415</v>
      </c>
      <c r="AI199" s="192">
        <f t="shared" si="301"/>
        <v>-233</v>
      </c>
      <c r="AJ199" s="107">
        <f t="shared" si="281"/>
        <v>1.3080000000000092</v>
      </c>
      <c r="AK199" s="203"/>
      <c r="AL199" s="203">
        <f t="shared" si="282"/>
        <v>1.2</v>
      </c>
      <c r="AM199" s="262"/>
      <c r="AN199" s="263"/>
    </row>
    <row r="200" spans="1:40" s="68" customFormat="1" ht="17.25" customHeight="1">
      <c r="A200" s="105">
        <v>214</v>
      </c>
      <c r="B200" s="104">
        <f t="shared" si="283"/>
        <v>45765</v>
      </c>
      <c r="C200" s="192">
        <f t="shared" si="264"/>
        <v>1049</v>
      </c>
      <c r="D200" s="192">
        <f t="shared" si="265"/>
        <v>2005</v>
      </c>
      <c r="E200" s="192">
        <f t="shared" si="266"/>
        <v>3054</v>
      </c>
      <c r="F200" s="192">
        <f t="shared" si="267"/>
        <v>676</v>
      </c>
      <c r="G200" s="192">
        <f t="shared" si="268"/>
        <v>905</v>
      </c>
      <c r="H200" s="192">
        <f t="shared" si="269"/>
        <v>953</v>
      </c>
      <c r="I200" s="192">
        <f t="shared" si="270"/>
        <v>925</v>
      </c>
      <c r="J200" s="192" t="e">
        <f t="shared" si="271"/>
        <v>#REF!</v>
      </c>
      <c r="K200" s="192">
        <f t="shared" si="272"/>
        <v>2378</v>
      </c>
      <c r="L200" s="192">
        <f t="shared" si="273"/>
        <v>2149</v>
      </c>
      <c r="M200" s="192">
        <f t="shared" si="274"/>
        <v>2101</v>
      </c>
      <c r="N200" s="192">
        <f t="shared" si="275"/>
        <v>2129</v>
      </c>
      <c r="O200" s="192" t="e">
        <f t="shared" si="276"/>
        <v>#REF!</v>
      </c>
      <c r="P200" s="192">
        <f t="shared" ref="P200:T200" si="302">+P198</f>
        <v>2000</v>
      </c>
      <c r="Q200" s="192">
        <f t="shared" si="302"/>
        <v>2000</v>
      </c>
      <c r="R200" s="192">
        <f t="shared" si="302"/>
        <v>2000</v>
      </c>
      <c r="S200" s="192">
        <f t="shared" si="302"/>
        <v>2000</v>
      </c>
      <c r="T200" s="192">
        <f t="shared" si="302"/>
        <v>2000</v>
      </c>
      <c r="U200" s="192">
        <f t="shared" ref="U200:W200" si="303">U198-Z200</f>
        <v>378</v>
      </c>
      <c r="V200" s="192">
        <f t="shared" si="303"/>
        <v>149</v>
      </c>
      <c r="W200" s="192">
        <f t="shared" si="303"/>
        <v>101</v>
      </c>
      <c r="X200" s="192">
        <f t="shared" si="279"/>
        <v>129</v>
      </c>
      <c r="Y200" s="192" t="e">
        <f t="shared" si="238"/>
        <v>#REF!</v>
      </c>
      <c r="Z200" s="192">
        <v>6</v>
      </c>
      <c r="AA200" s="192">
        <v>9</v>
      </c>
      <c r="AB200" s="192">
        <v>7</v>
      </c>
      <c r="AC200" s="192">
        <v>8</v>
      </c>
      <c r="AD200" s="192">
        <v>5</v>
      </c>
      <c r="AE200" s="192" t="e">
        <f t="shared" si="239"/>
        <v>#REF!</v>
      </c>
      <c r="AF200" s="192">
        <f t="shared" ref="AF200:AI200" si="304">AF198-AA200</f>
        <v>-480</v>
      </c>
      <c r="AG200" s="192">
        <f t="shared" si="304"/>
        <v>-498</v>
      </c>
      <c r="AH200" s="192">
        <f t="shared" si="304"/>
        <v>-425</v>
      </c>
      <c r="AI200" s="192">
        <f t="shared" si="304"/>
        <v>-239</v>
      </c>
      <c r="AJ200" s="107">
        <f t="shared" si="281"/>
        <v>1.301000000000009</v>
      </c>
      <c r="AK200" s="203"/>
      <c r="AL200" s="203">
        <f t="shared" si="282"/>
        <v>1.2</v>
      </c>
      <c r="AM200" s="262"/>
      <c r="AN200" s="263"/>
    </row>
    <row r="201" spans="1:40" s="68" customFormat="1" ht="17.25" customHeight="1">
      <c r="A201" s="105">
        <v>214</v>
      </c>
      <c r="B201" s="104">
        <f t="shared" si="283"/>
        <v>45766</v>
      </c>
      <c r="C201" s="192">
        <f t="shared" si="264"/>
        <v>1049</v>
      </c>
      <c r="D201" s="192">
        <f t="shared" si="265"/>
        <v>2020</v>
      </c>
      <c r="E201" s="192">
        <f t="shared" si="266"/>
        <v>3069</v>
      </c>
      <c r="F201" s="192">
        <f t="shared" si="267"/>
        <v>691</v>
      </c>
      <c r="G201" s="192">
        <f t="shared" si="268"/>
        <v>917</v>
      </c>
      <c r="H201" s="192">
        <f t="shared" si="269"/>
        <v>969</v>
      </c>
      <c r="I201" s="192">
        <f t="shared" si="270"/>
        <v>937</v>
      </c>
      <c r="J201" s="192" t="e">
        <f t="shared" si="271"/>
        <v>#REF!</v>
      </c>
      <c r="K201" s="192">
        <f t="shared" si="272"/>
        <v>2378</v>
      </c>
      <c r="L201" s="192">
        <f t="shared" si="273"/>
        <v>2152</v>
      </c>
      <c r="M201" s="192">
        <f t="shared" si="274"/>
        <v>2100</v>
      </c>
      <c r="N201" s="192">
        <f t="shared" si="275"/>
        <v>2132</v>
      </c>
      <c r="O201" s="192" t="e">
        <f t="shared" si="276"/>
        <v>#REF!</v>
      </c>
      <c r="P201" s="192">
        <f t="shared" ref="P201:T201" si="305">+P199</f>
        <v>2000</v>
      </c>
      <c r="Q201" s="192">
        <f t="shared" si="305"/>
        <v>2000</v>
      </c>
      <c r="R201" s="192">
        <f t="shared" si="305"/>
        <v>2000</v>
      </c>
      <c r="S201" s="192">
        <f t="shared" si="305"/>
        <v>2000</v>
      </c>
      <c r="T201" s="192">
        <f t="shared" si="305"/>
        <v>2000</v>
      </c>
      <c r="U201" s="192">
        <f t="shared" ref="U201:W201" si="306">U199-Z201</f>
        <v>378</v>
      </c>
      <c r="V201" s="192">
        <f t="shared" si="306"/>
        <v>152</v>
      </c>
      <c r="W201" s="192">
        <f t="shared" si="306"/>
        <v>100</v>
      </c>
      <c r="X201" s="192">
        <f t="shared" si="279"/>
        <v>132</v>
      </c>
      <c r="Y201" s="192" t="e">
        <f t="shared" si="238"/>
        <v>#REF!</v>
      </c>
      <c r="Z201" s="192">
        <v>6</v>
      </c>
      <c r="AA201" s="192">
        <v>8</v>
      </c>
      <c r="AB201" s="192">
        <v>8</v>
      </c>
      <c r="AC201" s="192">
        <v>7</v>
      </c>
      <c r="AD201" s="192">
        <v>8</v>
      </c>
      <c r="AE201" s="192" t="e">
        <f t="shared" si="239"/>
        <v>#REF!</v>
      </c>
      <c r="AF201" s="192">
        <f t="shared" ref="AF201:AI201" si="307">AF199-AA201</f>
        <v>-477</v>
      </c>
      <c r="AG201" s="192">
        <f t="shared" si="307"/>
        <v>-499</v>
      </c>
      <c r="AH201" s="192">
        <f t="shared" si="307"/>
        <v>-422</v>
      </c>
      <c r="AI201" s="192">
        <f t="shared" si="307"/>
        <v>-241</v>
      </c>
      <c r="AJ201" s="107">
        <f t="shared" si="281"/>
        <v>1.3000000000000091</v>
      </c>
      <c r="AK201" s="203"/>
      <c r="AL201" s="203">
        <f t="shared" si="282"/>
        <v>1.2</v>
      </c>
      <c r="AM201" s="262"/>
      <c r="AN201" s="263"/>
    </row>
    <row r="202" spans="1:40" s="68" customFormat="1" ht="17.25" customHeight="1">
      <c r="A202" s="105">
        <v>214</v>
      </c>
      <c r="B202" s="104">
        <f t="shared" si="283"/>
        <v>45767</v>
      </c>
      <c r="C202" s="192">
        <f t="shared" si="264"/>
        <v>1049</v>
      </c>
      <c r="D202" s="192">
        <f t="shared" si="265"/>
        <v>1979</v>
      </c>
      <c r="E202" s="192">
        <f t="shared" si="266"/>
        <v>3028</v>
      </c>
      <c r="F202" s="192">
        <f t="shared" si="267"/>
        <v>654</v>
      </c>
      <c r="G202" s="192">
        <f t="shared" si="268"/>
        <v>887</v>
      </c>
      <c r="H202" s="192">
        <f t="shared" si="269"/>
        <v>936</v>
      </c>
      <c r="I202" s="192">
        <f t="shared" si="270"/>
        <v>907</v>
      </c>
      <c r="J202" s="192" t="e">
        <f t="shared" si="271"/>
        <v>#REF!</v>
      </c>
      <c r="K202" s="192">
        <f t="shared" si="272"/>
        <v>2374</v>
      </c>
      <c r="L202" s="192">
        <f t="shared" si="273"/>
        <v>2141</v>
      </c>
      <c r="M202" s="192">
        <f t="shared" si="274"/>
        <v>2092</v>
      </c>
      <c r="N202" s="192">
        <f t="shared" si="275"/>
        <v>2121</v>
      </c>
      <c r="O202" s="192" t="e">
        <f t="shared" si="276"/>
        <v>#REF!</v>
      </c>
      <c r="P202" s="192">
        <f t="shared" ref="P202:T202" si="308">+P200</f>
        <v>2000</v>
      </c>
      <c r="Q202" s="192">
        <f t="shared" si="308"/>
        <v>2000</v>
      </c>
      <c r="R202" s="192">
        <f t="shared" si="308"/>
        <v>2000</v>
      </c>
      <c r="S202" s="192">
        <f t="shared" si="308"/>
        <v>2000</v>
      </c>
      <c r="T202" s="192">
        <f t="shared" si="308"/>
        <v>2000</v>
      </c>
      <c r="U202" s="192">
        <f t="shared" ref="U202:W202" si="309">U200-Z202</f>
        <v>374</v>
      </c>
      <c r="V202" s="192">
        <f t="shared" si="309"/>
        <v>141</v>
      </c>
      <c r="W202" s="192">
        <f t="shared" si="309"/>
        <v>92</v>
      </c>
      <c r="X202" s="192">
        <f t="shared" si="279"/>
        <v>121</v>
      </c>
      <c r="Y202" s="192" t="e">
        <f t="shared" si="238"/>
        <v>#REF!</v>
      </c>
      <c r="Z202" s="192">
        <v>4</v>
      </c>
      <c r="AA202" s="192">
        <v>8</v>
      </c>
      <c r="AB202" s="192">
        <v>9</v>
      </c>
      <c r="AC202" s="192">
        <v>8</v>
      </c>
      <c r="AD202" s="192">
        <v>8</v>
      </c>
      <c r="AE202" s="192" t="e">
        <f t="shared" si="239"/>
        <v>#REF!</v>
      </c>
      <c r="AF202" s="192">
        <f t="shared" ref="AF202:AI202" si="310">AF200-AA202</f>
        <v>-488</v>
      </c>
      <c r="AG202" s="192">
        <f t="shared" si="310"/>
        <v>-507</v>
      </c>
      <c r="AH202" s="192">
        <f t="shared" si="310"/>
        <v>-433</v>
      </c>
      <c r="AI202" s="192">
        <f t="shared" si="310"/>
        <v>-247</v>
      </c>
      <c r="AJ202" s="107">
        <f t="shared" si="281"/>
        <v>1.2920000000000091</v>
      </c>
      <c r="AK202" s="203"/>
      <c r="AL202" s="203">
        <f t="shared" si="282"/>
        <v>1.2</v>
      </c>
      <c r="AM202" s="262"/>
      <c r="AN202" s="263"/>
    </row>
    <row r="203" spans="1:40" s="68" customFormat="1" ht="17.25" customHeight="1">
      <c r="A203" s="105">
        <v>214</v>
      </c>
      <c r="B203" s="104">
        <f t="shared" si="283"/>
        <v>45768</v>
      </c>
      <c r="C203" s="192">
        <f t="shared" si="264"/>
        <v>1049</v>
      </c>
      <c r="D203" s="192">
        <f t="shared" si="265"/>
        <v>1994</v>
      </c>
      <c r="E203" s="192">
        <f t="shared" si="266"/>
        <v>3043</v>
      </c>
      <c r="F203" s="192">
        <f t="shared" si="267"/>
        <v>668</v>
      </c>
      <c r="G203" s="192">
        <f t="shared" si="268"/>
        <v>897</v>
      </c>
      <c r="H203" s="192">
        <f t="shared" si="269"/>
        <v>951</v>
      </c>
      <c r="I203" s="192">
        <f t="shared" si="270"/>
        <v>918</v>
      </c>
      <c r="J203" s="192" t="e">
        <f t="shared" si="271"/>
        <v>#REF!</v>
      </c>
      <c r="K203" s="192">
        <f t="shared" si="272"/>
        <v>2375</v>
      </c>
      <c r="L203" s="192">
        <f t="shared" si="273"/>
        <v>2146</v>
      </c>
      <c r="M203" s="192">
        <f t="shared" si="274"/>
        <v>2092</v>
      </c>
      <c r="N203" s="192">
        <f t="shared" si="275"/>
        <v>2125</v>
      </c>
      <c r="O203" s="192" t="e">
        <f t="shared" si="276"/>
        <v>#REF!</v>
      </c>
      <c r="P203" s="192">
        <f t="shared" ref="P203:T203" si="311">+P201</f>
        <v>2000</v>
      </c>
      <c r="Q203" s="192">
        <f t="shared" si="311"/>
        <v>2000</v>
      </c>
      <c r="R203" s="192">
        <f t="shared" si="311"/>
        <v>2000</v>
      </c>
      <c r="S203" s="192">
        <f t="shared" si="311"/>
        <v>2000</v>
      </c>
      <c r="T203" s="192">
        <f t="shared" si="311"/>
        <v>2000</v>
      </c>
      <c r="U203" s="192">
        <f t="shared" ref="U203:W203" si="312">U201-Z203</f>
        <v>375</v>
      </c>
      <c r="V203" s="192">
        <f t="shared" si="312"/>
        <v>146</v>
      </c>
      <c r="W203" s="192">
        <f t="shared" si="312"/>
        <v>92</v>
      </c>
      <c r="X203" s="192">
        <f t="shared" si="279"/>
        <v>125</v>
      </c>
      <c r="Y203" s="192" t="e">
        <f t="shared" si="238"/>
        <v>#REF!</v>
      </c>
      <c r="Z203" s="192">
        <v>3</v>
      </c>
      <c r="AA203" s="192">
        <v>6</v>
      </c>
      <c r="AB203" s="192">
        <v>8</v>
      </c>
      <c r="AC203" s="192">
        <v>7</v>
      </c>
      <c r="AD203" s="192">
        <v>8</v>
      </c>
      <c r="AE203" s="192" t="e">
        <f t="shared" si="239"/>
        <v>#REF!</v>
      </c>
      <c r="AF203" s="192">
        <f t="shared" ref="AF203:AI203" si="313">AF201-AA203</f>
        <v>-483</v>
      </c>
      <c r="AG203" s="192">
        <f t="shared" si="313"/>
        <v>-507</v>
      </c>
      <c r="AH203" s="192">
        <f t="shared" si="313"/>
        <v>-429</v>
      </c>
      <c r="AI203" s="192">
        <f t="shared" si="313"/>
        <v>-249</v>
      </c>
      <c r="AJ203" s="107">
        <f t="shared" si="281"/>
        <v>1.2920000000000091</v>
      </c>
      <c r="AK203" s="203"/>
      <c r="AL203" s="203">
        <f t="shared" si="282"/>
        <v>1.2</v>
      </c>
      <c r="AM203" s="262"/>
      <c r="AN203" s="263"/>
    </row>
    <row r="204" spans="1:40" s="68" customFormat="1" ht="17.25" customHeight="1">
      <c r="A204" s="105">
        <v>214</v>
      </c>
      <c r="B204" s="104">
        <f t="shared" si="283"/>
        <v>45769</v>
      </c>
      <c r="C204" s="192">
        <f t="shared" si="264"/>
        <v>1049</v>
      </c>
      <c r="D204" s="192">
        <f t="shared" si="265"/>
        <v>1953</v>
      </c>
      <c r="E204" s="192">
        <f t="shared" si="266"/>
        <v>3002</v>
      </c>
      <c r="F204" s="192">
        <f t="shared" si="267"/>
        <v>632</v>
      </c>
      <c r="G204" s="192">
        <f t="shared" si="268"/>
        <v>869</v>
      </c>
      <c r="H204" s="192">
        <f t="shared" si="269"/>
        <v>918</v>
      </c>
      <c r="I204" s="192">
        <f t="shared" si="270"/>
        <v>888</v>
      </c>
      <c r="J204" s="192" t="e">
        <f t="shared" si="271"/>
        <v>#REF!</v>
      </c>
      <c r="K204" s="192">
        <f t="shared" si="272"/>
        <v>2370</v>
      </c>
      <c r="L204" s="192">
        <f t="shared" si="273"/>
        <v>2133</v>
      </c>
      <c r="M204" s="192">
        <f t="shared" si="274"/>
        <v>2084</v>
      </c>
      <c r="N204" s="192">
        <f t="shared" si="275"/>
        <v>2114</v>
      </c>
      <c r="O204" s="192" t="e">
        <f t="shared" si="276"/>
        <v>#REF!</v>
      </c>
      <c r="P204" s="192">
        <f t="shared" ref="P204:T204" si="314">+P202</f>
        <v>2000</v>
      </c>
      <c r="Q204" s="192">
        <f t="shared" si="314"/>
        <v>2000</v>
      </c>
      <c r="R204" s="192">
        <f t="shared" si="314"/>
        <v>2000</v>
      </c>
      <c r="S204" s="192">
        <f t="shared" si="314"/>
        <v>2000</v>
      </c>
      <c r="T204" s="192">
        <f t="shared" si="314"/>
        <v>2000</v>
      </c>
      <c r="U204" s="192">
        <f t="shared" ref="U204:W204" si="315">U202-Z204</f>
        <v>370</v>
      </c>
      <c r="V204" s="192">
        <f t="shared" si="315"/>
        <v>133</v>
      </c>
      <c r="W204" s="192">
        <f t="shared" si="315"/>
        <v>84</v>
      </c>
      <c r="X204" s="192">
        <f t="shared" si="279"/>
        <v>114</v>
      </c>
      <c r="Y204" s="192" t="e">
        <f t="shared" si="238"/>
        <v>#REF!</v>
      </c>
      <c r="Z204" s="192">
        <v>4</v>
      </c>
      <c r="AA204" s="192">
        <v>8</v>
      </c>
      <c r="AB204" s="192">
        <v>8</v>
      </c>
      <c r="AC204" s="192">
        <v>7</v>
      </c>
      <c r="AD204" s="192">
        <v>7</v>
      </c>
      <c r="AE204" s="192" t="e">
        <f t="shared" si="239"/>
        <v>#REF!</v>
      </c>
      <c r="AF204" s="192">
        <f t="shared" ref="AF204:AI204" si="316">AF202-AA204</f>
        <v>-496</v>
      </c>
      <c r="AG204" s="192">
        <f t="shared" si="316"/>
        <v>-515</v>
      </c>
      <c r="AH204" s="192">
        <f t="shared" si="316"/>
        <v>-440</v>
      </c>
      <c r="AI204" s="192">
        <f t="shared" si="316"/>
        <v>-254</v>
      </c>
      <c r="AJ204" s="107">
        <f t="shared" si="281"/>
        <v>1.2840000000000091</v>
      </c>
      <c r="AK204" s="203"/>
      <c r="AL204" s="203">
        <f t="shared" si="282"/>
        <v>1.2</v>
      </c>
      <c r="AM204" s="262"/>
      <c r="AN204" s="263"/>
    </row>
    <row r="205" spans="1:40" s="68" customFormat="1" ht="17.25" customHeight="1">
      <c r="A205" s="105">
        <v>214</v>
      </c>
      <c r="B205" s="104">
        <f t="shared" si="283"/>
        <v>45770</v>
      </c>
      <c r="C205" s="192">
        <f t="shared" si="264"/>
        <v>1049</v>
      </c>
      <c r="D205" s="192">
        <f t="shared" si="265"/>
        <v>1968</v>
      </c>
      <c r="E205" s="192">
        <f t="shared" si="266"/>
        <v>3017</v>
      </c>
      <c r="F205" s="192">
        <f t="shared" si="267"/>
        <v>645</v>
      </c>
      <c r="G205" s="192">
        <f t="shared" si="268"/>
        <v>878</v>
      </c>
      <c r="H205" s="192">
        <f t="shared" si="269"/>
        <v>933</v>
      </c>
      <c r="I205" s="192">
        <f t="shared" si="270"/>
        <v>898</v>
      </c>
      <c r="J205" s="192" t="e">
        <f t="shared" si="271"/>
        <v>#REF!</v>
      </c>
      <c r="K205" s="192">
        <f t="shared" si="272"/>
        <v>2372</v>
      </c>
      <c r="L205" s="192">
        <f t="shared" si="273"/>
        <v>2139</v>
      </c>
      <c r="M205" s="192">
        <f t="shared" si="274"/>
        <v>2084</v>
      </c>
      <c r="N205" s="192">
        <f t="shared" si="275"/>
        <v>2119</v>
      </c>
      <c r="O205" s="192" t="e">
        <f t="shared" si="276"/>
        <v>#REF!</v>
      </c>
      <c r="P205" s="192">
        <f t="shared" ref="P205:T205" si="317">+P203</f>
        <v>2000</v>
      </c>
      <c r="Q205" s="192">
        <f t="shared" si="317"/>
        <v>2000</v>
      </c>
      <c r="R205" s="192">
        <f t="shared" si="317"/>
        <v>2000</v>
      </c>
      <c r="S205" s="192">
        <f t="shared" si="317"/>
        <v>2000</v>
      </c>
      <c r="T205" s="192">
        <f t="shared" si="317"/>
        <v>2000</v>
      </c>
      <c r="U205" s="192">
        <f t="shared" ref="U205:W205" si="318">U203-Z205</f>
        <v>372</v>
      </c>
      <c r="V205" s="192">
        <f t="shared" si="318"/>
        <v>139</v>
      </c>
      <c r="W205" s="192">
        <f t="shared" si="318"/>
        <v>84</v>
      </c>
      <c r="X205" s="192">
        <f t="shared" si="279"/>
        <v>119</v>
      </c>
      <c r="Y205" s="192" t="e">
        <f t="shared" ref="Y205:Y213" si="319">Y204-AD205</f>
        <v>#REF!</v>
      </c>
      <c r="Z205" s="192">
        <v>3</v>
      </c>
      <c r="AA205" s="192">
        <v>7</v>
      </c>
      <c r="AB205" s="192">
        <v>8</v>
      </c>
      <c r="AC205" s="192">
        <v>6</v>
      </c>
      <c r="AD205" s="192">
        <v>7</v>
      </c>
      <c r="AE205" s="192" t="e">
        <f t="shared" ref="AE205:AE213" si="320">AE204-Z205</f>
        <v>#REF!</v>
      </c>
      <c r="AF205" s="192">
        <f t="shared" ref="AF205:AI205" si="321">AF203-AA205</f>
        <v>-490</v>
      </c>
      <c r="AG205" s="192">
        <f t="shared" si="321"/>
        <v>-515</v>
      </c>
      <c r="AH205" s="192">
        <f t="shared" si="321"/>
        <v>-435</v>
      </c>
      <c r="AI205" s="192">
        <f t="shared" si="321"/>
        <v>-256</v>
      </c>
      <c r="AJ205" s="107">
        <f t="shared" si="281"/>
        <v>1.2840000000000091</v>
      </c>
      <c r="AK205" s="203"/>
      <c r="AL205" s="203">
        <f t="shared" si="282"/>
        <v>1.2</v>
      </c>
      <c r="AM205" s="262"/>
      <c r="AN205" s="263"/>
    </row>
    <row r="206" spans="1:40" s="68" customFormat="1" ht="17.25" customHeight="1">
      <c r="A206" s="105">
        <v>214</v>
      </c>
      <c r="B206" s="104">
        <f t="shared" si="283"/>
        <v>45771</v>
      </c>
      <c r="C206" s="192">
        <f t="shared" si="264"/>
        <v>1049</v>
      </c>
      <c r="D206" s="192">
        <f t="shared" si="265"/>
        <v>1927</v>
      </c>
      <c r="E206" s="192">
        <f t="shared" si="266"/>
        <v>2976</v>
      </c>
      <c r="F206" s="192">
        <f t="shared" si="267"/>
        <v>613</v>
      </c>
      <c r="G206" s="192">
        <f t="shared" si="268"/>
        <v>850</v>
      </c>
      <c r="H206" s="192">
        <f t="shared" si="269"/>
        <v>901</v>
      </c>
      <c r="I206" s="192">
        <f t="shared" si="270"/>
        <v>869</v>
      </c>
      <c r="J206" s="192" t="e">
        <f t="shared" si="271"/>
        <v>#REF!</v>
      </c>
      <c r="K206" s="192">
        <f t="shared" si="272"/>
        <v>2363</v>
      </c>
      <c r="L206" s="192">
        <f t="shared" si="273"/>
        <v>2126</v>
      </c>
      <c r="M206" s="192">
        <f t="shared" si="274"/>
        <v>2075</v>
      </c>
      <c r="N206" s="192">
        <f t="shared" si="275"/>
        <v>2107</v>
      </c>
      <c r="O206" s="192" t="e">
        <f t="shared" si="276"/>
        <v>#REF!</v>
      </c>
      <c r="P206" s="192">
        <f t="shared" ref="P206:T206" si="322">+P204</f>
        <v>2000</v>
      </c>
      <c r="Q206" s="192">
        <f t="shared" si="322"/>
        <v>2000</v>
      </c>
      <c r="R206" s="192">
        <f t="shared" si="322"/>
        <v>2000</v>
      </c>
      <c r="S206" s="192">
        <f t="shared" si="322"/>
        <v>2000</v>
      </c>
      <c r="T206" s="192">
        <f t="shared" si="322"/>
        <v>2000</v>
      </c>
      <c r="U206" s="192">
        <f t="shared" ref="U206:W206" si="323">U204-Z206</f>
        <v>363</v>
      </c>
      <c r="V206" s="192">
        <f t="shared" si="323"/>
        <v>126</v>
      </c>
      <c r="W206" s="192">
        <f t="shared" si="323"/>
        <v>75</v>
      </c>
      <c r="X206" s="192">
        <f t="shared" si="279"/>
        <v>107</v>
      </c>
      <c r="Y206" s="192" t="e">
        <f t="shared" si="319"/>
        <v>#REF!</v>
      </c>
      <c r="Z206" s="192">
        <v>7</v>
      </c>
      <c r="AA206" s="192">
        <v>7</v>
      </c>
      <c r="AB206" s="192">
        <v>9</v>
      </c>
      <c r="AC206" s="192">
        <v>7</v>
      </c>
      <c r="AD206" s="192">
        <v>7</v>
      </c>
      <c r="AE206" s="192" t="e">
        <f t="shared" si="320"/>
        <v>#REF!</v>
      </c>
      <c r="AF206" s="192">
        <f t="shared" ref="AF206:AI206" si="324">AF204-AA206</f>
        <v>-503</v>
      </c>
      <c r="AG206" s="192">
        <f t="shared" si="324"/>
        <v>-524</v>
      </c>
      <c r="AH206" s="192">
        <f t="shared" si="324"/>
        <v>-447</v>
      </c>
      <c r="AI206" s="192">
        <f t="shared" si="324"/>
        <v>-261</v>
      </c>
      <c r="AJ206" s="107">
        <f t="shared" si="281"/>
        <v>1.2750000000000092</v>
      </c>
      <c r="AK206" s="203"/>
      <c r="AL206" s="203">
        <f t="shared" si="282"/>
        <v>1.2</v>
      </c>
      <c r="AM206" s="262"/>
      <c r="AN206" s="263"/>
    </row>
    <row r="207" spans="1:40" s="68" customFormat="1" ht="17.25" customHeight="1">
      <c r="A207" s="105">
        <v>214</v>
      </c>
      <c r="B207" s="104">
        <f t="shared" si="283"/>
        <v>45772</v>
      </c>
      <c r="C207" s="192">
        <f t="shared" si="264"/>
        <v>1049</v>
      </c>
      <c r="D207" s="192">
        <f t="shared" si="265"/>
        <v>1942</v>
      </c>
      <c r="E207" s="192">
        <f t="shared" si="266"/>
        <v>2991</v>
      </c>
      <c r="F207" s="192">
        <f t="shared" si="267"/>
        <v>625</v>
      </c>
      <c r="G207" s="192">
        <f t="shared" si="268"/>
        <v>860</v>
      </c>
      <c r="H207" s="192">
        <f t="shared" si="269"/>
        <v>915</v>
      </c>
      <c r="I207" s="192">
        <f t="shared" si="270"/>
        <v>878</v>
      </c>
      <c r="J207" s="192" t="e">
        <f t="shared" si="271"/>
        <v>#REF!</v>
      </c>
      <c r="K207" s="192">
        <f t="shared" si="272"/>
        <v>2366</v>
      </c>
      <c r="L207" s="192">
        <f t="shared" si="273"/>
        <v>2131</v>
      </c>
      <c r="M207" s="192">
        <f t="shared" si="274"/>
        <v>2076</v>
      </c>
      <c r="N207" s="192">
        <f t="shared" si="275"/>
        <v>2113</v>
      </c>
      <c r="O207" s="192" t="e">
        <f t="shared" si="276"/>
        <v>#REF!</v>
      </c>
      <c r="P207" s="192">
        <f t="shared" ref="P207:T207" si="325">+P205</f>
        <v>2000</v>
      </c>
      <c r="Q207" s="192">
        <f t="shared" si="325"/>
        <v>2000</v>
      </c>
      <c r="R207" s="192">
        <f t="shared" si="325"/>
        <v>2000</v>
      </c>
      <c r="S207" s="192">
        <f t="shared" si="325"/>
        <v>2000</v>
      </c>
      <c r="T207" s="192">
        <f t="shared" si="325"/>
        <v>2000</v>
      </c>
      <c r="U207" s="192">
        <f t="shared" ref="U207:W207" si="326">U205-Z207</f>
        <v>366</v>
      </c>
      <c r="V207" s="192">
        <f t="shared" si="326"/>
        <v>131</v>
      </c>
      <c r="W207" s="192">
        <f t="shared" si="326"/>
        <v>76</v>
      </c>
      <c r="X207" s="192">
        <f t="shared" si="279"/>
        <v>113</v>
      </c>
      <c r="Y207" s="192" t="e">
        <f t="shared" si="319"/>
        <v>#REF!</v>
      </c>
      <c r="Z207" s="192">
        <v>6</v>
      </c>
      <c r="AA207" s="192">
        <v>8</v>
      </c>
      <c r="AB207" s="192">
        <v>8</v>
      </c>
      <c r="AC207" s="192">
        <v>6</v>
      </c>
      <c r="AD207" s="192">
        <v>6</v>
      </c>
      <c r="AE207" s="192" t="e">
        <f t="shared" si="320"/>
        <v>#REF!</v>
      </c>
      <c r="AF207" s="192">
        <f t="shared" ref="AF207:AI207" si="327">AF205-AA207</f>
        <v>-498</v>
      </c>
      <c r="AG207" s="192">
        <f t="shared" si="327"/>
        <v>-523</v>
      </c>
      <c r="AH207" s="192">
        <f t="shared" si="327"/>
        <v>-441</v>
      </c>
      <c r="AI207" s="192">
        <f t="shared" si="327"/>
        <v>-262</v>
      </c>
      <c r="AJ207" s="107">
        <f t="shared" si="281"/>
        <v>1.2760000000000091</v>
      </c>
      <c r="AK207" s="203"/>
      <c r="AL207" s="203">
        <f t="shared" si="282"/>
        <v>1.2</v>
      </c>
      <c r="AM207" s="262"/>
      <c r="AN207" s="263"/>
    </row>
    <row r="208" spans="1:40" s="68" customFormat="1" ht="17.25" customHeight="1">
      <c r="A208" s="105">
        <v>214</v>
      </c>
      <c r="B208" s="104">
        <f t="shared" si="283"/>
        <v>45773</v>
      </c>
      <c r="C208" s="192">
        <f t="shared" si="264"/>
        <v>1049</v>
      </c>
      <c r="D208" s="192">
        <f t="shared" si="265"/>
        <v>1901</v>
      </c>
      <c r="E208" s="192">
        <f t="shared" si="266"/>
        <v>2950</v>
      </c>
      <c r="F208" s="192">
        <f t="shared" si="267"/>
        <v>592</v>
      </c>
      <c r="G208" s="192">
        <f t="shared" si="268"/>
        <v>832</v>
      </c>
      <c r="H208" s="192">
        <f t="shared" si="269"/>
        <v>884</v>
      </c>
      <c r="I208" s="192">
        <f t="shared" si="270"/>
        <v>850</v>
      </c>
      <c r="J208" s="192" t="e">
        <f t="shared" si="271"/>
        <v>#REF!</v>
      </c>
      <c r="K208" s="192">
        <f t="shared" si="272"/>
        <v>2358</v>
      </c>
      <c r="L208" s="192">
        <f t="shared" si="273"/>
        <v>2118</v>
      </c>
      <c r="M208" s="192">
        <f t="shared" si="274"/>
        <v>2066</v>
      </c>
      <c r="N208" s="192">
        <f t="shared" si="275"/>
        <v>2100</v>
      </c>
      <c r="O208" s="192" t="e">
        <f t="shared" si="276"/>
        <v>#REF!</v>
      </c>
      <c r="P208" s="192">
        <f t="shared" ref="P208:T208" si="328">+P206</f>
        <v>2000</v>
      </c>
      <c r="Q208" s="192">
        <f t="shared" si="328"/>
        <v>2000</v>
      </c>
      <c r="R208" s="192">
        <f t="shared" si="328"/>
        <v>2000</v>
      </c>
      <c r="S208" s="192">
        <f t="shared" si="328"/>
        <v>2000</v>
      </c>
      <c r="T208" s="192">
        <f t="shared" si="328"/>
        <v>2000</v>
      </c>
      <c r="U208" s="192">
        <f t="shared" ref="U208:W208" si="329">U206-Z208</f>
        <v>358</v>
      </c>
      <c r="V208" s="192">
        <f t="shared" si="329"/>
        <v>118</v>
      </c>
      <c r="W208" s="192">
        <f t="shared" si="329"/>
        <v>66</v>
      </c>
      <c r="X208" s="192">
        <f t="shared" si="279"/>
        <v>100</v>
      </c>
      <c r="Y208" s="192" t="e">
        <f t="shared" si="319"/>
        <v>#REF!</v>
      </c>
      <c r="Z208" s="192">
        <v>5</v>
      </c>
      <c r="AA208" s="192">
        <v>8</v>
      </c>
      <c r="AB208" s="192">
        <v>9</v>
      </c>
      <c r="AC208" s="192">
        <v>7</v>
      </c>
      <c r="AD208" s="192">
        <v>6</v>
      </c>
      <c r="AE208" s="192" t="e">
        <f t="shared" si="320"/>
        <v>#REF!</v>
      </c>
      <c r="AF208" s="192">
        <f t="shared" ref="AF208:AI208" si="330">AF206-AA208</f>
        <v>-511</v>
      </c>
      <c r="AG208" s="192">
        <f t="shared" si="330"/>
        <v>-533</v>
      </c>
      <c r="AH208" s="192">
        <f t="shared" si="330"/>
        <v>-454</v>
      </c>
      <c r="AI208" s="192">
        <f t="shared" si="330"/>
        <v>-267</v>
      </c>
      <c r="AJ208" s="107">
        <f t="shared" si="281"/>
        <v>1.2660000000000093</v>
      </c>
      <c r="AK208" s="203"/>
      <c r="AL208" s="203">
        <f t="shared" si="282"/>
        <v>1.2</v>
      </c>
      <c r="AM208" s="262"/>
      <c r="AN208" s="263"/>
    </row>
    <row r="209" spans="1:40" s="68" customFormat="1" ht="17.25" customHeight="1">
      <c r="A209" s="105">
        <v>214</v>
      </c>
      <c r="B209" s="104">
        <f t="shared" si="283"/>
        <v>45774</v>
      </c>
      <c r="C209" s="192">
        <f t="shared" si="264"/>
        <v>1049</v>
      </c>
      <c r="D209" s="192">
        <f t="shared" si="265"/>
        <v>1916</v>
      </c>
      <c r="E209" s="192">
        <f t="shared" si="266"/>
        <v>2965</v>
      </c>
      <c r="F209" s="192">
        <f t="shared" si="267"/>
        <v>607</v>
      </c>
      <c r="G209" s="192">
        <f t="shared" si="268"/>
        <v>841</v>
      </c>
      <c r="H209" s="192">
        <f t="shared" si="269"/>
        <v>896</v>
      </c>
      <c r="I209" s="192">
        <f t="shared" si="270"/>
        <v>857</v>
      </c>
      <c r="J209" s="192" t="e">
        <f t="shared" si="271"/>
        <v>#REF!</v>
      </c>
      <c r="K209" s="192">
        <f t="shared" si="272"/>
        <v>2358</v>
      </c>
      <c r="L209" s="192">
        <f t="shared" si="273"/>
        <v>2124</v>
      </c>
      <c r="M209" s="192">
        <f t="shared" si="274"/>
        <v>2069</v>
      </c>
      <c r="N209" s="192">
        <f t="shared" si="275"/>
        <v>2108</v>
      </c>
      <c r="O209" s="192" t="e">
        <f t="shared" si="276"/>
        <v>#REF!</v>
      </c>
      <c r="P209" s="192">
        <f t="shared" ref="P209:T209" si="331">+P207</f>
        <v>2000</v>
      </c>
      <c r="Q209" s="192">
        <f t="shared" si="331"/>
        <v>2000</v>
      </c>
      <c r="R209" s="192">
        <f t="shared" si="331"/>
        <v>2000</v>
      </c>
      <c r="S209" s="192">
        <f t="shared" si="331"/>
        <v>2000</v>
      </c>
      <c r="T209" s="192">
        <f t="shared" si="331"/>
        <v>2000</v>
      </c>
      <c r="U209" s="192">
        <f t="shared" ref="U209:W209" si="332">U207-Z209</f>
        <v>358</v>
      </c>
      <c r="V209" s="192">
        <f t="shared" si="332"/>
        <v>124</v>
      </c>
      <c r="W209" s="192">
        <f t="shared" si="332"/>
        <v>69</v>
      </c>
      <c r="X209" s="192">
        <f t="shared" si="279"/>
        <v>108</v>
      </c>
      <c r="Y209" s="192" t="e">
        <f t="shared" si="319"/>
        <v>#REF!</v>
      </c>
      <c r="Z209" s="192">
        <v>8</v>
      </c>
      <c r="AA209" s="192">
        <v>7</v>
      </c>
      <c r="AB209" s="192">
        <v>7</v>
      </c>
      <c r="AC209" s="192">
        <v>5</v>
      </c>
      <c r="AD209" s="192">
        <v>6</v>
      </c>
      <c r="AE209" s="192" t="e">
        <f t="shared" si="320"/>
        <v>#REF!</v>
      </c>
      <c r="AF209" s="192">
        <f t="shared" ref="AF209:AI209" si="333">AF207-AA209</f>
        <v>-505</v>
      </c>
      <c r="AG209" s="192">
        <f t="shared" si="333"/>
        <v>-530</v>
      </c>
      <c r="AH209" s="192">
        <f t="shared" si="333"/>
        <v>-446</v>
      </c>
      <c r="AI209" s="192">
        <f t="shared" si="333"/>
        <v>-268</v>
      </c>
      <c r="AJ209" s="107">
        <f t="shared" si="281"/>
        <v>1.2690000000000092</v>
      </c>
      <c r="AK209" s="203"/>
      <c r="AL209" s="203">
        <f t="shared" si="282"/>
        <v>1.2</v>
      </c>
      <c r="AM209" s="262"/>
      <c r="AN209" s="263"/>
    </row>
    <row r="210" spans="1:40" s="68" customFormat="1" ht="17.25" customHeight="1">
      <c r="A210" s="105">
        <v>214</v>
      </c>
      <c r="B210" s="104">
        <f t="shared" si="283"/>
        <v>45775</v>
      </c>
      <c r="C210" s="192">
        <f t="shared" si="264"/>
        <v>1049</v>
      </c>
      <c r="D210" s="192">
        <f t="shared" si="265"/>
        <v>1875</v>
      </c>
      <c r="E210" s="192">
        <f t="shared" si="266"/>
        <v>2924</v>
      </c>
      <c r="F210" s="192">
        <f t="shared" si="267"/>
        <v>571</v>
      </c>
      <c r="G210" s="192">
        <f t="shared" si="268"/>
        <v>813</v>
      </c>
      <c r="H210" s="192">
        <f t="shared" si="269"/>
        <v>865</v>
      </c>
      <c r="I210" s="192">
        <f t="shared" si="270"/>
        <v>830</v>
      </c>
      <c r="J210" s="192" t="e">
        <f t="shared" si="271"/>
        <v>#REF!</v>
      </c>
      <c r="K210" s="192">
        <f t="shared" si="272"/>
        <v>2353</v>
      </c>
      <c r="L210" s="192">
        <f t="shared" si="273"/>
        <v>2111</v>
      </c>
      <c r="M210" s="192">
        <f t="shared" si="274"/>
        <v>2059</v>
      </c>
      <c r="N210" s="192">
        <f t="shared" si="275"/>
        <v>2094</v>
      </c>
      <c r="O210" s="192" t="e">
        <f t="shared" si="276"/>
        <v>#REF!</v>
      </c>
      <c r="P210" s="192">
        <f t="shared" ref="P210:T210" si="334">+P208</f>
        <v>2000</v>
      </c>
      <c r="Q210" s="192">
        <f t="shared" si="334"/>
        <v>2000</v>
      </c>
      <c r="R210" s="192">
        <f t="shared" si="334"/>
        <v>2000</v>
      </c>
      <c r="S210" s="192">
        <f t="shared" si="334"/>
        <v>2000</v>
      </c>
      <c r="T210" s="192">
        <f t="shared" si="334"/>
        <v>2000</v>
      </c>
      <c r="U210" s="192">
        <f t="shared" ref="U210:W210" si="335">U208-Z210</f>
        <v>353</v>
      </c>
      <c r="V210" s="192">
        <f t="shared" si="335"/>
        <v>111</v>
      </c>
      <c r="W210" s="192">
        <f t="shared" si="335"/>
        <v>59</v>
      </c>
      <c r="X210" s="192">
        <f t="shared" si="279"/>
        <v>94</v>
      </c>
      <c r="Y210" s="192" t="e">
        <f t="shared" si="319"/>
        <v>#REF!</v>
      </c>
      <c r="Z210" s="192">
        <v>5</v>
      </c>
      <c r="AA210" s="192">
        <v>7</v>
      </c>
      <c r="AB210" s="192">
        <v>7</v>
      </c>
      <c r="AC210" s="192">
        <v>6</v>
      </c>
      <c r="AD210" s="192">
        <v>6</v>
      </c>
      <c r="AE210" s="192" t="e">
        <f t="shared" si="320"/>
        <v>#REF!</v>
      </c>
      <c r="AF210" s="192">
        <f t="shared" ref="AF210:AI210" si="336">AF208-AA210</f>
        <v>-518</v>
      </c>
      <c r="AG210" s="192">
        <f t="shared" si="336"/>
        <v>-540</v>
      </c>
      <c r="AH210" s="192">
        <f t="shared" si="336"/>
        <v>-460</v>
      </c>
      <c r="AI210" s="192">
        <f t="shared" si="336"/>
        <v>-273</v>
      </c>
      <c r="AJ210" s="107">
        <f t="shared" si="281"/>
        <v>1.2590000000000094</v>
      </c>
      <c r="AK210" s="203"/>
      <c r="AL210" s="203">
        <f t="shared" si="282"/>
        <v>1.2</v>
      </c>
      <c r="AM210" s="262"/>
      <c r="AN210" s="263"/>
    </row>
    <row r="211" spans="1:40" s="68" customFormat="1" ht="17.25" customHeight="1">
      <c r="A211" s="105">
        <v>214</v>
      </c>
      <c r="B211" s="104">
        <f t="shared" si="283"/>
        <v>45776</v>
      </c>
      <c r="C211" s="192">
        <f t="shared" si="264"/>
        <v>1049</v>
      </c>
      <c r="D211" s="192">
        <f t="shared" si="265"/>
        <v>1890</v>
      </c>
      <c r="E211" s="192">
        <f t="shared" si="266"/>
        <v>2939</v>
      </c>
      <c r="F211" s="192">
        <f t="shared" si="267"/>
        <v>588</v>
      </c>
      <c r="G211" s="192">
        <f t="shared" si="268"/>
        <v>822</v>
      </c>
      <c r="H211" s="192">
        <f t="shared" si="269"/>
        <v>878</v>
      </c>
      <c r="I211" s="192">
        <f t="shared" si="270"/>
        <v>837</v>
      </c>
      <c r="J211" s="192" t="e">
        <f t="shared" si="271"/>
        <v>#REF!</v>
      </c>
      <c r="K211" s="192">
        <f t="shared" si="272"/>
        <v>2351</v>
      </c>
      <c r="L211" s="192">
        <f t="shared" si="273"/>
        <v>2117</v>
      </c>
      <c r="M211" s="192">
        <f t="shared" si="274"/>
        <v>2061</v>
      </c>
      <c r="N211" s="192">
        <f t="shared" si="275"/>
        <v>2102</v>
      </c>
      <c r="O211" s="192" t="e">
        <f t="shared" si="276"/>
        <v>#REF!</v>
      </c>
      <c r="P211" s="192">
        <f t="shared" ref="P211:T211" si="337">+P209</f>
        <v>2000</v>
      </c>
      <c r="Q211" s="192">
        <f t="shared" si="337"/>
        <v>2000</v>
      </c>
      <c r="R211" s="192">
        <f t="shared" si="337"/>
        <v>2000</v>
      </c>
      <c r="S211" s="192">
        <f t="shared" si="337"/>
        <v>2000</v>
      </c>
      <c r="T211" s="192">
        <f t="shared" si="337"/>
        <v>2000</v>
      </c>
      <c r="U211" s="192">
        <f t="shared" ref="U211:W211" si="338">U209-Z211</f>
        <v>351</v>
      </c>
      <c r="V211" s="192">
        <f t="shared" si="338"/>
        <v>117</v>
      </c>
      <c r="W211" s="192">
        <f t="shared" si="338"/>
        <v>61</v>
      </c>
      <c r="X211" s="192">
        <f t="shared" si="279"/>
        <v>102</v>
      </c>
      <c r="Y211" s="192" t="e">
        <f t="shared" si="319"/>
        <v>#REF!</v>
      </c>
      <c r="Z211" s="192">
        <v>7</v>
      </c>
      <c r="AA211" s="192">
        <v>7</v>
      </c>
      <c r="AB211" s="192">
        <v>8</v>
      </c>
      <c r="AC211" s="192">
        <v>6</v>
      </c>
      <c r="AD211" s="192">
        <v>5</v>
      </c>
      <c r="AE211" s="192" t="e">
        <f t="shared" si="320"/>
        <v>#REF!</v>
      </c>
      <c r="AF211" s="192">
        <f t="shared" ref="AF211:AI211" si="339">AF209-AA211</f>
        <v>-512</v>
      </c>
      <c r="AG211" s="192">
        <f t="shared" si="339"/>
        <v>-538</v>
      </c>
      <c r="AH211" s="192">
        <f t="shared" si="339"/>
        <v>-452</v>
      </c>
      <c r="AI211" s="192">
        <f t="shared" si="339"/>
        <v>-273</v>
      </c>
      <c r="AJ211" s="107">
        <f t="shared" si="281"/>
        <v>1.2610000000000092</v>
      </c>
      <c r="AK211" s="203"/>
      <c r="AL211" s="203">
        <f t="shared" si="282"/>
        <v>1.2</v>
      </c>
      <c r="AM211" s="262"/>
      <c r="AN211" s="263"/>
    </row>
    <row r="212" spans="1:40" s="68" customFormat="1" ht="17.25" customHeight="1">
      <c r="A212" s="105">
        <v>214</v>
      </c>
      <c r="B212" s="104">
        <f t="shared" si="283"/>
        <v>45777</v>
      </c>
      <c r="C212" s="192">
        <f t="shared" si="264"/>
        <v>1049</v>
      </c>
      <c r="D212" s="192">
        <f t="shared" si="265"/>
        <v>1849</v>
      </c>
      <c r="E212" s="192">
        <f t="shared" si="266"/>
        <v>2898</v>
      </c>
      <c r="F212" s="192">
        <f t="shared" si="267"/>
        <v>552</v>
      </c>
      <c r="G212" s="192">
        <f t="shared" si="268"/>
        <v>793</v>
      </c>
      <c r="H212" s="192">
        <f t="shared" si="269"/>
        <v>847</v>
      </c>
      <c r="I212" s="192">
        <f t="shared" si="270"/>
        <v>809</v>
      </c>
      <c r="J212" s="192" t="e">
        <f t="shared" si="271"/>
        <v>#REF!</v>
      </c>
      <c r="K212" s="192">
        <f t="shared" si="272"/>
        <v>2346</v>
      </c>
      <c r="L212" s="192">
        <f t="shared" si="273"/>
        <v>2105</v>
      </c>
      <c r="M212" s="192">
        <f t="shared" si="274"/>
        <v>2051</v>
      </c>
      <c r="N212" s="192">
        <f t="shared" si="275"/>
        <v>2089</v>
      </c>
      <c r="O212" s="192" t="e">
        <f t="shared" si="276"/>
        <v>#REF!</v>
      </c>
      <c r="P212" s="192">
        <f t="shared" ref="P212:T212" si="340">+P210</f>
        <v>2000</v>
      </c>
      <c r="Q212" s="192">
        <f t="shared" si="340"/>
        <v>2000</v>
      </c>
      <c r="R212" s="192">
        <f t="shared" si="340"/>
        <v>2000</v>
      </c>
      <c r="S212" s="192">
        <f t="shared" si="340"/>
        <v>2000</v>
      </c>
      <c r="T212" s="192">
        <f t="shared" si="340"/>
        <v>2000</v>
      </c>
      <c r="U212" s="192">
        <f t="shared" ref="U212:W212" si="341">U210-Z212</f>
        <v>346</v>
      </c>
      <c r="V212" s="192">
        <f t="shared" si="341"/>
        <v>105</v>
      </c>
      <c r="W212" s="192">
        <f t="shared" si="341"/>
        <v>51</v>
      </c>
      <c r="X212" s="192">
        <f t="shared" si="279"/>
        <v>89</v>
      </c>
      <c r="Y212" s="192" t="e">
        <f t="shared" si="319"/>
        <v>#REF!</v>
      </c>
      <c r="Z212" s="192">
        <v>7</v>
      </c>
      <c r="AA212" s="192">
        <v>6</v>
      </c>
      <c r="AB212" s="192">
        <v>8</v>
      </c>
      <c r="AC212" s="192">
        <v>5</v>
      </c>
      <c r="AD212" s="192">
        <v>5</v>
      </c>
      <c r="AE212" s="192" t="e">
        <f t="shared" si="320"/>
        <v>#REF!</v>
      </c>
      <c r="AF212" s="192">
        <f t="shared" ref="AF212:AI212" si="342">AF210-AA212</f>
        <v>-524</v>
      </c>
      <c r="AG212" s="192">
        <f t="shared" si="342"/>
        <v>-548</v>
      </c>
      <c r="AH212" s="192">
        <f t="shared" si="342"/>
        <v>-465</v>
      </c>
      <c r="AI212" s="192">
        <f t="shared" si="342"/>
        <v>-278</v>
      </c>
      <c r="AJ212" s="107">
        <f t="shared" si="281"/>
        <v>1.2510000000000094</v>
      </c>
      <c r="AK212" s="203"/>
      <c r="AL212" s="203">
        <f t="shared" si="282"/>
        <v>1.2</v>
      </c>
      <c r="AM212" s="262"/>
      <c r="AN212" s="263"/>
    </row>
    <row r="213" spans="1:40" s="68" customFormat="1" ht="17.25" customHeight="1">
      <c r="A213" s="105">
        <v>214</v>
      </c>
      <c r="B213" s="104">
        <f t="shared" si="283"/>
        <v>45778</v>
      </c>
      <c r="C213" s="192">
        <f t="shared" si="264"/>
        <v>1049</v>
      </c>
      <c r="D213" s="192">
        <f t="shared" si="265"/>
        <v>1864</v>
      </c>
      <c r="E213" s="192">
        <f t="shared" si="266"/>
        <v>2913</v>
      </c>
      <c r="F213" s="192">
        <f t="shared" si="267"/>
        <v>568</v>
      </c>
      <c r="G213" s="192">
        <f t="shared" si="268"/>
        <v>802</v>
      </c>
      <c r="H213" s="192">
        <f t="shared" si="269"/>
        <v>859</v>
      </c>
      <c r="I213" s="192">
        <f t="shared" si="270"/>
        <v>816</v>
      </c>
      <c r="J213" s="192" t="e">
        <f t="shared" si="271"/>
        <v>#REF!</v>
      </c>
      <c r="K213" s="192">
        <f t="shared" si="272"/>
        <v>2345</v>
      </c>
      <c r="L213" s="192">
        <f t="shared" si="273"/>
        <v>2111</v>
      </c>
      <c r="M213" s="192">
        <f t="shared" si="274"/>
        <v>2054</v>
      </c>
      <c r="N213" s="192">
        <f t="shared" si="275"/>
        <v>2097</v>
      </c>
      <c r="O213" s="192" t="e">
        <f t="shared" si="276"/>
        <v>#REF!</v>
      </c>
      <c r="P213" s="192">
        <f t="shared" ref="P213:T213" si="343">+P211</f>
        <v>2000</v>
      </c>
      <c r="Q213" s="192">
        <f t="shared" si="343"/>
        <v>2000</v>
      </c>
      <c r="R213" s="192">
        <f t="shared" si="343"/>
        <v>2000</v>
      </c>
      <c r="S213" s="192">
        <f t="shared" si="343"/>
        <v>2000</v>
      </c>
      <c r="T213" s="192">
        <f t="shared" si="343"/>
        <v>2000</v>
      </c>
      <c r="U213" s="192">
        <f t="shared" ref="U213:W213" si="344">U211-Z213</f>
        <v>345</v>
      </c>
      <c r="V213" s="192">
        <f t="shared" si="344"/>
        <v>111</v>
      </c>
      <c r="W213" s="192">
        <f t="shared" si="344"/>
        <v>54</v>
      </c>
      <c r="X213" s="192">
        <f t="shared" si="279"/>
        <v>97</v>
      </c>
      <c r="Y213" s="192" t="e">
        <f t="shared" si="319"/>
        <v>#REF!</v>
      </c>
      <c r="Z213" s="192">
        <v>6</v>
      </c>
      <c r="AA213" s="192">
        <v>6</v>
      </c>
      <c r="AB213" s="192">
        <v>7</v>
      </c>
      <c r="AC213" s="192">
        <v>5</v>
      </c>
      <c r="AD213" s="192">
        <v>5</v>
      </c>
      <c r="AE213" s="192" t="e">
        <f t="shared" si="320"/>
        <v>#REF!</v>
      </c>
      <c r="AF213" s="192">
        <f t="shared" ref="AF213:AI213" si="345">AF211-AA213</f>
        <v>-518</v>
      </c>
      <c r="AG213" s="192">
        <f t="shared" si="345"/>
        <v>-545</v>
      </c>
      <c r="AH213" s="192">
        <f t="shared" si="345"/>
        <v>-457</v>
      </c>
      <c r="AI213" s="192">
        <f t="shared" si="345"/>
        <v>-278</v>
      </c>
      <c r="AJ213" s="107">
        <f t="shared" si="281"/>
        <v>1.2540000000000093</v>
      </c>
      <c r="AK213" s="203"/>
      <c r="AL213" s="203">
        <f t="shared" si="282"/>
        <v>1.2</v>
      </c>
      <c r="AM213" s="262"/>
      <c r="AN213" s="263"/>
    </row>
    <row r="214" spans="1:40" s="68" customFormat="1" ht="17.25" customHeight="1">
      <c r="A214" s="105">
        <v>214</v>
      </c>
      <c r="B214" s="104">
        <f t="shared" si="283"/>
        <v>45779</v>
      </c>
      <c r="C214" s="192">
        <f t="shared" si="264"/>
        <v>1049</v>
      </c>
      <c r="D214" s="192">
        <f t="shared" si="265"/>
        <v>1823</v>
      </c>
      <c r="E214" s="192">
        <f t="shared" si="266"/>
        <v>2872</v>
      </c>
      <c r="F214" s="192">
        <f t="shared" si="267"/>
        <v>532</v>
      </c>
      <c r="G214" s="192">
        <f t="shared" si="268"/>
        <v>773</v>
      </c>
      <c r="H214" s="192">
        <f t="shared" si="269"/>
        <v>828</v>
      </c>
      <c r="I214" s="192">
        <f t="shared" si="270"/>
        <v>789</v>
      </c>
      <c r="J214" s="192" t="e">
        <f t="shared" si="271"/>
        <v>#REF!</v>
      </c>
      <c r="K214" s="192">
        <f t="shared" si="272"/>
        <v>2340</v>
      </c>
      <c r="L214" s="192">
        <f t="shared" si="273"/>
        <v>2099</v>
      </c>
      <c r="M214" s="192">
        <f t="shared" si="274"/>
        <v>2044</v>
      </c>
      <c r="N214" s="192">
        <f t="shared" si="275"/>
        <v>2083</v>
      </c>
      <c r="O214" s="192" t="e">
        <f t="shared" si="276"/>
        <v>#REF!</v>
      </c>
      <c r="P214" s="192">
        <f t="shared" ref="P214:T214" si="346">+P212</f>
        <v>2000</v>
      </c>
      <c r="Q214" s="192">
        <f t="shared" si="346"/>
        <v>2000</v>
      </c>
      <c r="R214" s="192">
        <f t="shared" si="346"/>
        <v>2000</v>
      </c>
      <c r="S214" s="192">
        <f t="shared" si="346"/>
        <v>2000</v>
      </c>
      <c r="T214" s="192">
        <f t="shared" si="346"/>
        <v>2000</v>
      </c>
      <c r="U214" s="192">
        <f t="shared" ref="U214:W214" si="347">U212-Z214</f>
        <v>340</v>
      </c>
      <c r="V214" s="192">
        <f t="shared" si="347"/>
        <v>99</v>
      </c>
      <c r="W214" s="192">
        <f t="shared" si="347"/>
        <v>44</v>
      </c>
      <c r="X214" s="192">
        <f t="shared" si="279"/>
        <v>83</v>
      </c>
      <c r="Y214" s="192" t="e">
        <f t="shared" ref="Y214:Y224" si="348">Y213-AD214</f>
        <v>#REF!</v>
      </c>
      <c r="Z214" s="192">
        <v>6</v>
      </c>
      <c r="AA214" s="192">
        <v>6</v>
      </c>
      <c r="AB214" s="192">
        <v>7</v>
      </c>
      <c r="AC214" s="192">
        <v>6</v>
      </c>
      <c r="AD214" s="192">
        <v>5</v>
      </c>
      <c r="AE214" s="192" t="e">
        <f t="shared" ref="AE214:AE224" si="349">AE213-Z214</f>
        <v>#REF!</v>
      </c>
      <c r="AF214" s="192">
        <f t="shared" ref="AF214:AI214" si="350">AF212-AA214</f>
        <v>-530</v>
      </c>
      <c r="AG214" s="192">
        <f t="shared" si="350"/>
        <v>-555</v>
      </c>
      <c r="AH214" s="192">
        <f t="shared" si="350"/>
        <v>-471</v>
      </c>
      <c r="AI214" s="192">
        <f t="shared" si="350"/>
        <v>-283</v>
      </c>
      <c r="AJ214" s="107">
        <f t="shared" si="281"/>
        <v>1.2440000000000095</v>
      </c>
      <c r="AK214" s="203"/>
      <c r="AL214" s="203">
        <f t="shared" si="282"/>
        <v>1.2</v>
      </c>
      <c r="AM214" s="262"/>
      <c r="AN214" s="263"/>
    </row>
    <row r="215" spans="1:40" s="68" customFormat="1" ht="17.25" customHeight="1">
      <c r="A215" s="105">
        <v>214</v>
      </c>
      <c r="B215" s="104">
        <f t="shared" si="283"/>
        <v>45780</v>
      </c>
      <c r="C215" s="192">
        <f t="shared" si="264"/>
        <v>1049</v>
      </c>
      <c r="D215" s="192">
        <f t="shared" si="265"/>
        <v>1838</v>
      </c>
      <c r="E215" s="192">
        <f t="shared" si="266"/>
        <v>2887</v>
      </c>
      <c r="F215" s="192">
        <f t="shared" si="267"/>
        <v>547</v>
      </c>
      <c r="G215" s="192">
        <f t="shared" si="268"/>
        <v>780</v>
      </c>
      <c r="H215" s="192">
        <f t="shared" si="269"/>
        <v>841</v>
      </c>
      <c r="I215" s="192">
        <f t="shared" si="270"/>
        <v>797</v>
      </c>
      <c r="J215" s="192" t="e">
        <f t="shared" si="271"/>
        <v>#REF!</v>
      </c>
      <c r="K215" s="192">
        <f t="shared" si="272"/>
        <v>2340</v>
      </c>
      <c r="L215" s="192">
        <f t="shared" si="273"/>
        <v>2107</v>
      </c>
      <c r="M215" s="192">
        <f t="shared" si="274"/>
        <v>2046</v>
      </c>
      <c r="N215" s="192">
        <f t="shared" si="275"/>
        <v>2090</v>
      </c>
      <c r="O215" s="192" t="e">
        <f t="shared" si="276"/>
        <v>#REF!</v>
      </c>
      <c r="P215" s="192">
        <f t="shared" ref="P215:T215" si="351">+P213</f>
        <v>2000</v>
      </c>
      <c r="Q215" s="192">
        <f t="shared" si="351"/>
        <v>2000</v>
      </c>
      <c r="R215" s="192">
        <f t="shared" si="351"/>
        <v>2000</v>
      </c>
      <c r="S215" s="192">
        <f t="shared" si="351"/>
        <v>2000</v>
      </c>
      <c r="T215" s="192">
        <f t="shared" si="351"/>
        <v>2000</v>
      </c>
      <c r="U215" s="192">
        <f t="shared" ref="U215:W215" si="352">U213-Z215</f>
        <v>340</v>
      </c>
      <c r="V215" s="192">
        <f t="shared" si="352"/>
        <v>107</v>
      </c>
      <c r="W215" s="192">
        <f t="shared" si="352"/>
        <v>46</v>
      </c>
      <c r="X215" s="192">
        <f t="shared" si="279"/>
        <v>90</v>
      </c>
      <c r="Y215" s="192" t="e">
        <f t="shared" si="348"/>
        <v>#REF!</v>
      </c>
      <c r="Z215" s="192">
        <v>5</v>
      </c>
      <c r="AA215" s="192">
        <v>4</v>
      </c>
      <c r="AB215" s="192">
        <v>8</v>
      </c>
      <c r="AC215" s="192">
        <v>7</v>
      </c>
      <c r="AD215" s="192">
        <v>4</v>
      </c>
      <c r="AE215" s="192" t="e">
        <f t="shared" si="349"/>
        <v>#REF!</v>
      </c>
      <c r="AF215" s="192">
        <f t="shared" ref="AF215:AI215" si="353">AF213-AA215</f>
        <v>-522</v>
      </c>
      <c r="AG215" s="192">
        <f t="shared" si="353"/>
        <v>-553</v>
      </c>
      <c r="AH215" s="192">
        <f t="shared" si="353"/>
        <v>-464</v>
      </c>
      <c r="AI215" s="192">
        <f t="shared" si="353"/>
        <v>-282</v>
      </c>
      <c r="AJ215" s="107">
        <f t="shared" si="281"/>
        <v>1.2460000000000093</v>
      </c>
      <c r="AK215" s="203"/>
      <c r="AL215" s="203">
        <f t="shared" si="282"/>
        <v>1.2</v>
      </c>
      <c r="AM215" s="262"/>
      <c r="AN215" s="263"/>
    </row>
    <row r="216" spans="1:40" s="68" customFormat="1" ht="17.25" customHeight="1">
      <c r="A216" s="105">
        <v>214</v>
      </c>
      <c r="B216" s="104">
        <f t="shared" si="283"/>
        <v>45781</v>
      </c>
      <c r="C216" s="192">
        <f t="shared" si="264"/>
        <v>1049</v>
      </c>
      <c r="D216" s="192">
        <f t="shared" si="265"/>
        <v>1797</v>
      </c>
      <c r="E216" s="192">
        <f t="shared" si="266"/>
        <v>2846</v>
      </c>
      <c r="F216" s="192">
        <f t="shared" si="267"/>
        <v>510</v>
      </c>
      <c r="G216" s="192">
        <f t="shared" si="268"/>
        <v>752</v>
      </c>
      <c r="H216" s="192">
        <f t="shared" si="269"/>
        <v>809</v>
      </c>
      <c r="I216" s="192">
        <f t="shared" si="270"/>
        <v>770</v>
      </c>
      <c r="J216" s="192" t="e">
        <f t="shared" si="271"/>
        <v>#REF!</v>
      </c>
      <c r="K216" s="192">
        <f t="shared" si="272"/>
        <v>2336</v>
      </c>
      <c r="L216" s="192">
        <f t="shared" si="273"/>
        <v>2094</v>
      </c>
      <c r="M216" s="192">
        <f t="shared" si="274"/>
        <v>2037</v>
      </c>
      <c r="N216" s="192">
        <f t="shared" si="275"/>
        <v>2076</v>
      </c>
      <c r="O216" s="192" t="e">
        <f t="shared" si="276"/>
        <v>#REF!</v>
      </c>
      <c r="P216" s="192">
        <f t="shared" ref="P216:T216" si="354">+P214</f>
        <v>2000</v>
      </c>
      <c r="Q216" s="192">
        <f t="shared" si="354"/>
        <v>2000</v>
      </c>
      <c r="R216" s="192">
        <f t="shared" si="354"/>
        <v>2000</v>
      </c>
      <c r="S216" s="192">
        <f t="shared" si="354"/>
        <v>2000</v>
      </c>
      <c r="T216" s="192">
        <f t="shared" si="354"/>
        <v>2000</v>
      </c>
      <c r="U216" s="192">
        <f t="shared" ref="U216:W216" si="355">U214-Z216</f>
        <v>336</v>
      </c>
      <c r="V216" s="192">
        <f t="shared" si="355"/>
        <v>94</v>
      </c>
      <c r="W216" s="192">
        <f t="shared" si="355"/>
        <v>37</v>
      </c>
      <c r="X216" s="192">
        <f t="shared" si="279"/>
        <v>76</v>
      </c>
      <c r="Y216" s="192" t="e">
        <f t="shared" si="348"/>
        <v>#REF!</v>
      </c>
      <c r="Z216" s="192">
        <v>4</v>
      </c>
      <c r="AA216" s="192">
        <v>5</v>
      </c>
      <c r="AB216" s="192">
        <v>7</v>
      </c>
      <c r="AC216" s="192">
        <v>7</v>
      </c>
      <c r="AD216" s="192">
        <v>5</v>
      </c>
      <c r="AE216" s="192" t="e">
        <f t="shared" si="349"/>
        <v>#REF!</v>
      </c>
      <c r="AF216" s="192">
        <f t="shared" ref="AF216:AI216" si="356">AF214-AA216</f>
        <v>-535</v>
      </c>
      <c r="AG216" s="192">
        <f t="shared" si="356"/>
        <v>-562</v>
      </c>
      <c r="AH216" s="192">
        <f t="shared" si="356"/>
        <v>-478</v>
      </c>
      <c r="AI216" s="192">
        <f t="shared" si="356"/>
        <v>-288</v>
      </c>
      <c r="AJ216" s="107">
        <f t="shared" si="281"/>
        <v>1.2370000000000096</v>
      </c>
      <c r="AK216" s="203"/>
      <c r="AL216" s="203">
        <f t="shared" si="282"/>
        <v>1.2</v>
      </c>
      <c r="AM216" s="262"/>
      <c r="AN216" s="263"/>
    </row>
    <row r="217" spans="1:40" s="68" customFormat="1" ht="17.25" customHeight="1">
      <c r="A217" s="105">
        <v>214</v>
      </c>
      <c r="B217" s="104">
        <f t="shared" si="283"/>
        <v>45782</v>
      </c>
      <c r="C217" s="192">
        <f t="shared" si="264"/>
        <v>1049</v>
      </c>
      <c r="D217" s="192">
        <f t="shared" si="265"/>
        <v>1812</v>
      </c>
      <c r="E217" s="192">
        <f t="shared" si="266"/>
        <v>2861</v>
      </c>
      <c r="F217" s="192">
        <f t="shared" si="267"/>
        <v>526</v>
      </c>
      <c r="G217" s="192">
        <f t="shared" si="268"/>
        <v>758</v>
      </c>
      <c r="H217" s="192">
        <f t="shared" si="269"/>
        <v>821</v>
      </c>
      <c r="I217" s="192">
        <f t="shared" si="270"/>
        <v>779</v>
      </c>
      <c r="J217" s="192" t="e">
        <f t="shared" si="271"/>
        <v>#REF!</v>
      </c>
      <c r="K217" s="192">
        <f t="shared" si="272"/>
        <v>2335</v>
      </c>
      <c r="L217" s="192">
        <f t="shared" si="273"/>
        <v>2103</v>
      </c>
      <c r="M217" s="192">
        <f t="shared" si="274"/>
        <v>2040</v>
      </c>
      <c r="N217" s="192">
        <f t="shared" si="275"/>
        <v>2082</v>
      </c>
      <c r="O217" s="192" t="e">
        <f t="shared" si="276"/>
        <v>#REF!</v>
      </c>
      <c r="P217" s="192">
        <f t="shared" ref="P217:T217" si="357">+P215</f>
        <v>2000</v>
      </c>
      <c r="Q217" s="192">
        <f t="shared" si="357"/>
        <v>2000</v>
      </c>
      <c r="R217" s="192">
        <f t="shared" si="357"/>
        <v>2000</v>
      </c>
      <c r="S217" s="192">
        <f t="shared" si="357"/>
        <v>2000</v>
      </c>
      <c r="T217" s="192">
        <f t="shared" si="357"/>
        <v>2000</v>
      </c>
      <c r="U217" s="192">
        <f t="shared" ref="U217:W217" si="358">U215-Z217</f>
        <v>335</v>
      </c>
      <c r="V217" s="192">
        <f t="shared" si="358"/>
        <v>103</v>
      </c>
      <c r="W217" s="192">
        <f t="shared" si="358"/>
        <v>40</v>
      </c>
      <c r="X217" s="192">
        <f t="shared" si="279"/>
        <v>82</v>
      </c>
      <c r="Y217" s="192" t="e">
        <f t="shared" si="348"/>
        <v>#REF!</v>
      </c>
      <c r="Z217" s="192">
        <v>5</v>
      </c>
      <c r="AA217" s="192">
        <v>4</v>
      </c>
      <c r="AB217" s="192">
        <v>6</v>
      </c>
      <c r="AC217" s="192">
        <v>8</v>
      </c>
      <c r="AD217" s="192">
        <v>7</v>
      </c>
      <c r="AE217" s="192" t="e">
        <f t="shared" si="349"/>
        <v>#REF!</v>
      </c>
      <c r="AF217" s="192">
        <f t="shared" ref="AF217:AI217" si="359">AF215-AA217</f>
        <v>-526</v>
      </c>
      <c r="AG217" s="192">
        <f t="shared" si="359"/>
        <v>-559</v>
      </c>
      <c r="AH217" s="192">
        <f t="shared" si="359"/>
        <v>-472</v>
      </c>
      <c r="AI217" s="192">
        <f t="shared" si="359"/>
        <v>-289</v>
      </c>
      <c r="AJ217" s="107">
        <f t="shared" si="281"/>
        <v>1.2400000000000093</v>
      </c>
      <c r="AK217" s="203"/>
      <c r="AL217" s="203">
        <f t="shared" si="282"/>
        <v>1.2</v>
      </c>
      <c r="AM217" s="262"/>
      <c r="AN217" s="263"/>
    </row>
    <row r="218" spans="1:40" s="68" customFormat="1" ht="17.25" customHeight="1">
      <c r="A218" s="105">
        <v>214</v>
      </c>
      <c r="B218" s="104">
        <f t="shared" si="283"/>
        <v>45783</v>
      </c>
      <c r="C218" s="192">
        <f t="shared" si="264"/>
        <v>1049</v>
      </c>
      <c r="D218" s="192">
        <f t="shared" si="265"/>
        <v>1771</v>
      </c>
      <c r="E218" s="192">
        <f t="shared" si="266"/>
        <v>2820</v>
      </c>
      <c r="F218" s="192">
        <f t="shared" si="267"/>
        <v>488</v>
      </c>
      <c r="G218" s="192">
        <f t="shared" si="268"/>
        <v>732</v>
      </c>
      <c r="H218" s="192">
        <f t="shared" si="269"/>
        <v>790</v>
      </c>
      <c r="I218" s="192">
        <f t="shared" si="270"/>
        <v>750</v>
      </c>
      <c r="J218" s="192" t="e">
        <f t="shared" si="271"/>
        <v>#REF!</v>
      </c>
      <c r="K218" s="192">
        <f t="shared" si="272"/>
        <v>2332</v>
      </c>
      <c r="L218" s="192">
        <f t="shared" si="273"/>
        <v>2088</v>
      </c>
      <c r="M218" s="192">
        <f t="shared" si="274"/>
        <v>2030</v>
      </c>
      <c r="N218" s="192">
        <f t="shared" si="275"/>
        <v>2070</v>
      </c>
      <c r="O218" s="192" t="e">
        <f t="shared" si="276"/>
        <v>#REF!</v>
      </c>
      <c r="P218" s="192">
        <f t="shared" ref="P218:T218" si="360">+P216</f>
        <v>2000</v>
      </c>
      <c r="Q218" s="192">
        <f t="shared" si="360"/>
        <v>2000</v>
      </c>
      <c r="R218" s="192">
        <f t="shared" si="360"/>
        <v>2000</v>
      </c>
      <c r="S218" s="192">
        <f t="shared" si="360"/>
        <v>2000</v>
      </c>
      <c r="T218" s="192">
        <f t="shared" si="360"/>
        <v>2000</v>
      </c>
      <c r="U218" s="192">
        <f t="shared" ref="U218:W218" si="361">U216-Z218</f>
        <v>332</v>
      </c>
      <c r="V218" s="192">
        <f t="shared" si="361"/>
        <v>88</v>
      </c>
      <c r="W218" s="192">
        <f t="shared" si="361"/>
        <v>30</v>
      </c>
      <c r="X218" s="192">
        <f t="shared" si="279"/>
        <v>70</v>
      </c>
      <c r="Y218" s="192" t="e">
        <f t="shared" si="348"/>
        <v>#REF!</v>
      </c>
      <c r="Z218" s="192">
        <v>4</v>
      </c>
      <c r="AA218" s="192">
        <v>6</v>
      </c>
      <c r="AB218" s="192">
        <v>7</v>
      </c>
      <c r="AC218" s="192">
        <v>6</v>
      </c>
      <c r="AD218" s="192">
        <v>6</v>
      </c>
      <c r="AE218" s="192" t="e">
        <f t="shared" si="349"/>
        <v>#REF!</v>
      </c>
      <c r="AF218" s="192">
        <f t="shared" ref="AF218:AI218" si="362">AF216-AA218</f>
        <v>-541</v>
      </c>
      <c r="AG218" s="192">
        <f t="shared" si="362"/>
        <v>-569</v>
      </c>
      <c r="AH218" s="192">
        <f t="shared" si="362"/>
        <v>-484</v>
      </c>
      <c r="AI218" s="192">
        <f t="shared" si="362"/>
        <v>-294</v>
      </c>
      <c r="AJ218" s="107">
        <f t="shared" si="281"/>
        <v>1.2300000000000098</v>
      </c>
      <c r="AK218" s="203"/>
      <c r="AL218" s="203">
        <f t="shared" si="282"/>
        <v>1.2</v>
      </c>
      <c r="AM218" s="262"/>
      <c r="AN218" s="263"/>
    </row>
    <row r="219" spans="1:40" s="68" customFormat="1" ht="17.25" customHeight="1">
      <c r="A219" s="105">
        <v>214</v>
      </c>
      <c r="B219" s="104">
        <f t="shared" si="283"/>
        <v>45784</v>
      </c>
      <c r="C219" s="192">
        <f t="shared" si="264"/>
        <v>1049</v>
      </c>
      <c r="D219" s="192">
        <f t="shared" si="265"/>
        <v>1786</v>
      </c>
      <c r="E219" s="192">
        <f t="shared" si="266"/>
        <v>2835</v>
      </c>
      <c r="F219" s="192">
        <f t="shared" si="267"/>
        <v>504</v>
      </c>
      <c r="G219" s="192">
        <f t="shared" si="268"/>
        <v>737</v>
      </c>
      <c r="H219" s="192">
        <f t="shared" si="269"/>
        <v>800</v>
      </c>
      <c r="I219" s="192">
        <f t="shared" si="270"/>
        <v>759</v>
      </c>
      <c r="J219" s="192" t="e">
        <f t="shared" si="271"/>
        <v>#REF!</v>
      </c>
      <c r="K219" s="192">
        <f t="shared" si="272"/>
        <v>2331</v>
      </c>
      <c r="L219" s="192">
        <f t="shared" si="273"/>
        <v>2098</v>
      </c>
      <c r="M219" s="192">
        <f t="shared" si="274"/>
        <v>2035</v>
      </c>
      <c r="N219" s="192">
        <f t="shared" si="275"/>
        <v>2076</v>
      </c>
      <c r="O219" s="192" t="e">
        <f t="shared" si="276"/>
        <v>#REF!</v>
      </c>
      <c r="P219" s="192">
        <f t="shared" ref="P219:T219" si="363">+P217</f>
        <v>2000</v>
      </c>
      <c r="Q219" s="192">
        <f t="shared" si="363"/>
        <v>2000</v>
      </c>
      <c r="R219" s="192">
        <f t="shared" si="363"/>
        <v>2000</v>
      </c>
      <c r="S219" s="192">
        <f t="shared" si="363"/>
        <v>2000</v>
      </c>
      <c r="T219" s="192">
        <f t="shared" si="363"/>
        <v>2000</v>
      </c>
      <c r="U219" s="192">
        <f t="shared" ref="U219:W219" si="364">U217-Z219</f>
        <v>331</v>
      </c>
      <c r="V219" s="192">
        <f t="shared" si="364"/>
        <v>98</v>
      </c>
      <c r="W219" s="192">
        <f t="shared" si="364"/>
        <v>35</v>
      </c>
      <c r="X219" s="192">
        <f t="shared" si="279"/>
        <v>76</v>
      </c>
      <c r="Y219" s="192" t="e">
        <f t="shared" si="348"/>
        <v>#REF!</v>
      </c>
      <c r="Z219" s="192">
        <v>4</v>
      </c>
      <c r="AA219" s="192">
        <v>5</v>
      </c>
      <c r="AB219" s="192">
        <v>5</v>
      </c>
      <c r="AC219" s="192">
        <v>6</v>
      </c>
      <c r="AD219" s="192">
        <v>5</v>
      </c>
      <c r="AE219" s="192" t="e">
        <f t="shared" si="349"/>
        <v>#REF!</v>
      </c>
      <c r="AF219" s="192">
        <f t="shared" ref="AF219:AI219" si="365">AF217-AA219</f>
        <v>-531</v>
      </c>
      <c r="AG219" s="192">
        <f t="shared" si="365"/>
        <v>-564</v>
      </c>
      <c r="AH219" s="192">
        <f t="shared" si="365"/>
        <v>-478</v>
      </c>
      <c r="AI219" s="192">
        <f t="shared" si="365"/>
        <v>-294</v>
      </c>
      <c r="AJ219" s="107">
        <f t="shared" si="281"/>
        <v>1.2350000000000094</v>
      </c>
      <c r="AK219" s="203"/>
      <c r="AL219" s="203">
        <f t="shared" si="282"/>
        <v>1.2</v>
      </c>
      <c r="AM219" s="262"/>
      <c r="AN219" s="263"/>
    </row>
    <row r="220" spans="1:40" s="68" customFormat="1" ht="17.25" customHeight="1">
      <c r="A220" s="105">
        <v>214</v>
      </c>
      <c r="B220" s="104">
        <f t="shared" si="283"/>
        <v>45785</v>
      </c>
      <c r="C220" s="192">
        <f t="shared" si="264"/>
        <v>1049</v>
      </c>
      <c r="D220" s="192">
        <f t="shared" si="265"/>
        <v>1745</v>
      </c>
      <c r="E220" s="192">
        <f t="shared" si="266"/>
        <v>2794</v>
      </c>
      <c r="F220" s="192">
        <f t="shared" si="267"/>
        <v>468</v>
      </c>
      <c r="G220" s="192">
        <f t="shared" si="268"/>
        <v>712</v>
      </c>
      <c r="H220" s="192">
        <f t="shared" si="269"/>
        <v>769</v>
      </c>
      <c r="I220" s="192">
        <f t="shared" si="270"/>
        <v>730</v>
      </c>
      <c r="J220" s="192" t="e">
        <f t="shared" si="271"/>
        <v>#REF!</v>
      </c>
      <c r="K220" s="192">
        <f t="shared" si="272"/>
        <v>2326</v>
      </c>
      <c r="L220" s="192">
        <f t="shared" si="273"/>
        <v>2082</v>
      </c>
      <c r="M220" s="192">
        <f t="shared" si="274"/>
        <v>2025</v>
      </c>
      <c r="N220" s="192">
        <f t="shared" si="275"/>
        <v>2064</v>
      </c>
      <c r="O220" s="192" t="e">
        <f t="shared" si="276"/>
        <v>#REF!</v>
      </c>
      <c r="P220" s="192">
        <f t="shared" ref="P220:T220" si="366">+P218</f>
        <v>2000</v>
      </c>
      <c r="Q220" s="192">
        <f t="shared" si="366"/>
        <v>2000</v>
      </c>
      <c r="R220" s="192">
        <f t="shared" si="366"/>
        <v>2000</v>
      </c>
      <c r="S220" s="192">
        <f t="shared" si="366"/>
        <v>2000</v>
      </c>
      <c r="T220" s="192">
        <f t="shared" si="366"/>
        <v>2000</v>
      </c>
      <c r="U220" s="192">
        <f t="shared" ref="U220:W220" si="367">U218-Z220</f>
        <v>326</v>
      </c>
      <c r="V220" s="192">
        <f t="shared" si="367"/>
        <v>82</v>
      </c>
      <c r="W220" s="192">
        <f t="shared" si="367"/>
        <v>25</v>
      </c>
      <c r="X220" s="192">
        <f t="shared" si="279"/>
        <v>64</v>
      </c>
      <c r="Y220" s="192" t="e">
        <f t="shared" si="348"/>
        <v>#REF!</v>
      </c>
      <c r="Z220" s="192">
        <v>6</v>
      </c>
      <c r="AA220" s="192">
        <v>6</v>
      </c>
      <c r="AB220" s="192">
        <v>5</v>
      </c>
      <c r="AC220" s="192">
        <v>6</v>
      </c>
      <c r="AD220" s="192">
        <v>8</v>
      </c>
      <c r="AE220" s="192" t="e">
        <f t="shared" si="349"/>
        <v>#REF!</v>
      </c>
      <c r="AF220" s="192">
        <f t="shared" ref="AF220:AI220" si="368">AF218-AA220</f>
        <v>-547</v>
      </c>
      <c r="AG220" s="192">
        <f t="shared" si="368"/>
        <v>-574</v>
      </c>
      <c r="AH220" s="192">
        <f t="shared" si="368"/>
        <v>-490</v>
      </c>
      <c r="AI220" s="192">
        <f t="shared" si="368"/>
        <v>-302</v>
      </c>
      <c r="AJ220" s="107">
        <f t="shared" si="281"/>
        <v>1.2250000000000099</v>
      </c>
      <c r="AK220" s="203"/>
      <c r="AL220" s="203">
        <f t="shared" si="282"/>
        <v>1.2</v>
      </c>
      <c r="AM220" s="262"/>
      <c r="AN220" s="263"/>
    </row>
    <row r="221" spans="1:40" s="68" customFormat="1" ht="17.25" customHeight="1">
      <c r="A221" s="105">
        <v>214</v>
      </c>
      <c r="B221" s="104">
        <f t="shared" si="283"/>
        <v>45786</v>
      </c>
      <c r="C221" s="192">
        <f t="shared" si="264"/>
        <v>1049</v>
      </c>
      <c r="D221" s="192">
        <f t="shared" si="265"/>
        <v>1760</v>
      </c>
      <c r="E221" s="192">
        <f t="shared" si="266"/>
        <v>2809</v>
      </c>
      <c r="F221" s="192">
        <f t="shared" si="267"/>
        <v>483</v>
      </c>
      <c r="G221" s="192">
        <f t="shared" si="268"/>
        <v>717</v>
      </c>
      <c r="H221" s="192">
        <f t="shared" si="269"/>
        <v>780</v>
      </c>
      <c r="I221" s="192">
        <f t="shared" si="270"/>
        <v>738</v>
      </c>
      <c r="J221" s="192" t="e">
        <f t="shared" si="271"/>
        <v>#REF!</v>
      </c>
      <c r="K221" s="192">
        <f t="shared" si="272"/>
        <v>2326</v>
      </c>
      <c r="L221" s="192">
        <f t="shared" si="273"/>
        <v>2092</v>
      </c>
      <c r="M221" s="192">
        <f t="shared" si="274"/>
        <v>2029</v>
      </c>
      <c r="N221" s="192">
        <f t="shared" si="275"/>
        <v>2071</v>
      </c>
      <c r="O221" s="192" t="e">
        <f t="shared" si="276"/>
        <v>#REF!</v>
      </c>
      <c r="P221" s="192">
        <f t="shared" ref="P221:T221" si="369">+P219</f>
        <v>2000</v>
      </c>
      <c r="Q221" s="192">
        <f t="shared" si="369"/>
        <v>2000</v>
      </c>
      <c r="R221" s="192">
        <f t="shared" si="369"/>
        <v>2000</v>
      </c>
      <c r="S221" s="192">
        <f t="shared" si="369"/>
        <v>2000</v>
      </c>
      <c r="T221" s="192">
        <f t="shared" si="369"/>
        <v>2000</v>
      </c>
      <c r="U221" s="192">
        <f t="shared" ref="U221:W221" si="370">U219-Z221</f>
        <v>326</v>
      </c>
      <c r="V221" s="192">
        <f t="shared" si="370"/>
        <v>92</v>
      </c>
      <c r="W221" s="192">
        <f t="shared" si="370"/>
        <v>29</v>
      </c>
      <c r="X221" s="192">
        <f t="shared" si="279"/>
        <v>71</v>
      </c>
      <c r="Y221" s="192" t="e">
        <f t="shared" si="348"/>
        <v>#REF!</v>
      </c>
      <c r="Z221" s="192">
        <v>5</v>
      </c>
      <c r="AA221" s="192">
        <v>6</v>
      </c>
      <c r="AB221" s="192">
        <v>6</v>
      </c>
      <c r="AC221" s="192">
        <v>5</v>
      </c>
      <c r="AD221" s="192">
        <v>5</v>
      </c>
      <c r="AE221" s="192" t="e">
        <f t="shared" si="349"/>
        <v>#REF!</v>
      </c>
      <c r="AF221" s="192">
        <f t="shared" ref="AF221:AI221" si="371">AF219-AA221</f>
        <v>-537</v>
      </c>
      <c r="AG221" s="192">
        <f t="shared" si="371"/>
        <v>-570</v>
      </c>
      <c r="AH221" s="192">
        <f t="shared" si="371"/>
        <v>-483</v>
      </c>
      <c r="AI221" s="192">
        <f t="shared" si="371"/>
        <v>-299</v>
      </c>
      <c r="AJ221" s="107">
        <f t="shared" si="281"/>
        <v>1.2290000000000094</v>
      </c>
      <c r="AK221" s="203"/>
      <c r="AL221" s="203">
        <f t="shared" si="282"/>
        <v>1.2</v>
      </c>
      <c r="AM221" s="262"/>
      <c r="AN221" s="263"/>
    </row>
    <row r="222" spans="1:40" s="68" customFormat="1" ht="17.25" customHeight="1">
      <c r="A222" s="105">
        <v>214</v>
      </c>
      <c r="B222" s="104">
        <f t="shared" si="283"/>
        <v>45787</v>
      </c>
      <c r="C222" s="192">
        <f t="shared" si="264"/>
        <v>1049</v>
      </c>
      <c r="D222" s="192">
        <f t="shared" si="265"/>
        <v>1719</v>
      </c>
      <c r="E222" s="192">
        <f t="shared" si="266"/>
        <v>2768</v>
      </c>
      <c r="F222" s="192">
        <f t="shared" si="267"/>
        <v>447</v>
      </c>
      <c r="G222" s="192">
        <f t="shared" si="268"/>
        <v>691</v>
      </c>
      <c r="H222" s="192">
        <f t="shared" si="269"/>
        <v>750</v>
      </c>
      <c r="I222" s="192">
        <f t="shared" si="270"/>
        <v>710</v>
      </c>
      <c r="J222" s="192" t="e">
        <f t="shared" si="271"/>
        <v>#REF!</v>
      </c>
      <c r="K222" s="192">
        <f t="shared" si="272"/>
        <v>2321</v>
      </c>
      <c r="L222" s="192">
        <f t="shared" si="273"/>
        <v>2077</v>
      </c>
      <c r="M222" s="192">
        <f t="shared" si="274"/>
        <v>2018</v>
      </c>
      <c r="N222" s="192">
        <f t="shared" si="275"/>
        <v>2058</v>
      </c>
      <c r="O222" s="192" t="e">
        <f t="shared" si="276"/>
        <v>#REF!</v>
      </c>
      <c r="P222" s="192">
        <f t="shared" ref="P222:T222" si="372">+P220</f>
        <v>2000</v>
      </c>
      <c r="Q222" s="192">
        <f t="shared" si="372"/>
        <v>2000</v>
      </c>
      <c r="R222" s="192">
        <f t="shared" si="372"/>
        <v>2000</v>
      </c>
      <c r="S222" s="192">
        <f t="shared" si="372"/>
        <v>2000</v>
      </c>
      <c r="T222" s="192">
        <f t="shared" si="372"/>
        <v>2000</v>
      </c>
      <c r="U222" s="192">
        <f t="shared" ref="U222:W222" si="373">U220-Z222</f>
        <v>321</v>
      </c>
      <c r="V222" s="192">
        <f t="shared" si="373"/>
        <v>77</v>
      </c>
      <c r="W222" s="192">
        <f t="shared" si="373"/>
        <v>18</v>
      </c>
      <c r="X222" s="192">
        <f t="shared" si="279"/>
        <v>58</v>
      </c>
      <c r="Y222" s="192" t="e">
        <f t="shared" si="348"/>
        <v>#REF!</v>
      </c>
      <c r="Z222" s="192">
        <v>5</v>
      </c>
      <c r="AA222" s="192">
        <v>5</v>
      </c>
      <c r="AB222" s="192">
        <v>7</v>
      </c>
      <c r="AC222" s="192">
        <v>6</v>
      </c>
      <c r="AD222" s="192">
        <v>7</v>
      </c>
      <c r="AE222" s="192" t="e">
        <f t="shared" si="349"/>
        <v>#REF!</v>
      </c>
      <c r="AF222" s="192">
        <f t="shared" ref="AF222:AI222" si="374">AF220-AA222</f>
        <v>-552</v>
      </c>
      <c r="AG222" s="192">
        <f t="shared" si="374"/>
        <v>-581</v>
      </c>
      <c r="AH222" s="192">
        <f t="shared" si="374"/>
        <v>-496</v>
      </c>
      <c r="AI222" s="192">
        <f t="shared" si="374"/>
        <v>-309</v>
      </c>
      <c r="AJ222" s="107">
        <f t="shared" si="281"/>
        <v>1.21800000000001</v>
      </c>
      <c r="AK222" s="203"/>
      <c r="AL222" s="203">
        <f t="shared" si="282"/>
        <v>1.2</v>
      </c>
      <c r="AM222" s="262"/>
      <c r="AN222" s="263"/>
    </row>
    <row r="223" spans="1:40" s="68" customFormat="1" ht="17.25" customHeight="1">
      <c r="A223" s="105">
        <v>214</v>
      </c>
      <c r="B223" s="104">
        <f t="shared" si="283"/>
        <v>45788</v>
      </c>
      <c r="C223" s="192">
        <f t="shared" si="264"/>
        <v>1049</v>
      </c>
      <c r="D223" s="192">
        <f t="shared" si="265"/>
        <v>1734</v>
      </c>
      <c r="E223" s="192">
        <f t="shared" si="266"/>
        <v>2783</v>
      </c>
      <c r="F223" s="192">
        <f t="shared" si="267"/>
        <v>461</v>
      </c>
      <c r="G223" s="192">
        <f t="shared" si="268"/>
        <v>696</v>
      </c>
      <c r="H223" s="192">
        <f t="shared" si="269"/>
        <v>762</v>
      </c>
      <c r="I223" s="192">
        <f t="shared" si="270"/>
        <v>719</v>
      </c>
      <c r="J223" s="192" t="e">
        <f t="shared" si="271"/>
        <v>#REF!</v>
      </c>
      <c r="K223" s="192">
        <f t="shared" si="272"/>
        <v>2322</v>
      </c>
      <c r="L223" s="192">
        <f t="shared" si="273"/>
        <v>2087</v>
      </c>
      <c r="M223" s="192">
        <f t="shared" si="274"/>
        <v>2021</v>
      </c>
      <c r="N223" s="192">
        <f t="shared" si="275"/>
        <v>2064</v>
      </c>
      <c r="O223" s="192" t="e">
        <f t="shared" si="276"/>
        <v>#REF!</v>
      </c>
      <c r="P223" s="192">
        <f t="shared" ref="P223:T223" si="375">+P221</f>
        <v>2000</v>
      </c>
      <c r="Q223" s="192">
        <f t="shared" si="375"/>
        <v>2000</v>
      </c>
      <c r="R223" s="192">
        <f t="shared" si="375"/>
        <v>2000</v>
      </c>
      <c r="S223" s="192">
        <f t="shared" si="375"/>
        <v>2000</v>
      </c>
      <c r="T223" s="192">
        <f t="shared" si="375"/>
        <v>2000</v>
      </c>
      <c r="U223" s="192">
        <f t="shared" ref="U223:W223" si="376">U221-Z223</f>
        <v>322</v>
      </c>
      <c r="V223" s="192">
        <f t="shared" si="376"/>
        <v>87</v>
      </c>
      <c r="W223" s="192">
        <f t="shared" si="376"/>
        <v>21</v>
      </c>
      <c r="X223" s="192">
        <f t="shared" si="279"/>
        <v>64</v>
      </c>
      <c r="Y223" s="192" t="e">
        <f t="shared" si="348"/>
        <v>#REF!</v>
      </c>
      <c r="Z223" s="192">
        <v>4</v>
      </c>
      <c r="AA223" s="192">
        <v>5</v>
      </c>
      <c r="AB223" s="192">
        <v>8</v>
      </c>
      <c r="AC223" s="192">
        <v>7</v>
      </c>
      <c r="AD223" s="192">
        <v>7</v>
      </c>
      <c r="AE223" s="192" t="e">
        <f t="shared" si="349"/>
        <v>#REF!</v>
      </c>
      <c r="AF223" s="192">
        <f t="shared" ref="AF223:AI223" si="377">AF221-AA223</f>
        <v>-542</v>
      </c>
      <c r="AG223" s="192">
        <f t="shared" si="377"/>
        <v>-578</v>
      </c>
      <c r="AH223" s="192">
        <f t="shared" si="377"/>
        <v>-490</v>
      </c>
      <c r="AI223" s="192">
        <f t="shared" si="377"/>
        <v>-306</v>
      </c>
      <c r="AJ223" s="107">
        <f t="shared" si="281"/>
        <v>1.2210000000000094</v>
      </c>
      <c r="AK223" s="203"/>
      <c r="AL223" s="203">
        <f t="shared" si="282"/>
        <v>1.2</v>
      </c>
      <c r="AM223" s="262"/>
      <c r="AN223" s="263"/>
    </row>
    <row r="224" spans="1:40" s="68" customFormat="1" ht="17.25" customHeight="1">
      <c r="A224" s="105">
        <v>214</v>
      </c>
      <c r="B224" s="104">
        <f t="shared" si="283"/>
        <v>45789</v>
      </c>
      <c r="C224" s="192">
        <f t="shared" si="264"/>
        <v>1049</v>
      </c>
      <c r="D224" s="192">
        <f t="shared" si="265"/>
        <v>1693</v>
      </c>
      <c r="E224" s="192">
        <f t="shared" si="266"/>
        <v>2742</v>
      </c>
      <c r="F224" s="192">
        <f t="shared" si="267"/>
        <v>425</v>
      </c>
      <c r="G224" s="192">
        <f t="shared" si="268"/>
        <v>671</v>
      </c>
      <c r="H224" s="192">
        <f t="shared" si="269"/>
        <v>731</v>
      </c>
      <c r="I224" s="192">
        <f t="shared" si="270"/>
        <v>689</v>
      </c>
      <c r="J224" s="192" t="e">
        <f t="shared" si="271"/>
        <v>#REF!</v>
      </c>
      <c r="K224" s="192">
        <f t="shared" si="272"/>
        <v>2317</v>
      </c>
      <c r="L224" s="192">
        <f t="shared" si="273"/>
        <v>2071</v>
      </c>
      <c r="M224" s="192">
        <f t="shared" si="274"/>
        <v>2011</v>
      </c>
      <c r="N224" s="192">
        <f t="shared" si="275"/>
        <v>2053</v>
      </c>
      <c r="O224" s="192" t="e">
        <f t="shared" si="276"/>
        <v>#REF!</v>
      </c>
      <c r="P224" s="192">
        <f t="shared" ref="P224:T224" si="378">+P222</f>
        <v>2000</v>
      </c>
      <c r="Q224" s="192">
        <f t="shared" si="378"/>
        <v>2000</v>
      </c>
      <c r="R224" s="192">
        <f t="shared" si="378"/>
        <v>2000</v>
      </c>
      <c r="S224" s="192">
        <f t="shared" si="378"/>
        <v>2000</v>
      </c>
      <c r="T224" s="192">
        <f t="shared" si="378"/>
        <v>2000</v>
      </c>
      <c r="U224" s="192">
        <f t="shared" ref="U224:W224" si="379">U222-Z224</f>
        <v>317</v>
      </c>
      <c r="V224" s="192">
        <f t="shared" si="379"/>
        <v>71</v>
      </c>
      <c r="W224" s="192">
        <f t="shared" si="379"/>
        <v>11</v>
      </c>
      <c r="X224" s="192">
        <f t="shared" si="279"/>
        <v>53</v>
      </c>
      <c r="Y224" s="192" t="e">
        <f t="shared" si="348"/>
        <v>#REF!</v>
      </c>
      <c r="Z224" s="192">
        <v>4</v>
      </c>
      <c r="AA224" s="192">
        <v>6</v>
      </c>
      <c r="AB224" s="192">
        <v>7</v>
      </c>
      <c r="AC224" s="192">
        <v>5</v>
      </c>
      <c r="AD224" s="192">
        <v>6</v>
      </c>
      <c r="AE224" s="192" t="e">
        <f t="shared" si="349"/>
        <v>#REF!</v>
      </c>
      <c r="AF224" s="192">
        <f t="shared" ref="AF224:AI224" si="380">AF222-AA224</f>
        <v>-558</v>
      </c>
      <c r="AG224" s="192">
        <f t="shared" si="380"/>
        <v>-588</v>
      </c>
      <c r="AH224" s="192">
        <f t="shared" si="380"/>
        <v>-501</v>
      </c>
      <c r="AI224" s="192">
        <f t="shared" si="380"/>
        <v>-315</v>
      </c>
      <c r="AJ224" s="107">
        <f t="shared" si="281"/>
        <v>1.2110000000000101</v>
      </c>
      <c r="AK224" s="203"/>
      <c r="AL224" s="203">
        <f t="shared" si="282"/>
        <v>1.2</v>
      </c>
      <c r="AM224" s="262"/>
      <c r="AN224" s="263"/>
    </row>
    <row r="225" spans="1:40" s="68" customFormat="1" ht="17.25" customHeight="1">
      <c r="A225" s="105">
        <v>215</v>
      </c>
      <c r="B225" s="104">
        <f t="shared" si="283"/>
        <v>45790</v>
      </c>
      <c r="C225" s="192">
        <f t="shared" si="264"/>
        <v>1049</v>
      </c>
      <c r="D225" s="192">
        <f t="shared" si="265"/>
        <v>1708</v>
      </c>
      <c r="E225" s="192">
        <f t="shared" ref="E225" si="381">+C225+D225</f>
        <v>2757</v>
      </c>
      <c r="F225" s="192">
        <f t="shared" ref="F225" si="382">E225-K225</f>
        <v>439</v>
      </c>
      <c r="G225" s="192">
        <f t="shared" ref="G225" si="383">E225-L225</f>
        <v>675</v>
      </c>
      <c r="H225" s="192">
        <f t="shared" ref="H225" si="384">E225-M225</f>
        <v>742</v>
      </c>
      <c r="I225" s="192">
        <f t="shared" ref="I225" si="385">E225-N225</f>
        <v>700</v>
      </c>
      <c r="J225" s="192" t="e">
        <f t="shared" ref="J225" si="386">E225-O225</f>
        <v>#REF!</v>
      </c>
      <c r="K225" s="192">
        <f t="shared" ref="K225" si="387">P225+U225</f>
        <v>2318</v>
      </c>
      <c r="L225" s="192">
        <f t="shared" ref="L225" si="388">Q225+V225</f>
        <v>2082</v>
      </c>
      <c r="M225" s="192">
        <f t="shared" ref="M225" si="389">R225+W225</f>
        <v>2015</v>
      </c>
      <c r="N225" s="192">
        <f t="shared" ref="N225" si="390">S225+X225</f>
        <v>2057</v>
      </c>
      <c r="O225" s="192" t="e">
        <f t="shared" ref="O225" si="391">T225+Y225</f>
        <v>#REF!</v>
      </c>
      <c r="P225" s="192">
        <f t="shared" ref="P225:T225" si="392">+P223</f>
        <v>2000</v>
      </c>
      <c r="Q225" s="192">
        <f t="shared" si="392"/>
        <v>2000</v>
      </c>
      <c r="R225" s="192">
        <f t="shared" si="392"/>
        <v>2000</v>
      </c>
      <c r="S225" s="192">
        <f t="shared" si="392"/>
        <v>2000</v>
      </c>
      <c r="T225" s="192">
        <f t="shared" si="392"/>
        <v>2000</v>
      </c>
      <c r="U225" s="192">
        <f t="shared" ref="U225" si="393">U223-Z225</f>
        <v>318</v>
      </c>
      <c r="V225" s="192">
        <f t="shared" ref="V225" si="394">V223-AA225</f>
        <v>82</v>
      </c>
      <c r="W225" s="192">
        <f t="shared" ref="W225" si="395">W223-AB225</f>
        <v>15</v>
      </c>
      <c r="X225" s="192">
        <f t="shared" ref="X225" si="396">X223-AC225</f>
        <v>57</v>
      </c>
      <c r="Y225" s="192" t="e">
        <f t="shared" ref="Y225" si="397">Y224-AD225</f>
        <v>#REF!</v>
      </c>
      <c r="Z225" s="192">
        <v>4</v>
      </c>
      <c r="AA225" s="192">
        <v>5</v>
      </c>
      <c r="AB225" s="192">
        <v>6</v>
      </c>
      <c r="AC225" s="192">
        <v>7</v>
      </c>
      <c r="AD225" s="192">
        <v>6</v>
      </c>
      <c r="AE225" s="192" t="e">
        <f t="shared" ref="AE225" si="398">AE224-Z225</f>
        <v>#REF!</v>
      </c>
      <c r="AF225" s="192">
        <f t="shared" ref="AF225" si="399">AF223-AA225</f>
        <v>-547</v>
      </c>
      <c r="AG225" s="192">
        <f t="shared" ref="AG225" si="400">AG223-AB225</f>
        <v>-584</v>
      </c>
      <c r="AH225" s="192">
        <f t="shared" ref="AH225" si="401">AH223-AC225</f>
        <v>-497</v>
      </c>
      <c r="AI225" s="192">
        <f t="shared" ref="AI225" si="402">AI223-AD225</f>
        <v>-312</v>
      </c>
      <c r="AJ225" s="107">
        <f t="shared" ref="AJ225" si="403">AJ223-AB225/1000+AK225</f>
        <v>1.2150000000000094</v>
      </c>
      <c r="AK225" s="203"/>
      <c r="AL225" s="203">
        <f t="shared" si="282"/>
        <v>1.2</v>
      </c>
      <c r="AM225" s="262"/>
      <c r="AN225" s="263"/>
    </row>
    <row r="226" spans="1:40" s="68" customFormat="1" ht="17.25" customHeight="1">
      <c r="A226" s="105">
        <v>216</v>
      </c>
      <c r="B226" s="104">
        <f t="shared" si="283"/>
        <v>45791</v>
      </c>
      <c r="C226" s="192">
        <f t="shared" si="264"/>
        <v>1049</v>
      </c>
      <c r="D226" s="192">
        <f t="shared" si="265"/>
        <v>1667</v>
      </c>
      <c r="E226" s="192">
        <f t="shared" ref="E226:E242" si="404">+C226+D226</f>
        <v>2716</v>
      </c>
      <c r="F226" s="192">
        <f t="shared" ref="F226:F242" si="405">E226-K226</f>
        <v>403</v>
      </c>
      <c r="G226" s="192">
        <f t="shared" ref="G226:G242" si="406">E226-L226</f>
        <v>650</v>
      </c>
      <c r="H226" s="192">
        <f t="shared" ref="H226:H242" si="407">E226-M226</f>
        <v>710</v>
      </c>
      <c r="I226" s="192">
        <f t="shared" ref="I226:I242" si="408">E226-N226</f>
        <v>667</v>
      </c>
      <c r="J226" s="192" t="e">
        <f t="shared" ref="J226:J242" si="409">E226-O226</f>
        <v>#REF!</v>
      </c>
      <c r="K226" s="192">
        <f t="shared" ref="K226:K242" si="410">P226+U226</f>
        <v>2313</v>
      </c>
      <c r="L226" s="192">
        <f t="shared" ref="L226:L242" si="411">Q226+V226</f>
        <v>2066</v>
      </c>
      <c r="M226" s="192">
        <f t="shared" ref="M226:M242" si="412">R226+W226</f>
        <v>2006</v>
      </c>
      <c r="N226" s="192">
        <f t="shared" ref="N226:N242" si="413">S226+X226</f>
        <v>2049</v>
      </c>
      <c r="O226" s="192" t="e">
        <f t="shared" ref="O226:O242" si="414">T226+Y226</f>
        <v>#REF!</v>
      </c>
      <c r="P226" s="192">
        <f t="shared" ref="P226:T226" si="415">+P224</f>
        <v>2000</v>
      </c>
      <c r="Q226" s="192">
        <f t="shared" si="415"/>
        <v>2000</v>
      </c>
      <c r="R226" s="192">
        <f t="shared" si="415"/>
        <v>2000</v>
      </c>
      <c r="S226" s="192">
        <f t="shared" si="415"/>
        <v>2000</v>
      </c>
      <c r="T226" s="192">
        <f t="shared" si="415"/>
        <v>2000</v>
      </c>
      <c r="U226" s="192">
        <f t="shared" ref="U226:U242" si="416">U224-Z226</f>
        <v>313</v>
      </c>
      <c r="V226" s="192">
        <f t="shared" ref="V226:V242" si="417">V224-AA226</f>
        <v>66</v>
      </c>
      <c r="W226" s="192">
        <f t="shared" ref="W226:W242" si="418">W224-AB226</f>
        <v>6</v>
      </c>
      <c r="X226" s="192">
        <f t="shared" ref="X226:X242" si="419">X224-AC226</f>
        <v>49</v>
      </c>
      <c r="Y226" s="192" t="e">
        <f t="shared" ref="Y226:Y242" si="420">Y225-AD226</f>
        <v>#REF!</v>
      </c>
      <c r="Z226" s="192">
        <v>4</v>
      </c>
      <c r="AA226" s="192">
        <v>5</v>
      </c>
      <c r="AB226" s="192">
        <v>5</v>
      </c>
      <c r="AC226" s="192">
        <v>4</v>
      </c>
      <c r="AD226" s="192">
        <v>6</v>
      </c>
      <c r="AE226" s="192" t="e">
        <f t="shared" ref="AE226:AE242" si="421">AE225-Z226</f>
        <v>#REF!</v>
      </c>
      <c r="AF226" s="192">
        <f t="shared" ref="AF226:AF242" si="422">AF224-AA226</f>
        <v>-563</v>
      </c>
      <c r="AG226" s="192">
        <f t="shared" ref="AG226:AG242" si="423">AG224-AB226</f>
        <v>-593</v>
      </c>
      <c r="AH226" s="192">
        <f t="shared" ref="AH226:AH242" si="424">AH224-AC226</f>
        <v>-505</v>
      </c>
      <c r="AI226" s="192">
        <f t="shared" ref="AI226:AI242" si="425">AI224-AD226</f>
        <v>-321</v>
      </c>
      <c r="AJ226" s="107">
        <f t="shared" ref="AJ226:AJ242" si="426">AJ224-AB226/1000+AK226</f>
        <v>1.2060000000000102</v>
      </c>
      <c r="AK226" s="203"/>
      <c r="AL226" s="203">
        <f t="shared" ref="AL226:AL242" si="427">AL224+AK226</f>
        <v>1.2</v>
      </c>
      <c r="AM226" s="262"/>
      <c r="AN226" s="263"/>
    </row>
    <row r="227" spans="1:40" s="68" customFormat="1" ht="17.25" customHeight="1">
      <c r="A227" s="105">
        <v>217</v>
      </c>
      <c r="B227" s="104">
        <f t="shared" si="283"/>
        <v>45792</v>
      </c>
      <c r="C227" s="192">
        <f t="shared" si="264"/>
        <v>1049</v>
      </c>
      <c r="D227" s="192">
        <f t="shared" si="265"/>
        <v>1682</v>
      </c>
      <c r="E227" s="192">
        <f t="shared" si="404"/>
        <v>2731</v>
      </c>
      <c r="F227" s="192">
        <f t="shared" si="405"/>
        <v>417</v>
      </c>
      <c r="G227" s="192">
        <f t="shared" si="406"/>
        <v>654</v>
      </c>
      <c r="H227" s="192">
        <f t="shared" si="407"/>
        <v>722</v>
      </c>
      <c r="I227" s="192">
        <f t="shared" si="408"/>
        <v>679</v>
      </c>
      <c r="J227" s="192" t="e">
        <f t="shared" si="409"/>
        <v>#REF!</v>
      </c>
      <c r="K227" s="192">
        <f t="shared" si="410"/>
        <v>2314</v>
      </c>
      <c r="L227" s="192">
        <f t="shared" si="411"/>
        <v>2077</v>
      </c>
      <c r="M227" s="192">
        <f t="shared" si="412"/>
        <v>2009</v>
      </c>
      <c r="N227" s="192">
        <f t="shared" si="413"/>
        <v>2052</v>
      </c>
      <c r="O227" s="192" t="e">
        <f t="shared" si="414"/>
        <v>#REF!</v>
      </c>
      <c r="P227" s="192">
        <f t="shared" ref="P227:T227" si="428">+P225</f>
        <v>2000</v>
      </c>
      <c r="Q227" s="192">
        <f t="shared" si="428"/>
        <v>2000</v>
      </c>
      <c r="R227" s="192">
        <f t="shared" si="428"/>
        <v>2000</v>
      </c>
      <c r="S227" s="192">
        <f t="shared" si="428"/>
        <v>2000</v>
      </c>
      <c r="T227" s="192">
        <f t="shared" si="428"/>
        <v>2000</v>
      </c>
      <c r="U227" s="192">
        <f t="shared" si="416"/>
        <v>314</v>
      </c>
      <c r="V227" s="192">
        <f t="shared" si="417"/>
        <v>77</v>
      </c>
      <c r="W227" s="192">
        <f t="shared" si="418"/>
        <v>9</v>
      </c>
      <c r="X227" s="192">
        <f t="shared" si="419"/>
        <v>52</v>
      </c>
      <c r="Y227" s="192" t="e">
        <f t="shared" si="420"/>
        <v>#REF!</v>
      </c>
      <c r="Z227" s="192">
        <v>4</v>
      </c>
      <c r="AA227" s="192">
        <v>5</v>
      </c>
      <c r="AB227" s="192">
        <v>6</v>
      </c>
      <c r="AC227" s="192">
        <v>5</v>
      </c>
      <c r="AD227" s="192">
        <v>6</v>
      </c>
      <c r="AE227" s="192" t="e">
        <f t="shared" si="421"/>
        <v>#REF!</v>
      </c>
      <c r="AF227" s="192">
        <f t="shared" si="422"/>
        <v>-552</v>
      </c>
      <c r="AG227" s="192">
        <f t="shared" si="423"/>
        <v>-590</v>
      </c>
      <c r="AH227" s="192">
        <f t="shared" si="424"/>
        <v>-502</v>
      </c>
      <c r="AI227" s="192">
        <f t="shared" si="425"/>
        <v>-318</v>
      </c>
      <c r="AJ227" s="107">
        <f t="shared" si="426"/>
        <v>1.2090000000000094</v>
      </c>
      <c r="AK227" s="203"/>
      <c r="AL227" s="203">
        <f t="shared" si="427"/>
        <v>1.2</v>
      </c>
      <c r="AM227" s="262"/>
      <c r="AN227" s="263"/>
    </row>
    <row r="228" spans="1:40" s="68" customFormat="1" ht="17.25" customHeight="1">
      <c r="A228" s="105">
        <v>218</v>
      </c>
      <c r="B228" s="104">
        <f t="shared" si="283"/>
        <v>45793</v>
      </c>
      <c r="C228" s="192">
        <f t="shared" si="264"/>
        <v>1049</v>
      </c>
      <c r="D228" s="192">
        <f t="shared" si="265"/>
        <v>1641</v>
      </c>
      <c r="E228" s="192">
        <f t="shared" si="404"/>
        <v>2690</v>
      </c>
      <c r="F228" s="192">
        <f t="shared" si="405"/>
        <v>381</v>
      </c>
      <c r="G228" s="192">
        <f t="shared" si="406"/>
        <v>629</v>
      </c>
      <c r="H228" s="192">
        <f t="shared" si="407"/>
        <v>691</v>
      </c>
      <c r="I228" s="192">
        <f t="shared" si="408"/>
        <v>645</v>
      </c>
      <c r="J228" s="192" t="e">
        <f t="shared" si="409"/>
        <v>#REF!</v>
      </c>
      <c r="K228" s="192">
        <f t="shared" si="410"/>
        <v>2309</v>
      </c>
      <c r="L228" s="192">
        <f t="shared" si="411"/>
        <v>2061</v>
      </c>
      <c r="M228" s="192">
        <f t="shared" si="412"/>
        <v>1999</v>
      </c>
      <c r="N228" s="192">
        <f t="shared" si="413"/>
        <v>2045</v>
      </c>
      <c r="O228" s="192" t="e">
        <f t="shared" si="414"/>
        <v>#REF!</v>
      </c>
      <c r="P228" s="192">
        <f t="shared" ref="P228:T228" si="429">+P226</f>
        <v>2000</v>
      </c>
      <c r="Q228" s="192">
        <f t="shared" si="429"/>
        <v>2000</v>
      </c>
      <c r="R228" s="192">
        <f t="shared" si="429"/>
        <v>2000</v>
      </c>
      <c r="S228" s="192">
        <f t="shared" si="429"/>
        <v>2000</v>
      </c>
      <c r="T228" s="192">
        <f t="shared" si="429"/>
        <v>2000</v>
      </c>
      <c r="U228" s="192">
        <f t="shared" si="416"/>
        <v>309</v>
      </c>
      <c r="V228" s="192">
        <f t="shared" si="417"/>
        <v>61</v>
      </c>
      <c r="W228" s="192">
        <f t="shared" si="418"/>
        <v>-1</v>
      </c>
      <c r="X228" s="192">
        <f t="shared" si="419"/>
        <v>45</v>
      </c>
      <c r="Y228" s="192" t="e">
        <f t="shared" si="420"/>
        <v>#REF!</v>
      </c>
      <c r="Z228" s="192">
        <v>4</v>
      </c>
      <c r="AA228" s="192">
        <v>5</v>
      </c>
      <c r="AB228" s="192">
        <v>7</v>
      </c>
      <c r="AC228" s="192">
        <v>4</v>
      </c>
      <c r="AD228" s="192">
        <v>6</v>
      </c>
      <c r="AE228" s="192" t="e">
        <f t="shared" si="421"/>
        <v>#REF!</v>
      </c>
      <c r="AF228" s="192">
        <f t="shared" si="422"/>
        <v>-568</v>
      </c>
      <c r="AG228" s="192">
        <f t="shared" si="423"/>
        <v>-600</v>
      </c>
      <c r="AH228" s="192">
        <f t="shared" si="424"/>
        <v>-509</v>
      </c>
      <c r="AI228" s="192">
        <f t="shared" si="425"/>
        <v>-327</v>
      </c>
      <c r="AJ228" s="107">
        <f t="shared" si="426"/>
        <v>1.1990000000000103</v>
      </c>
      <c r="AK228" s="203"/>
      <c r="AL228" s="203">
        <f t="shared" si="427"/>
        <v>1.2</v>
      </c>
      <c r="AM228" s="262"/>
      <c r="AN228" s="263"/>
    </row>
    <row r="229" spans="1:40" s="68" customFormat="1" ht="17.25" customHeight="1">
      <c r="A229" s="105">
        <v>219</v>
      </c>
      <c r="B229" s="104">
        <f t="shared" si="283"/>
        <v>45794</v>
      </c>
      <c r="C229" s="192">
        <f t="shared" si="264"/>
        <v>1049</v>
      </c>
      <c r="D229" s="192">
        <f t="shared" si="265"/>
        <v>1656</v>
      </c>
      <c r="E229" s="192">
        <f t="shared" si="404"/>
        <v>2705</v>
      </c>
      <c r="F229" s="192">
        <f t="shared" si="405"/>
        <v>395</v>
      </c>
      <c r="G229" s="192">
        <f t="shared" si="406"/>
        <v>632</v>
      </c>
      <c r="H229" s="192">
        <f t="shared" si="407"/>
        <v>702</v>
      </c>
      <c r="I229" s="192">
        <f t="shared" si="408"/>
        <v>659</v>
      </c>
      <c r="J229" s="192" t="e">
        <f t="shared" si="409"/>
        <v>#REF!</v>
      </c>
      <c r="K229" s="192">
        <f t="shared" si="410"/>
        <v>2310</v>
      </c>
      <c r="L229" s="192">
        <f t="shared" si="411"/>
        <v>2073</v>
      </c>
      <c r="M229" s="192">
        <f t="shared" si="412"/>
        <v>2003</v>
      </c>
      <c r="N229" s="192">
        <f t="shared" si="413"/>
        <v>2046</v>
      </c>
      <c r="O229" s="192" t="e">
        <f t="shared" si="414"/>
        <v>#REF!</v>
      </c>
      <c r="P229" s="192">
        <f t="shared" ref="P229:T229" si="430">+P227</f>
        <v>2000</v>
      </c>
      <c r="Q229" s="192">
        <f t="shared" si="430"/>
        <v>2000</v>
      </c>
      <c r="R229" s="192">
        <f t="shared" si="430"/>
        <v>2000</v>
      </c>
      <c r="S229" s="192">
        <f t="shared" si="430"/>
        <v>2000</v>
      </c>
      <c r="T229" s="192">
        <f t="shared" si="430"/>
        <v>2000</v>
      </c>
      <c r="U229" s="192">
        <f t="shared" si="416"/>
        <v>310</v>
      </c>
      <c r="V229" s="192">
        <f t="shared" si="417"/>
        <v>73</v>
      </c>
      <c r="W229" s="192">
        <f t="shared" si="418"/>
        <v>3</v>
      </c>
      <c r="X229" s="192">
        <f t="shared" si="419"/>
        <v>46</v>
      </c>
      <c r="Y229" s="192" t="e">
        <f t="shared" si="420"/>
        <v>#REF!</v>
      </c>
      <c r="Z229" s="192">
        <v>4</v>
      </c>
      <c r="AA229" s="192">
        <v>4</v>
      </c>
      <c r="AB229" s="192">
        <v>6</v>
      </c>
      <c r="AC229" s="192">
        <v>6</v>
      </c>
      <c r="AD229" s="192">
        <v>6</v>
      </c>
      <c r="AE229" s="192" t="e">
        <f t="shared" si="421"/>
        <v>#REF!</v>
      </c>
      <c r="AF229" s="192">
        <f t="shared" si="422"/>
        <v>-556</v>
      </c>
      <c r="AG229" s="192">
        <f t="shared" si="423"/>
        <v>-596</v>
      </c>
      <c r="AH229" s="192">
        <f t="shared" si="424"/>
        <v>-508</v>
      </c>
      <c r="AI229" s="192">
        <f t="shared" si="425"/>
        <v>-324</v>
      </c>
      <c r="AJ229" s="107">
        <f t="shared" si="426"/>
        <v>1.2030000000000094</v>
      </c>
      <c r="AK229" s="203"/>
      <c r="AL229" s="203">
        <f t="shared" si="427"/>
        <v>1.2</v>
      </c>
      <c r="AM229" s="262"/>
      <c r="AN229" s="263"/>
    </row>
    <row r="230" spans="1:40" s="68" customFormat="1" ht="17.25" customHeight="1">
      <c r="A230" s="105">
        <v>220</v>
      </c>
      <c r="B230" s="104">
        <f t="shared" si="283"/>
        <v>45795</v>
      </c>
      <c r="C230" s="192">
        <f t="shared" si="264"/>
        <v>1049</v>
      </c>
      <c r="D230" s="192">
        <f t="shared" si="265"/>
        <v>1615</v>
      </c>
      <c r="E230" s="192">
        <f t="shared" si="404"/>
        <v>2664</v>
      </c>
      <c r="F230" s="192">
        <f t="shared" si="405"/>
        <v>359</v>
      </c>
      <c r="G230" s="192">
        <f t="shared" si="406"/>
        <v>607</v>
      </c>
      <c r="H230" s="192">
        <f t="shared" si="407"/>
        <v>671</v>
      </c>
      <c r="I230" s="192">
        <f t="shared" si="408"/>
        <v>623</v>
      </c>
      <c r="J230" s="192" t="e">
        <f t="shared" si="409"/>
        <v>#REF!</v>
      </c>
      <c r="K230" s="192">
        <f t="shared" si="410"/>
        <v>2305</v>
      </c>
      <c r="L230" s="192">
        <f t="shared" si="411"/>
        <v>2057</v>
      </c>
      <c r="M230" s="192">
        <f t="shared" si="412"/>
        <v>1993</v>
      </c>
      <c r="N230" s="192">
        <f t="shared" si="413"/>
        <v>2041</v>
      </c>
      <c r="O230" s="192" t="e">
        <f t="shared" si="414"/>
        <v>#REF!</v>
      </c>
      <c r="P230" s="192">
        <f t="shared" ref="P230:T230" si="431">+P228</f>
        <v>2000</v>
      </c>
      <c r="Q230" s="192">
        <f t="shared" si="431"/>
        <v>2000</v>
      </c>
      <c r="R230" s="192">
        <f t="shared" si="431"/>
        <v>2000</v>
      </c>
      <c r="S230" s="192">
        <f t="shared" si="431"/>
        <v>2000</v>
      </c>
      <c r="T230" s="192">
        <f t="shared" si="431"/>
        <v>2000</v>
      </c>
      <c r="U230" s="192">
        <f t="shared" si="416"/>
        <v>305</v>
      </c>
      <c r="V230" s="192">
        <f t="shared" si="417"/>
        <v>57</v>
      </c>
      <c r="W230" s="192">
        <f t="shared" si="418"/>
        <v>-7</v>
      </c>
      <c r="X230" s="192">
        <f t="shared" si="419"/>
        <v>41</v>
      </c>
      <c r="Y230" s="192" t="e">
        <f t="shared" si="420"/>
        <v>#REF!</v>
      </c>
      <c r="Z230" s="192">
        <v>4</v>
      </c>
      <c r="AA230" s="192">
        <v>4</v>
      </c>
      <c r="AB230" s="192">
        <v>6</v>
      </c>
      <c r="AC230" s="192">
        <v>4</v>
      </c>
      <c r="AD230" s="192">
        <v>6</v>
      </c>
      <c r="AE230" s="192" t="e">
        <f t="shared" si="421"/>
        <v>#REF!</v>
      </c>
      <c r="AF230" s="192">
        <f t="shared" si="422"/>
        <v>-572</v>
      </c>
      <c r="AG230" s="192">
        <f t="shared" si="423"/>
        <v>-606</v>
      </c>
      <c r="AH230" s="192">
        <f t="shared" si="424"/>
        <v>-513</v>
      </c>
      <c r="AI230" s="192">
        <f t="shared" si="425"/>
        <v>-333</v>
      </c>
      <c r="AJ230" s="107">
        <f t="shared" si="426"/>
        <v>1.1930000000000103</v>
      </c>
      <c r="AK230" s="203"/>
      <c r="AL230" s="203">
        <f t="shared" si="427"/>
        <v>1.2</v>
      </c>
      <c r="AM230" s="262"/>
      <c r="AN230" s="263"/>
    </row>
    <row r="231" spans="1:40" s="68" customFormat="1" ht="17.25" customHeight="1">
      <c r="A231" s="105">
        <v>221</v>
      </c>
      <c r="B231" s="104">
        <f t="shared" si="283"/>
        <v>45796</v>
      </c>
      <c r="C231" s="192">
        <f t="shared" si="264"/>
        <v>1049</v>
      </c>
      <c r="D231" s="192">
        <f t="shared" si="265"/>
        <v>1630</v>
      </c>
      <c r="E231" s="192">
        <f t="shared" si="404"/>
        <v>2679</v>
      </c>
      <c r="F231" s="192">
        <f t="shared" si="405"/>
        <v>373</v>
      </c>
      <c r="G231" s="192">
        <f t="shared" si="406"/>
        <v>610</v>
      </c>
      <c r="H231" s="192">
        <f t="shared" si="407"/>
        <v>680</v>
      </c>
      <c r="I231" s="192">
        <f t="shared" si="408"/>
        <v>638</v>
      </c>
      <c r="J231" s="192" t="e">
        <f t="shared" si="409"/>
        <v>#REF!</v>
      </c>
      <c r="K231" s="192">
        <f t="shared" si="410"/>
        <v>2306</v>
      </c>
      <c r="L231" s="192">
        <f t="shared" si="411"/>
        <v>2069</v>
      </c>
      <c r="M231" s="192">
        <f t="shared" si="412"/>
        <v>1999</v>
      </c>
      <c r="N231" s="192">
        <f t="shared" si="413"/>
        <v>2041</v>
      </c>
      <c r="O231" s="192" t="e">
        <f t="shared" si="414"/>
        <v>#REF!</v>
      </c>
      <c r="P231" s="192">
        <f t="shared" ref="P231:T231" si="432">+P229</f>
        <v>2000</v>
      </c>
      <c r="Q231" s="192">
        <f t="shared" si="432"/>
        <v>2000</v>
      </c>
      <c r="R231" s="192">
        <f t="shared" si="432"/>
        <v>2000</v>
      </c>
      <c r="S231" s="192">
        <f t="shared" si="432"/>
        <v>2000</v>
      </c>
      <c r="T231" s="192">
        <f t="shared" si="432"/>
        <v>2000</v>
      </c>
      <c r="U231" s="192">
        <f t="shared" si="416"/>
        <v>306</v>
      </c>
      <c r="V231" s="192">
        <f t="shared" si="417"/>
        <v>69</v>
      </c>
      <c r="W231" s="192">
        <f t="shared" si="418"/>
        <v>-1</v>
      </c>
      <c r="X231" s="192">
        <f t="shared" si="419"/>
        <v>41</v>
      </c>
      <c r="Y231" s="192" t="e">
        <f t="shared" si="420"/>
        <v>#REF!</v>
      </c>
      <c r="Z231" s="192">
        <v>4</v>
      </c>
      <c r="AA231" s="192">
        <v>4</v>
      </c>
      <c r="AB231" s="192">
        <v>4</v>
      </c>
      <c r="AC231" s="192">
        <v>5</v>
      </c>
      <c r="AD231" s="192">
        <v>6</v>
      </c>
      <c r="AE231" s="192" t="e">
        <f t="shared" si="421"/>
        <v>#REF!</v>
      </c>
      <c r="AF231" s="192">
        <f t="shared" si="422"/>
        <v>-560</v>
      </c>
      <c r="AG231" s="192">
        <f t="shared" si="423"/>
        <v>-600</v>
      </c>
      <c r="AH231" s="192">
        <f t="shared" si="424"/>
        <v>-513</v>
      </c>
      <c r="AI231" s="192">
        <f t="shared" si="425"/>
        <v>-330</v>
      </c>
      <c r="AJ231" s="107">
        <f t="shared" si="426"/>
        <v>1.1990000000000094</v>
      </c>
      <c r="AK231" s="203"/>
      <c r="AL231" s="203">
        <f t="shared" si="427"/>
        <v>1.2</v>
      </c>
      <c r="AM231" s="262"/>
      <c r="AN231" s="263"/>
    </row>
    <row r="232" spans="1:40" s="68" customFormat="1" ht="17.25" customHeight="1">
      <c r="A232" s="105">
        <v>222</v>
      </c>
      <c r="B232" s="104">
        <f t="shared" si="283"/>
        <v>45797</v>
      </c>
      <c r="C232" s="192">
        <f t="shared" si="264"/>
        <v>1049</v>
      </c>
      <c r="D232" s="192">
        <f t="shared" si="265"/>
        <v>1589</v>
      </c>
      <c r="E232" s="192">
        <f t="shared" si="404"/>
        <v>2638</v>
      </c>
      <c r="F232" s="192">
        <f t="shared" si="405"/>
        <v>337</v>
      </c>
      <c r="G232" s="192">
        <f t="shared" si="406"/>
        <v>584</v>
      </c>
      <c r="H232" s="192">
        <f t="shared" si="407"/>
        <v>651</v>
      </c>
      <c r="I232" s="192">
        <f t="shared" si="408"/>
        <v>602</v>
      </c>
      <c r="J232" s="192" t="e">
        <f t="shared" si="409"/>
        <v>#REF!</v>
      </c>
      <c r="K232" s="192">
        <f t="shared" si="410"/>
        <v>2301</v>
      </c>
      <c r="L232" s="192">
        <f t="shared" si="411"/>
        <v>2054</v>
      </c>
      <c r="M232" s="192">
        <f t="shared" si="412"/>
        <v>1987</v>
      </c>
      <c r="N232" s="192">
        <f t="shared" si="413"/>
        <v>2036</v>
      </c>
      <c r="O232" s="192" t="e">
        <f t="shared" si="414"/>
        <v>#REF!</v>
      </c>
      <c r="P232" s="192">
        <f t="shared" ref="P232:T232" si="433">+P230</f>
        <v>2000</v>
      </c>
      <c r="Q232" s="192">
        <f t="shared" si="433"/>
        <v>2000</v>
      </c>
      <c r="R232" s="192">
        <f t="shared" si="433"/>
        <v>2000</v>
      </c>
      <c r="S232" s="192">
        <f t="shared" si="433"/>
        <v>2000</v>
      </c>
      <c r="T232" s="192">
        <f t="shared" si="433"/>
        <v>2000</v>
      </c>
      <c r="U232" s="192">
        <f t="shared" si="416"/>
        <v>301</v>
      </c>
      <c r="V232" s="192">
        <f t="shared" si="417"/>
        <v>54</v>
      </c>
      <c r="W232" s="192">
        <f t="shared" si="418"/>
        <v>-13</v>
      </c>
      <c r="X232" s="192">
        <f t="shared" si="419"/>
        <v>36</v>
      </c>
      <c r="Y232" s="192" t="e">
        <f t="shared" si="420"/>
        <v>#REF!</v>
      </c>
      <c r="Z232" s="192">
        <v>4</v>
      </c>
      <c r="AA232" s="192">
        <v>3</v>
      </c>
      <c r="AB232" s="192">
        <v>6</v>
      </c>
      <c r="AC232" s="192">
        <v>5</v>
      </c>
      <c r="AD232" s="192">
        <v>6</v>
      </c>
      <c r="AE232" s="192" t="e">
        <f t="shared" si="421"/>
        <v>#REF!</v>
      </c>
      <c r="AF232" s="192">
        <f t="shared" si="422"/>
        <v>-575</v>
      </c>
      <c r="AG232" s="192">
        <f t="shared" si="423"/>
        <v>-612</v>
      </c>
      <c r="AH232" s="192">
        <f t="shared" si="424"/>
        <v>-518</v>
      </c>
      <c r="AI232" s="192">
        <f t="shared" si="425"/>
        <v>-339</v>
      </c>
      <c r="AJ232" s="107">
        <f t="shared" si="426"/>
        <v>1.1870000000000103</v>
      </c>
      <c r="AK232" s="203"/>
      <c r="AL232" s="203">
        <f t="shared" si="427"/>
        <v>1.2</v>
      </c>
      <c r="AM232" s="262"/>
      <c r="AN232" s="263"/>
    </row>
    <row r="233" spans="1:40" s="68" customFormat="1" ht="17.25" customHeight="1">
      <c r="A233" s="105">
        <v>223</v>
      </c>
      <c r="B233" s="104">
        <f t="shared" si="283"/>
        <v>45798</v>
      </c>
      <c r="C233" s="192">
        <f t="shared" si="264"/>
        <v>1049</v>
      </c>
      <c r="D233" s="192">
        <f t="shared" si="265"/>
        <v>1604</v>
      </c>
      <c r="E233" s="192">
        <f t="shared" si="404"/>
        <v>2653</v>
      </c>
      <c r="F233" s="192">
        <f t="shared" si="405"/>
        <v>351</v>
      </c>
      <c r="G233" s="192">
        <f t="shared" si="406"/>
        <v>587</v>
      </c>
      <c r="H233" s="192">
        <f t="shared" si="407"/>
        <v>658</v>
      </c>
      <c r="I233" s="192">
        <f t="shared" si="408"/>
        <v>616</v>
      </c>
      <c r="J233" s="192" t="e">
        <f t="shared" si="409"/>
        <v>#REF!</v>
      </c>
      <c r="K233" s="192">
        <f t="shared" si="410"/>
        <v>2302</v>
      </c>
      <c r="L233" s="192">
        <f t="shared" si="411"/>
        <v>2066</v>
      </c>
      <c r="M233" s="192">
        <f t="shared" si="412"/>
        <v>1995</v>
      </c>
      <c r="N233" s="192">
        <f t="shared" si="413"/>
        <v>2037</v>
      </c>
      <c r="O233" s="192" t="e">
        <f t="shared" si="414"/>
        <v>#REF!</v>
      </c>
      <c r="P233" s="192">
        <f t="shared" ref="P233:T233" si="434">+P231</f>
        <v>2000</v>
      </c>
      <c r="Q233" s="192">
        <f t="shared" si="434"/>
        <v>2000</v>
      </c>
      <c r="R233" s="192">
        <f t="shared" si="434"/>
        <v>2000</v>
      </c>
      <c r="S233" s="192">
        <f t="shared" si="434"/>
        <v>2000</v>
      </c>
      <c r="T233" s="192">
        <f t="shared" si="434"/>
        <v>2000</v>
      </c>
      <c r="U233" s="192">
        <f t="shared" si="416"/>
        <v>302</v>
      </c>
      <c r="V233" s="192">
        <f t="shared" si="417"/>
        <v>66</v>
      </c>
      <c r="W233" s="192">
        <f t="shared" si="418"/>
        <v>-5</v>
      </c>
      <c r="X233" s="192">
        <f t="shared" si="419"/>
        <v>37</v>
      </c>
      <c r="Y233" s="192" t="e">
        <f t="shared" si="420"/>
        <v>#REF!</v>
      </c>
      <c r="Z233" s="192">
        <v>4</v>
      </c>
      <c r="AA233" s="192">
        <v>3</v>
      </c>
      <c r="AB233" s="192">
        <v>4</v>
      </c>
      <c r="AC233" s="192">
        <v>4</v>
      </c>
      <c r="AD233" s="192">
        <v>6</v>
      </c>
      <c r="AE233" s="192" t="e">
        <f t="shared" si="421"/>
        <v>#REF!</v>
      </c>
      <c r="AF233" s="192">
        <f t="shared" si="422"/>
        <v>-563</v>
      </c>
      <c r="AG233" s="192">
        <f t="shared" si="423"/>
        <v>-604</v>
      </c>
      <c r="AH233" s="192">
        <f t="shared" si="424"/>
        <v>-517</v>
      </c>
      <c r="AI233" s="192">
        <f t="shared" si="425"/>
        <v>-336</v>
      </c>
      <c r="AJ233" s="107">
        <f t="shared" si="426"/>
        <v>1.1950000000000094</v>
      </c>
      <c r="AK233" s="203"/>
      <c r="AL233" s="203">
        <f t="shared" si="427"/>
        <v>1.2</v>
      </c>
      <c r="AM233" s="262"/>
      <c r="AN233" s="263"/>
    </row>
    <row r="234" spans="1:40" s="68" customFormat="1" ht="17.25" customHeight="1">
      <c r="A234" s="105">
        <v>224</v>
      </c>
      <c r="B234" s="104">
        <f t="shared" si="283"/>
        <v>45799</v>
      </c>
      <c r="C234" s="192">
        <f t="shared" si="264"/>
        <v>1049</v>
      </c>
      <c r="D234" s="192">
        <f t="shared" si="265"/>
        <v>1563</v>
      </c>
      <c r="E234" s="192">
        <f t="shared" si="404"/>
        <v>2612</v>
      </c>
      <c r="F234" s="192">
        <f t="shared" si="405"/>
        <v>315</v>
      </c>
      <c r="G234" s="192">
        <f t="shared" si="406"/>
        <v>561</v>
      </c>
      <c r="H234" s="192">
        <f t="shared" si="407"/>
        <v>631</v>
      </c>
      <c r="I234" s="192">
        <f t="shared" si="408"/>
        <v>580</v>
      </c>
      <c r="J234" s="192" t="e">
        <f t="shared" si="409"/>
        <v>#REF!</v>
      </c>
      <c r="K234" s="192">
        <f t="shared" si="410"/>
        <v>2297</v>
      </c>
      <c r="L234" s="192">
        <f t="shared" si="411"/>
        <v>2051</v>
      </c>
      <c r="M234" s="192">
        <f t="shared" si="412"/>
        <v>1981</v>
      </c>
      <c r="N234" s="192">
        <f t="shared" si="413"/>
        <v>2032</v>
      </c>
      <c r="O234" s="192" t="e">
        <f t="shared" si="414"/>
        <v>#REF!</v>
      </c>
      <c r="P234" s="192">
        <f t="shared" ref="P234:T234" si="435">+P232</f>
        <v>2000</v>
      </c>
      <c r="Q234" s="192">
        <f t="shared" si="435"/>
        <v>2000</v>
      </c>
      <c r="R234" s="192">
        <f t="shared" si="435"/>
        <v>2000</v>
      </c>
      <c r="S234" s="192">
        <f t="shared" si="435"/>
        <v>2000</v>
      </c>
      <c r="T234" s="192">
        <f t="shared" si="435"/>
        <v>2000</v>
      </c>
      <c r="U234" s="192">
        <f t="shared" si="416"/>
        <v>297</v>
      </c>
      <c r="V234" s="192">
        <f t="shared" si="417"/>
        <v>51</v>
      </c>
      <c r="W234" s="192">
        <f t="shared" si="418"/>
        <v>-19</v>
      </c>
      <c r="X234" s="192">
        <f t="shared" si="419"/>
        <v>32</v>
      </c>
      <c r="Y234" s="192" t="e">
        <f t="shared" si="420"/>
        <v>#REF!</v>
      </c>
      <c r="Z234" s="192">
        <v>4</v>
      </c>
      <c r="AA234" s="192">
        <v>3</v>
      </c>
      <c r="AB234" s="192">
        <v>6</v>
      </c>
      <c r="AC234" s="192">
        <v>4</v>
      </c>
      <c r="AD234" s="192">
        <v>6</v>
      </c>
      <c r="AE234" s="192" t="e">
        <f t="shared" si="421"/>
        <v>#REF!</v>
      </c>
      <c r="AF234" s="192">
        <f t="shared" si="422"/>
        <v>-578</v>
      </c>
      <c r="AG234" s="192">
        <f t="shared" si="423"/>
        <v>-618</v>
      </c>
      <c r="AH234" s="192">
        <f t="shared" si="424"/>
        <v>-522</v>
      </c>
      <c r="AI234" s="192">
        <f t="shared" si="425"/>
        <v>-345</v>
      </c>
      <c r="AJ234" s="107">
        <f t="shared" si="426"/>
        <v>1.1810000000000103</v>
      </c>
      <c r="AK234" s="203"/>
      <c r="AL234" s="203">
        <f t="shared" si="427"/>
        <v>1.2</v>
      </c>
      <c r="AM234" s="262"/>
      <c r="AN234" s="263"/>
    </row>
    <row r="235" spans="1:40" s="68" customFormat="1" ht="17.25" customHeight="1">
      <c r="A235" s="105">
        <v>225</v>
      </c>
      <c r="B235" s="104">
        <f t="shared" si="283"/>
        <v>45800</v>
      </c>
      <c r="C235" s="192">
        <f t="shared" si="264"/>
        <v>1049</v>
      </c>
      <c r="D235" s="192">
        <f t="shared" si="265"/>
        <v>1578</v>
      </c>
      <c r="E235" s="192">
        <f t="shared" si="404"/>
        <v>2627</v>
      </c>
      <c r="F235" s="192">
        <f t="shared" si="405"/>
        <v>329</v>
      </c>
      <c r="G235" s="192">
        <f t="shared" si="406"/>
        <v>564</v>
      </c>
      <c r="H235" s="192">
        <f t="shared" si="407"/>
        <v>637</v>
      </c>
      <c r="I235" s="192">
        <f t="shared" si="408"/>
        <v>595</v>
      </c>
      <c r="J235" s="192" t="e">
        <f t="shared" si="409"/>
        <v>#REF!</v>
      </c>
      <c r="K235" s="192">
        <f t="shared" si="410"/>
        <v>2298</v>
      </c>
      <c r="L235" s="192">
        <f t="shared" si="411"/>
        <v>2063</v>
      </c>
      <c r="M235" s="192">
        <f t="shared" si="412"/>
        <v>1990</v>
      </c>
      <c r="N235" s="192">
        <f t="shared" si="413"/>
        <v>2032</v>
      </c>
      <c r="O235" s="192" t="e">
        <f t="shared" si="414"/>
        <v>#REF!</v>
      </c>
      <c r="P235" s="192">
        <f t="shared" ref="P235:T235" si="436">+P233</f>
        <v>2000</v>
      </c>
      <c r="Q235" s="192">
        <f t="shared" si="436"/>
        <v>2000</v>
      </c>
      <c r="R235" s="192">
        <f t="shared" si="436"/>
        <v>2000</v>
      </c>
      <c r="S235" s="192">
        <f t="shared" si="436"/>
        <v>2000</v>
      </c>
      <c r="T235" s="192">
        <f t="shared" si="436"/>
        <v>2000</v>
      </c>
      <c r="U235" s="192">
        <f t="shared" si="416"/>
        <v>298</v>
      </c>
      <c r="V235" s="192">
        <f t="shared" si="417"/>
        <v>63</v>
      </c>
      <c r="W235" s="192">
        <f t="shared" si="418"/>
        <v>-10</v>
      </c>
      <c r="X235" s="192">
        <f t="shared" si="419"/>
        <v>32</v>
      </c>
      <c r="Y235" s="192" t="e">
        <f t="shared" si="420"/>
        <v>#REF!</v>
      </c>
      <c r="Z235" s="192">
        <v>4</v>
      </c>
      <c r="AA235" s="192">
        <v>3</v>
      </c>
      <c r="AB235" s="192">
        <v>5</v>
      </c>
      <c r="AC235" s="192">
        <v>5</v>
      </c>
      <c r="AD235" s="192">
        <v>6</v>
      </c>
      <c r="AE235" s="192" t="e">
        <f t="shared" si="421"/>
        <v>#REF!</v>
      </c>
      <c r="AF235" s="192">
        <f t="shared" si="422"/>
        <v>-566</v>
      </c>
      <c r="AG235" s="192">
        <f t="shared" si="423"/>
        <v>-609</v>
      </c>
      <c r="AH235" s="192">
        <f t="shared" si="424"/>
        <v>-522</v>
      </c>
      <c r="AI235" s="192">
        <f t="shared" si="425"/>
        <v>-342</v>
      </c>
      <c r="AJ235" s="107">
        <f t="shared" si="426"/>
        <v>1.1900000000000095</v>
      </c>
      <c r="AK235" s="203"/>
      <c r="AL235" s="203">
        <f t="shared" si="427"/>
        <v>1.2</v>
      </c>
      <c r="AM235" s="262"/>
      <c r="AN235" s="263"/>
    </row>
    <row r="236" spans="1:40" s="68" customFormat="1" ht="17.25" customHeight="1">
      <c r="A236" s="105">
        <v>226</v>
      </c>
      <c r="B236" s="104">
        <f t="shared" si="283"/>
        <v>45801</v>
      </c>
      <c r="C236" s="192">
        <f t="shared" si="264"/>
        <v>1049</v>
      </c>
      <c r="D236" s="192">
        <f t="shared" si="265"/>
        <v>1537</v>
      </c>
      <c r="E236" s="192">
        <f t="shared" si="404"/>
        <v>2586</v>
      </c>
      <c r="F236" s="192">
        <f t="shared" si="405"/>
        <v>293</v>
      </c>
      <c r="G236" s="192">
        <f t="shared" si="406"/>
        <v>538</v>
      </c>
      <c r="H236" s="192">
        <f t="shared" si="407"/>
        <v>609</v>
      </c>
      <c r="I236" s="192">
        <f t="shared" si="408"/>
        <v>560</v>
      </c>
      <c r="J236" s="192" t="e">
        <f t="shared" si="409"/>
        <v>#REF!</v>
      </c>
      <c r="K236" s="192">
        <f t="shared" si="410"/>
        <v>2293</v>
      </c>
      <c r="L236" s="192">
        <f t="shared" si="411"/>
        <v>2048</v>
      </c>
      <c r="M236" s="192">
        <f t="shared" si="412"/>
        <v>1977</v>
      </c>
      <c r="N236" s="192">
        <f t="shared" si="413"/>
        <v>2026</v>
      </c>
      <c r="O236" s="192" t="e">
        <f t="shared" si="414"/>
        <v>#REF!</v>
      </c>
      <c r="P236" s="192">
        <f t="shared" ref="P236:T236" si="437">+P234</f>
        <v>2000</v>
      </c>
      <c r="Q236" s="192">
        <f t="shared" si="437"/>
        <v>2000</v>
      </c>
      <c r="R236" s="192">
        <f t="shared" si="437"/>
        <v>2000</v>
      </c>
      <c r="S236" s="192">
        <f t="shared" si="437"/>
        <v>2000</v>
      </c>
      <c r="T236" s="192">
        <f t="shared" si="437"/>
        <v>2000</v>
      </c>
      <c r="U236" s="192">
        <f t="shared" si="416"/>
        <v>293</v>
      </c>
      <c r="V236" s="192">
        <f t="shared" si="417"/>
        <v>48</v>
      </c>
      <c r="W236" s="192">
        <f t="shared" si="418"/>
        <v>-23</v>
      </c>
      <c r="X236" s="192">
        <f t="shared" si="419"/>
        <v>26</v>
      </c>
      <c r="Y236" s="192" t="e">
        <f t="shared" si="420"/>
        <v>#REF!</v>
      </c>
      <c r="Z236" s="192">
        <v>4</v>
      </c>
      <c r="AA236" s="192">
        <v>3</v>
      </c>
      <c r="AB236" s="192">
        <v>4</v>
      </c>
      <c r="AC236" s="192">
        <v>6</v>
      </c>
      <c r="AD236" s="192">
        <v>6</v>
      </c>
      <c r="AE236" s="192" t="e">
        <f t="shared" si="421"/>
        <v>#REF!</v>
      </c>
      <c r="AF236" s="192">
        <f t="shared" si="422"/>
        <v>-581</v>
      </c>
      <c r="AG236" s="192">
        <f t="shared" si="423"/>
        <v>-622</v>
      </c>
      <c r="AH236" s="192">
        <f t="shared" si="424"/>
        <v>-528</v>
      </c>
      <c r="AI236" s="192">
        <f t="shared" si="425"/>
        <v>-351</v>
      </c>
      <c r="AJ236" s="107">
        <f t="shared" si="426"/>
        <v>1.1770000000000103</v>
      </c>
      <c r="AK236" s="203"/>
      <c r="AL236" s="203">
        <f t="shared" si="427"/>
        <v>1.2</v>
      </c>
      <c r="AM236" s="262"/>
      <c r="AN236" s="263"/>
    </row>
    <row r="237" spans="1:40" s="68" customFormat="1" ht="17.25" customHeight="1">
      <c r="A237" s="105">
        <v>227</v>
      </c>
      <c r="B237" s="104">
        <f t="shared" si="283"/>
        <v>45802</v>
      </c>
      <c r="C237" s="192">
        <f t="shared" si="264"/>
        <v>1049</v>
      </c>
      <c r="D237" s="192">
        <f t="shared" si="265"/>
        <v>1552</v>
      </c>
      <c r="E237" s="192">
        <f t="shared" si="404"/>
        <v>2601</v>
      </c>
      <c r="F237" s="192">
        <f t="shared" si="405"/>
        <v>307</v>
      </c>
      <c r="G237" s="192">
        <f t="shared" si="406"/>
        <v>541</v>
      </c>
      <c r="H237" s="192">
        <f t="shared" si="407"/>
        <v>614</v>
      </c>
      <c r="I237" s="192">
        <f t="shared" si="408"/>
        <v>574</v>
      </c>
      <c r="J237" s="192" t="e">
        <f t="shared" si="409"/>
        <v>#REF!</v>
      </c>
      <c r="K237" s="192">
        <f t="shared" si="410"/>
        <v>2294</v>
      </c>
      <c r="L237" s="192">
        <f t="shared" si="411"/>
        <v>2060</v>
      </c>
      <c r="M237" s="192">
        <f t="shared" si="412"/>
        <v>1987</v>
      </c>
      <c r="N237" s="192">
        <f t="shared" si="413"/>
        <v>2027</v>
      </c>
      <c r="O237" s="192" t="e">
        <f t="shared" si="414"/>
        <v>#REF!</v>
      </c>
      <c r="P237" s="192">
        <f t="shared" ref="P237:T237" si="438">+P235</f>
        <v>2000</v>
      </c>
      <c r="Q237" s="192">
        <f t="shared" si="438"/>
        <v>2000</v>
      </c>
      <c r="R237" s="192">
        <f t="shared" si="438"/>
        <v>2000</v>
      </c>
      <c r="S237" s="192">
        <f t="shared" si="438"/>
        <v>2000</v>
      </c>
      <c r="T237" s="192">
        <f t="shared" si="438"/>
        <v>2000</v>
      </c>
      <c r="U237" s="192">
        <f t="shared" si="416"/>
        <v>294</v>
      </c>
      <c r="V237" s="192">
        <f t="shared" si="417"/>
        <v>60</v>
      </c>
      <c r="W237" s="192">
        <f t="shared" si="418"/>
        <v>-13</v>
      </c>
      <c r="X237" s="192">
        <f t="shared" si="419"/>
        <v>27</v>
      </c>
      <c r="Y237" s="192" t="e">
        <f t="shared" si="420"/>
        <v>#REF!</v>
      </c>
      <c r="Z237" s="192">
        <v>4</v>
      </c>
      <c r="AA237" s="192">
        <v>3</v>
      </c>
      <c r="AB237" s="192">
        <v>3</v>
      </c>
      <c r="AC237" s="192">
        <v>5</v>
      </c>
      <c r="AD237" s="192">
        <v>6</v>
      </c>
      <c r="AE237" s="192" t="e">
        <f t="shared" si="421"/>
        <v>#REF!</v>
      </c>
      <c r="AF237" s="192">
        <f t="shared" si="422"/>
        <v>-569</v>
      </c>
      <c r="AG237" s="192">
        <f t="shared" si="423"/>
        <v>-612</v>
      </c>
      <c r="AH237" s="192">
        <f t="shared" si="424"/>
        <v>-527</v>
      </c>
      <c r="AI237" s="192">
        <f t="shared" si="425"/>
        <v>-348</v>
      </c>
      <c r="AJ237" s="107">
        <f t="shared" si="426"/>
        <v>1.1870000000000096</v>
      </c>
      <c r="AK237" s="203"/>
      <c r="AL237" s="203">
        <f t="shared" si="427"/>
        <v>1.2</v>
      </c>
      <c r="AM237" s="262"/>
      <c r="AN237" s="263"/>
    </row>
    <row r="238" spans="1:40" s="68" customFormat="1" ht="17.25" customHeight="1">
      <c r="A238" s="105">
        <v>228</v>
      </c>
      <c r="B238" s="104">
        <f t="shared" si="283"/>
        <v>45803</v>
      </c>
      <c r="C238" s="192">
        <f t="shared" si="264"/>
        <v>1049</v>
      </c>
      <c r="D238" s="192">
        <f t="shared" si="265"/>
        <v>1511</v>
      </c>
      <c r="E238" s="192">
        <f t="shared" si="404"/>
        <v>2560</v>
      </c>
      <c r="F238" s="192">
        <f t="shared" si="405"/>
        <v>271</v>
      </c>
      <c r="G238" s="192">
        <f t="shared" si="406"/>
        <v>515</v>
      </c>
      <c r="H238" s="192">
        <f t="shared" si="407"/>
        <v>588</v>
      </c>
      <c r="I238" s="192">
        <f t="shared" si="408"/>
        <v>538</v>
      </c>
      <c r="J238" s="192" t="e">
        <f t="shared" si="409"/>
        <v>#REF!</v>
      </c>
      <c r="K238" s="192">
        <f t="shared" si="410"/>
        <v>2289</v>
      </c>
      <c r="L238" s="192">
        <f t="shared" si="411"/>
        <v>2045</v>
      </c>
      <c r="M238" s="192">
        <f t="shared" si="412"/>
        <v>1972</v>
      </c>
      <c r="N238" s="192">
        <f t="shared" si="413"/>
        <v>2022</v>
      </c>
      <c r="O238" s="192" t="e">
        <f t="shared" si="414"/>
        <v>#REF!</v>
      </c>
      <c r="P238" s="192">
        <f t="shared" ref="P238:T238" si="439">+P236</f>
        <v>2000</v>
      </c>
      <c r="Q238" s="192">
        <f t="shared" si="439"/>
        <v>2000</v>
      </c>
      <c r="R238" s="192">
        <f t="shared" si="439"/>
        <v>2000</v>
      </c>
      <c r="S238" s="192">
        <f t="shared" si="439"/>
        <v>2000</v>
      </c>
      <c r="T238" s="192">
        <f t="shared" si="439"/>
        <v>2000</v>
      </c>
      <c r="U238" s="192">
        <f t="shared" si="416"/>
        <v>289</v>
      </c>
      <c r="V238" s="192">
        <f t="shared" si="417"/>
        <v>45</v>
      </c>
      <c r="W238" s="192">
        <f t="shared" si="418"/>
        <v>-28</v>
      </c>
      <c r="X238" s="192">
        <f t="shared" si="419"/>
        <v>22</v>
      </c>
      <c r="Y238" s="192" t="e">
        <f t="shared" si="420"/>
        <v>#REF!</v>
      </c>
      <c r="Z238" s="192">
        <v>4</v>
      </c>
      <c r="AA238" s="192">
        <v>3</v>
      </c>
      <c r="AB238" s="192">
        <v>5</v>
      </c>
      <c r="AC238" s="192">
        <v>4</v>
      </c>
      <c r="AD238" s="192">
        <v>6</v>
      </c>
      <c r="AE238" s="192" t="e">
        <f t="shared" si="421"/>
        <v>#REF!</v>
      </c>
      <c r="AF238" s="192">
        <f t="shared" si="422"/>
        <v>-584</v>
      </c>
      <c r="AG238" s="192">
        <f t="shared" si="423"/>
        <v>-627</v>
      </c>
      <c r="AH238" s="192">
        <f t="shared" si="424"/>
        <v>-532</v>
      </c>
      <c r="AI238" s="192">
        <f t="shared" si="425"/>
        <v>-357</v>
      </c>
      <c r="AJ238" s="107">
        <f t="shared" si="426"/>
        <v>1.1720000000000104</v>
      </c>
      <c r="AK238" s="203"/>
      <c r="AL238" s="203">
        <f t="shared" si="427"/>
        <v>1.2</v>
      </c>
      <c r="AM238" s="262"/>
      <c r="AN238" s="263"/>
    </row>
    <row r="239" spans="1:40" s="68" customFormat="1" ht="17.25" customHeight="1">
      <c r="A239" s="105">
        <v>229</v>
      </c>
      <c r="B239" s="104">
        <f t="shared" si="283"/>
        <v>45804</v>
      </c>
      <c r="C239" s="192">
        <f t="shared" si="264"/>
        <v>1049</v>
      </c>
      <c r="D239" s="192">
        <f t="shared" si="265"/>
        <v>1526</v>
      </c>
      <c r="E239" s="192">
        <f t="shared" si="404"/>
        <v>2575</v>
      </c>
      <c r="F239" s="192">
        <f t="shared" si="405"/>
        <v>285</v>
      </c>
      <c r="G239" s="192">
        <f t="shared" si="406"/>
        <v>517</v>
      </c>
      <c r="H239" s="192">
        <f t="shared" si="407"/>
        <v>591</v>
      </c>
      <c r="I239" s="192">
        <f t="shared" si="408"/>
        <v>552</v>
      </c>
      <c r="J239" s="192" t="e">
        <f t="shared" si="409"/>
        <v>#REF!</v>
      </c>
      <c r="K239" s="192">
        <f t="shared" si="410"/>
        <v>2290</v>
      </c>
      <c r="L239" s="192">
        <f t="shared" si="411"/>
        <v>2058</v>
      </c>
      <c r="M239" s="192">
        <f t="shared" si="412"/>
        <v>1984</v>
      </c>
      <c r="N239" s="192">
        <f t="shared" si="413"/>
        <v>2023</v>
      </c>
      <c r="O239" s="192" t="e">
        <f t="shared" si="414"/>
        <v>#REF!</v>
      </c>
      <c r="P239" s="192">
        <f t="shared" ref="P239:T239" si="440">+P237</f>
        <v>2000</v>
      </c>
      <c r="Q239" s="192">
        <f t="shared" si="440"/>
        <v>2000</v>
      </c>
      <c r="R239" s="192">
        <f t="shared" si="440"/>
        <v>2000</v>
      </c>
      <c r="S239" s="192">
        <f t="shared" si="440"/>
        <v>2000</v>
      </c>
      <c r="T239" s="192">
        <f t="shared" si="440"/>
        <v>2000</v>
      </c>
      <c r="U239" s="192">
        <f t="shared" si="416"/>
        <v>290</v>
      </c>
      <c r="V239" s="192">
        <f t="shared" si="417"/>
        <v>58</v>
      </c>
      <c r="W239" s="192">
        <f t="shared" si="418"/>
        <v>-16</v>
      </c>
      <c r="X239" s="192">
        <f t="shared" si="419"/>
        <v>23</v>
      </c>
      <c r="Y239" s="192" t="e">
        <f t="shared" si="420"/>
        <v>#REF!</v>
      </c>
      <c r="Z239" s="192">
        <v>4</v>
      </c>
      <c r="AA239" s="192">
        <v>2</v>
      </c>
      <c r="AB239" s="192">
        <v>3</v>
      </c>
      <c r="AC239" s="192">
        <v>4</v>
      </c>
      <c r="AD239" s="192">
        <v>6</v>
      </c>
      <c r="AE239" s="192" t="e">
        <f t="shared" si="421"/>
        <v>#REF!</v>
      </c>
      <c r="AF239" s="192">
        <f t="shared" si="422"/>
        <v>-571</v>
      </c>
      <c r="AG239" s="192">
        <f t="shared" si="423"/>
        <v>-615</v>
      </c>
      <c r="AH239" s="192">
        <f t="shared" si="424"/>
        <v>-531</v>
      </c>
      <c r="AI239" s="192">
        <f t="shared" si="425"/>
        <v>-354</v>
      </c>
      <c r="AJ239" s="107">
        <f t="shared" si="426"/>
        <v>1.1840000000000097</v>
      </c>
      <c r="AK239" s="203"/>
      <c r="AL239" s="203">
        <f t="shared" si="427"/>
        <v>1.2</v>
      </c>
      <c r="AM239" s="262"/>
      <c r="AN239" s="263"/>
    </row>
    <row r="240" spans="1:40" s="68" customFormat="1" ht="17.25" customHeight="1">
      <c r="A240" s="105">
        <v>230</v>
      </c>
      <c r="B240" s="104">
        <f t="shared" si="283"/>
        <v>45805</v>
      </c>
      <c r="C240" s="192">
        <f t="shared" si="264"/>
        <v>1049</v>
      </c>
      <c r="D240" s="192">
        <f t="shared" si="265"/>
        <v>1485</v>
      </c>
      <c r="E240" s="192">
        <f t="shared" si="404"/>
        <v>2534</v>
      </c>
      <c r="F240" s="192">
        <f t="shared" si="405"/>
        <v>249</v>
      </c>
      <c r="G240" s="192">
        <f t="shared" si="406"/>
        <v>492</v>
      </c>
      <c r="H240" s="192">
        <f t="shared" si="407"/>
        <v>566</v>
      </c>
      <c r="I240" s="192">
        <f t="shared" si="408"/>
        <v>519</v>
      </c>
      <c r="J240" s="192" t="e">
        <f t="shared" si="409"/>
        <v>#REF!</v>
      </c>
      <c r="K240" s="192">
        <f t="shared" si="410"/>
        <v>2285</v>
      </c>
      <c r="L240" s="192">
        <f t="shared" si="411"/>
        <v>2042</v>
      </c>
      <c r="M240" s="192">
        <f t="shared" si="412"/>
        <v>1968</v>
      </c>
      <c r="N240" s="192">
        <f t="shared" si="413"/>
        <v>2015</v>
      </c>
      <c r="O240" s="192" t="e">
        <f t="shared" si="414"/>
        <v>#REF!</v>
      </c>
      <c r="P240" s="192">
        <f t="shared" ref="P240:T240" si="441">+P238</f>
        <v>2000</v>
      </c>
      <c r="Q240" s="192">
        <f t="shared" si="441"/>
        <v>2000</v>
      </c>
      <c r="R240" s="192">
        <f t="shared" si="441"/>
        <v>2000</v>
      </c>
      <c r="S240" s="192">
        <f t="shared" si="441"/>
        <v>2000</v>
      </c>
      <c r="T240" s="192">
        <f t="shared" si="441"/>
        <v>2000</v>
      </c>
      <c r="U240" s="192">
        <f t="shared" si="416"/>
        <v>285</v>
      </c>
      <c r="V240" s="192">
        <f t="shared" si="417"/>
        <v>42</v>
      </c>
      <c r="W240" s="192">
        <f t="shared" si="418"/>
        <v>-32</v>
      </c>
      <c r="X240" s="192">
        <f t="shared" si="419"/>
        <v>15</v>
      </c>
      <c r="Y240" s="192" t="e">
        <f t="shared" si="420"/>
        <v>#REF!</v>
      </c>
      <c r="Z240" s="192">
        <v>4</v>
      </c>
      <c r="AA240" s="192">
        <v>3</v>
      </c>
      <c r="AB240" s="192">
        <v>4</v>
      </c>
      <c r="AC240" s="192">
        <v>7</v>
      </c>
      <c r="AD240" s="192">
        <v>6</v>
      </c>
      <c r="AE240" s="192" t="e">
        <f t="shared" si="421"/>
        <v>#REF!</v>
      </c>
      <c r="AF240" s="192">
        <f t="shared" si="422"/>
        <v>-587</v>
      </c>
      <c r="AG240" s="192">
        <f t="shared" si="423"/>
        <v>-631</v>
      </c>
      <c r="AH240" s="192">
        <f t="shared" si="424"/>
        <v>-539</v>
      </c>
      <c r="AI240" s="192">
        <f t="shared" si="425"/>
        <v>-363</v>
      </c>
      <c r="AJ240" s="107">
        <f t="shared" si="426"/>
        <v>1.1680000000000104</v>
      </c>
      <c r="AK240" s="203"/>
      <c r="AL240" s="203">
        <f t="shared" si="427"/>
        <v>1.2</v>
      </c>
      <c r="AM240" s="262"/>
      <c r="AN240" s="263"/>
    </row>
    <row r="241" spans="1:40" s="68" customFormat="1" ht="17.25" customHeight="1">
      <c r="A241" s="105">
        <v>231</v>
      </c>
      <c r="B241" s="104">
        <f t="shared" si="283"/>
        <v>45806</v>
      </c>
      <c r="C241" s="192">
        <f t="shared" si="264"/>
        <v>1049</v>
      </c>
      <c r="D241" s="192">
        <f t="shared" si="265"/>
        <v>1500</v>
      </c>
      <c r="E241" s="192">
        <f t="shared" si="404"/>
        <v>2549</v>
      </c>
      <c r="F241" s="192">
        <f t="shared" si="405"/>
        <v>263</v>
      </c>
      <c r="G241" s="192">
        <f t="shared" si="406"/>
        <v>493</v>
      </c>
      <c r="H241" s="192">
        <f t="shared" si="407"/>
        <v>567</v>
      </c>
      <c r="I241" s="192">
        <f t="shared" si="408"/>
        <v>529</v>
      </c>
      <c r="J241" s="192" t="e">
        <f t="shared" si="409"/>
        <v>#REF!</v>
      </c>
      <c r="K241" s="192">
        <f t="shared" si="410"/>
        <v>2286</v>
      </c>
      <c r="L241" s="192">
        <f t="shared" si="411"/>
        <v>2056</v>
      </c>
      <c r="M241" s="192">
        <f t="shared" si="412"/>
        <v>1982</v>
      </c>
      <c r="N241" s="192">
        <f t="shared" si="413"/>
        <v>2020</v>
      </c>
      <c r="O241" s="192" t="e">
        <f t="shared" si="414"/>
        <v>#REF!</v>
      </c>
      <c r="P241" s="192">
        <f t="shared" ref="P241:T241" si="442">+P239</f>
        <v>2000</v>
      </c>
      <c r="Q241" s="192">
        <f t="shared" si="442"/>
        <v>2000</v>
      </c>
      <c r="R241" s="192">
        <f t="shared" si="442"/>
        <v>2000</v>
      </c>
      <c r="S241" s="192">
        <f t="shared" si="442"/>
        <v>2000</v>
      </c>
      <c r="T241" s="192">
        <f t="shared" si="442"/>
        <v>2000</v>
      </c>
      <c r="U241" s="192">
        <f t="shared" si="416"/>
        <v>286</v>
      </c>
      <c r="V241" s="192">
        <f t="shared" si="417"/>
        <v>56</v>
      </c>
      <c r="W241" s="192">
        <f t="shared" si="418"/>
        <v>-18</v>
      </c>
      <c r="X241" s="192">
        <f t="shared" si="419"/>
        <v>20</v>
      </c>
      <c r="Y241" s="192" t="e">
        <f t="shared" si="420"/>
        <v>#REF!</v>
      </c>
      <c r="Z241" s="192">
        <v>4</v>
      </c>
      <c r="AA241" s="192">
        <v>2</v>
      </c>
      <c r="AB241" s="192">
        <v>2</v>
      </c>
      <c r="AC241" s="192">
        <v>3</v>
      </c>
      <c r="AD241" s="192">
        <v>6</v>
      </c>
      <c r="AE241" s="192" t="e">
        <f t="shared" si="421"/>
        <v>#REF!</v>
      </c>
      <c r="AF241" s="192">
        <f t="shared" si="422"/>
        <v>-573</v>
      </c>
      <c r="AG241" s="192">
        <f t="shared" si="423"/>
        <v>-617</v>
      </c>
      <c r="AH241" s="192">
        <f t="shared" si="424"/>
        <v>-534</v>
      </c>
      <c r="AI241" s="192">
        <f t="shared" si="425"/>
        <v>-360</v>
      </c>
      <c r="AJ241" s="107">
        <f t="shared" si="426"/>
        <v>1.1820000000000097</v>
      </c>
      <c r="AK241" s="203"/>
      <c r="AL241" s="203">
        <f t="shared" si="427"/>
        <v>1.2</v>
      </c>
      <c r="AM241" s="262"/>
      <c r="AN241" s="263"/>
    </row>
    <row r="242" spans="1:40" s="68" customFormat="1" ht="17.25" customHeight="1">
      <c r="A242" s="105">
        <v>232</v>
      </c>
      <c r="B242" s="104">
        <f t="shared" si="283"/>
        <v>45807</v>
      </c>
      <c r="C242" s="192">
        <f t="shared" si="264"/>
        <v>1049</v>
      </c>
      <c r="D242" s="192">
        <f t="shared" si="265"/>
        <v>1459</v>
      </c>
      <c r="E242" s="192">
        <f t="shared" si="404"/>
        <v>2508</v>
      </c>
      <c r="F242" s="192">
        <f t="shared" si="405"/>
        <v>227</v>
      </c>
      <c r="G242" s="192">
        <f t="shared" si="406"/>
        <v>469</v>
      </c>
      <c r="H242" s="192">
        <f t="shared" si="407"/>
        <v>543</v>
      </c>
      <c r="I242" s="192">
        <f t="shared" si="408"/>
        <v>496</v>
      </c>
      <c r="J242" s="192" t="e">
        <f t="shared" si="409"/>
        <v>#REF!</v>
      </c>
      <c r="K242" s="192">
        <f t="shared" si="410"/>
        <v>2281</v>
      </c>
      <c r="L242" s="192">
        <f t="shared" si="411"/>
        <v>2039</v>
      </c>
      <c r="M242" s="192">
        <f t="shared" si="412"/>
        <v>1965</v>
      </c>
      <c r="N242" s="192">
        <f t="shared" si="413"/>
        <v>2012</v>
      </c>
      <c r="O242" s="192" t="e">
        <f t="shared" si="414"/>
        <v>#REF!</v>
      </c>
      <c r="P242" s="192">
        <f t="shared" ref="P242:T242" si="443">+P240</f>
        <v>2000</v>
      </c>
      <c r="Q242" s="192">
        <f t="shared" si="443"/>
        <v>2000</v>
      </c>
      <c r="R242" s="192">
        <f t="shared" si="443"/>
        <v>2000</v>
      </c>
      <c r="S242" s="192">
        <f t="shared" si="443"/>
        <v>2000</v>
      </c>
      <c r="T242" s="192">
        <f t="shared" si="443"/>
        <v>2000</v>
      </c>
      <c r="U242" s="192">
        <f t="shared" si="416"/>
        <v>281</v>
      </c>
      <c r="V242" s="192">
        <f t="shared" si="417"/>
        <v>39</v>
      </c>
      <c r="W242" s="192">
        <f t="shared" si="418"/>
        <v>-35</v>
      </c>
      <c r="X242" s="192">
        <f t="shared" si="419"/>
        <v>12</v>
      </c>
      <c r="Y242" s="192" t="e">
        <f t="shared" si="420"/>
        <v>#REF!</v>
      </c>
      <c r="Z242" s="192">
        <v>4</v>
      </c>
      <c r="AA242" s="192">
        <v>3</v>
      </c>
      <c r="AB242" s="192">
        <v>3</v>
      </c>
      <c r="AC242" s="192">
        <v>3</v>
      </c>
      <c r="AD242" s="192">
        <v>6</v>
      </c>
      <c r="AE242" s="192" t="e">
        <f t="shared" si="421"/>
        <v>#REF!</v>
      </c>
      <c r="AF242" s="192">
        <f t="shared" si="422"/>
        <v>-590</v>
      </c>
      <c r="AG242" s="192">
        <f t="shared" si="423"/>
        <v>-634</v>
      </c>
      <c r="AH242" s="192">
        <f t="shared" si="424"/>
        <v>-542</v>
      </c>
      <c r="AI242" s="192">
        <f t="shared" si="425"/>
        <v>-369</v>
      </c>
      <c r="AJ242" s="107">
        <f t="shared" si="426"/>
        <v>1.1650000000000105</v>
      </c>
      <c r="AK242" s="203"/>
      <c r="AL242" s="203">
        <f t="shared" si="427"/>
        <v>1.2</v>
      </c>
      <c r="AM242" s="262"/>
      <c r="AN242" s="263"/>
    </row>
    <row r="243" spans="1:40" s="68" customFormat="1" ht="17.25" customHeight="1">
      <c r="A243" s="105">
        <v>233</v>
      </c>
      <c r="B243" s="104">
        <f t="shared" si="283"/>
        <v>45808</v>
      </c>
      <c r="C243" s="192">
        <f t="shared" si="264"/>
        <v>1049</v>
      </c>
      <c r="D243" s="192">
        <f t="shared" si="265"/>
        <v>1474</v>
      </c>
      <c r="E243" s="192">
        <f t="shared" ref="E243" si="444">+C243+D243</f>
        <v>2523</v>
      </c>
      <c r="F243" s="192">
        <f t="shared" ref="F243" si="445">E243-K243</f>
        <v>241</v>
      </c>
      <c r="G243" s="192">
        <f t="shared" ref="G243" si="446">E243-L243</f>
        <v>470</v>
      </c>
      <c r="H243" s="192">
        <f t="shared" ref="H243" si="447">E243-M243</f>
        <v>543</v>
      </c>
      <c r="I243" s="192">
        <f t="shared" ref="I243" si="448">E243-N243</f>
        <v>505</v>
      </c>
      <c r="J243" s="192" t="e">
        <f t="shared" ref="J243" si="449">E243-O243</f>
        <v>#REF!</v>
      </c>
      <c r="K243" s="192">
        <f t="shared" ref="K243" si="450">P243+U243</f>
        <v>2282</v>
      </c>
      <c r="L243" s="192">
        <f t="shared" ref="L243" si="451">Q243+V243</f>
        <v>2053</v>
      </c>
      <c r="M243" s="192">
        <f t="shared" ref="M243" si="452">R243+W243</f>
        <v>1980</v>
      </c>
      <c r="N243" s="192">
        <f t="shared" ref="N243" si="453">S243+X243</f>
        <v>2018</v>
      </c>
      <c r="O243" s="192" t="e">
        <f t="shared" ref="O243" si="454">T243+Y243</f>
        <v>#REF!</v>
      </c>
      <c r="P243" s="192">
        <f t="shared" ref="P243:T243" si="455">+P241</f>
        <v>2000</v>
      </c>
      <c r="Q243" s="192">
        <f t="shared" si="455"/>
        <v>2000</v>
      </c>
      <c r="R243" s="192">
        <f t="shared" si="455"/>
        <v>2000</v>
      </c>
      <c r="S243" s="192">
        <f t="shared" si="455"/>
        <v>2000</v>
      </c>
      <c r="T243" s="192">
        <f t="shared" si="455"/>
        <v>2000</v>
      </c>
      <c r="U243" s="192">
        <f t="shared" ref="U243" si="456">U241-Z243</f>
        <v>282</v>
      </c>
      <c r="V243" s="192">
        <f t="shared" ref="V243" si="457">V241-AA243</f>
        <v>53</v>
      </c>
      <c r="W243" s="192">
        <f t="shared" ref="W243" si="458">W241-AB243</f>
        <v>-20</v>
      </c>
      <c r="X243" s="192">
        <f t="shared" ref="X243" si="459">X241-AC243</f>
        <v>18</v>
      </c>
      <c r="Y243" s="192" t="e">
        <f t="shared" ref="Y243" si="460">Y242-AD243</f>
        <v>#REF!</v>
      </c>
      <c r="Z243" s="192">
        <v>4</v>
      </c>
      <c r="AA243" s="192">
        <v>3</v>
      </c>
      <c r="AB243" s="192">
        <v>2</v>
      </c>
      <c r="AC243" s="192">
        <v>2</v>
      </c>
      <c r="AD243" s="192">
        <v>6</v>
      </c>
      <c r="AE243" s="192" t="e">
        <f t="shared" ref="AE243" si="461">AE242-Z243</f>
        <v>#REF!</v>
      </c>
      <c r="AF243" s="192">
        <f t="shared" ref="AF243" si="462">AF241-AA243</f>
        <v>-576</v>
      </c>
      <c r="AG243" s="192">
        <f t="shared" ref="AG243" si="463">AG241-AB243</f>
        <v>-619</v>
      </c>
      <c r="AH243" s="192">
        <f t="shared" ref="AH243" si="464">AH241-AC243</f>
        <v>-536</v>
      </c>
      <c r="AI243" s="192">
        <f t="shared" ref="AI243" si="465">AI241-AD243</f>
        <v>-366</v>
      </c>
      <c r="AJ243" s="107">
        <f t="shared" ref="AJ243" si="466">AJ241-AB243/1000+AK243</f>
        <v>1.1800000000000097</v>
      </c>
      <c r="AK243" s="203"/>
      <c r="AL243" s="203">
        <f t="shared" ref="AL243" si="467">AL241+AK243</f>
        <v>1.2</v>
      </c>
      <c r="AM243" s="262"/>
      <c r="AN243" s="263"/>
    </row>
    <row r="244" spans="1:40" s="68" customFormat="1" ht="16.8" customHeight="1">
      <c r="A244" s="105"/>
      <c r="B244" s="104"/>
      <c r="C244" s="192"/>
      <c r="D244" s="192"/>
      <c r="E244" s="192"/>
      <c r="F244" s="192"/>
      <c r="G244" s="192"/>
      <c r="H244" s="192"/>
      <c r="I244" s="192"/>
      <c r="J244" s="192"/>
      <c r="K244" s="192"/>
      <c r="L244" s="192"/>
      <c r="M244" s="192"/>
      <c r="N244" s="192"/>
      <c r="O244" s="192"/>
      <c r="P244" s="192"/>
      <c r="Q244" s="192"/>
      <c r="R244" s="192"/>
      <c r="S244" s="192"/>
      <c r="T244" s="192"/>
      <c r="U244" s="192"/>
      <c r="V244" s="192"/>
      <c r="W244" s="192"/>
      <c r="X244" s="192"/>
      <c r="Y244" s="192"/>
      <c r="Z244" s="192"/>
      <c r="AA244" s="192"/>
      <c r="AB244" s="192"/>
      <c r="AC244" s="192"/>
      <c r="AD244" s="192"/>
      <c r="AE244" s="192"/>
      <c r="AF244" s="192"/>
      <c r="AG244" s="192"/>
      <c r="AH244" s="192"/>
      <c r="AI244" s="192"/>
      <c r="AJ244" s="107"/>
      <c r="AK244" s="203"/>
      <c r="AL244" s="203"/>
      <c r="AM244" s="262"/>
      <c r="AN244" s="263"/>
    </row>
    <row r="245" spans="1:40" s="29" customFormat="1" ht="17.25" customHeight="1">
      <c r="A245" s="48"/>
      <c r="B245" s="49"/>
      <c r="C245" s="220"/>
      <c r="D245" s="220"/>
      <c r="E245" s="220"/>
      <c r="F245" s="220"/>
      <c r="G245" s="220"/>
      <c r="H245" s="220"/>
      <c r="I245" s="220"/>
      <c r="J245" s="220"/>
      <c r="K245" s="220"/>
      <c r="L245" s="220"/>
      <c r="M245" s="220"/>
      <c r="N245" s="220"/>
      <c r="O245" s="220"/>
      <c r="P245" s="220"/>
      <c r="Q245" s="220"/>
      <c r="R245" s="220"/>
      <c r="S245" s="220"/>
      <c r="T245" s="220"/>
      <c r="U245" s="220"/>
      <c r="V245" s="220"/>
      <c r="W245" s="220"/>
      <c r="X245" s="220"/>
      <c r="Y245" s="220"/>
      <c r="Z245" s="220">
        <f>SUM(Z11:Z244)</f>
        <v>498</v>
      </c>
      <c r="AA245" s="220">
        <f>SUM(AA11:AA244)</f>
        <v>731</v>
      </c>
      <c r="AB245" s="220">
        <f>SUM(AB11:AB244)</f>
        <v>796</v>
      </c>
      <c r="AC245" s="220">
        <f>SUM(AC11:AC244)</f>
        <v>697</v>
      </c>
      <c r="AD245" s="220">
        <f>SUM(AD11:AD244)</f>
        <v>528</v>
      </c>
      <c r="AE245" s="220"/>
      <c r="AF245" s="220"/>
      <c r="AG245" s="220"/>
      <c r="AH245" s="220"/>
      <c r="AI245" s="220"/>
      <c r="AJ245" s="50"/>
      <c r="AK245" s="257"/>
      <c r="AL245" s="257"/>
      <c r="AM245" s="52"/>
      <c r="AN245" s="88"/>
    </row>
    <row r="246" spans="1:40" s="29" customFormat="1" ht="17.25" customHeight="1">
      <c r="A246" s="48"/>
      <c r="B246" s="49"/>
      <c r="C246" s="220"/>
      <c r="D246" s="220"/>
      <c r="E246" s="220"/>
      <c r="F246" s="220"/>
      <c r="G246" s="220"/>
      <c r="H246" s="220"/>
      <c r="I246" s="220"/>
      <c r="J246" s="220"/>
      <c r="K246" s="220"/>
      <c r="L246" s="220"/>
      <c r="M246" s="220"/>
      <c r="N246" s="220"/>
      <c r="O246" s="220"/>
      <c r="P246" s="220"/>
      <c r="Q246" s="220"/>
      <c r="R246" s="220"/>
      <c r="S246" s="220"/>
      <c r="T246" s="220"/>
      <c r="U246" s="220"/>
      <c r="V246" s="220"/>
      <c r="W246" s="220"/>
      <c r="X246" s="220"/>
      <c r="Y246" s="220"/>
      <c r="Z246" s="220"/>
      <c r="AA246" s="220"/>
      <c r="AB246" s="220"/>
      <c r="AC246" s="220"/>
      <c r="AD246" s="220"/>
      <c r="AE246" s="220"/>
      <c r="AF246" s="220"/>
      <c r="AG246" s="220"/>
      <c r="AH246" s="220"/>
      <c r="AI246" s="220"/>
      <c r="AJ246" s="50"/>
      <c r="AK246" s="257"/>
      <c r="AL246" s="257"/>
      <c r="AM246" s="52"/>
      <c r="AN246" s="88"/>
    </row>
    <row r="247" spans="1:40" s="29" customFormat="1" ht="17.25" customHeight="1">
      <c r="A247" s="48"/>
      <c r="B247" s="49"/>
      <c r="C247" s="220"/>
      <c r="D247" s="220"/>
      <c r="E247" s="220"/>
      <c r="F247" s="220"/>
      <c r="G247" s="220"/>
      <c r="H247" s="220"/>
      <c r="I247" s="220"/>
      <c r="J247" s="220"/>
      <c r="K247" s="220"/>
      <c r="L247" s="220"/>
      <c r="M247" s="220"/>
      <c r="N247" s="220"/>
      <c r="O247" s="220"/>
      <c r="P247" s="220"/>
      <c r="Q247" s="220"/>
      <c r="R247" s="220"/>
      <c r="S247" s="220"/>
      <c r="T247" s="220"/>
      <c r="U247" s="220"/>
      <c r="V247" s="220"/>
      <c r="W247" s="220"/>
      <c r="X247" s="220"/>
      <c r="Y247" s="220"/>
      <c r="Z247" s="220">
        <v>508</v>
      </c>
      <c r="AA247" s="220">
        <v>731</v>
      </c>
      <c r="AB247" s="220">
        <v>796</v>
      </c>
      <c r="AC247" s="220">
        <v>697</v>
      </c>
      <c r="AD247" s="220">
        <v>456</v>
      </c>
      <c r="AE247" s="220"/>
      <c r="AF247" s="220"/>
      <c r="AG247" s="220"/>
      <c r="AH247" s="220"/>
      <c r="AI247" s="220"/>
      <c r="AJ247" s="50"/>
      <c r="AK247" s="257"/>
      <c r="AL247" s="257"/>
      <c r="AM247" s="52"/>
      <c r="AN247" s="88"/>
    </row>
    <row r="248" spans="1:40" s="29" customFormat="1" ht="17.25" customHeight="1">
      <c r="A248" s="48"/>
      <c r="B248" s="49"/>
      <c r="C248" s="220"/>
      <c r="D248" s="220"/>
      <c r="E248" s="220"/>
      <c r="F248" s="220"/>
      <c r="G248" s="220"/>
      <c r="H248" s="220"/>
      <c r="I248" s="220"/>
      <c r="J248" s="220"/>
      <c r="K248" s="220"/>
      <c r="L248" s="220"/>
      <c r="M248" s="220"/>
      <c r="N248" s="220"/>
      <c r="O248" s="220"/>
      <c r="P248" s="220"/>
      <c r="Q248" s="220"/>
      <c r="R248" s="220"/>
      <c r="S248" s="220"/>
      <c r="T248" s="220"/>
      <c r="U248" s="220"/>
      <c r="V248" s="220"/>
      <c r="W248" s="220"/>
      <c r="X248" s="220"/>
      <c r="Y248" s="220"/>
      <c r="Z248" s="220"/>
      <c r="AA248" s="220"/>
      <c r="AB248" s="220"/>
      <c r="AC248" s="220"/>
      <c r="AD248" s="220"/>
      <c r="AE248" s="220"/>
      <c r="AF248" s="220"/>
      <c r="AG248" s="220"/>
      <c r="AH248" s="220"/>
      <c r="AI248" s="220"/>
      <c r="AJ248" s="50"/>
      <c r="AK248" s="257"/>
      <c r="AL248" s="257"/>
      <c r="AM248" s="52"/>
      <c r="AN248" s="88"/>
    </row>
    <row r="249" spans="1:40" s="29" customFormat="1" ht="17.25" customHeight="1">
      <c r="A249" s="48"/>
      <c r="B249" s="49"/>
      <c r="C249" s="220"/>
      <c r="D249" s="220"/>
      <c r="E249" s="220"/>
      <c r="F249" s="220"/>
      <c r="G249" s="220"/>
      <c r="H249" s="220"/>
      <c r="I249" s="220"/>
      <c r="J249" s="220"/>
      <c r="K249" s="220"/>
      <c r="L249" s="220"/>
      <c r="M249" s="220"/>
      <c r="N249" s="220"/>
      <c r="O249" s="220"/>
      <c r="P249" s="220"/>
      <c r="Q249" s="220"/>
      <c r="R249" s="220"/>
      <c r="S249" s="220"/>
      <c r="T249" s="220"/>
      <c r="U249" s="220"/>
      <c r="V249" s="220"/>
      <c r="W249" s="220"/>
      <c r="X249" s="220"/>
      <c r="Y249" s="220"/>
      <c r="Z249" s="220">
        <f>Z245-Z247</f>
        <v>-10</v>
      </c>
      <c r="AA249" s="220">
        <f t="shared" ref="AA249:AD249" si="468">AA245-AA247</f>
        <v>0</v>
      </c>
      <c r="AB249" s="220">
        <f t="shared" si="468"/>
        <v>0</v>
      </c>
      <c r="AC249" s="220">
        <f t="shared" si="468"/>
        <v>0</v>
      </c>
      <c r="AD249" s="220">
        <f t="shared" si="468"/>
        <v>72</v>
      </c>
      <c r="AE249" s="220"/>
      <c r="AF249" s="220"/>
      <c r="AG249" s="220"/>
      <c r="AH249" s="220"/>
      <c r="AI249" s="220"/>
      <c r="AJ249" s="50"/>
      <c r="AK249" s="257"/>
      <c r="AL249" s="257"/>
      <c r="AM249" s="52"/>
      <c r="AN249" s="88"/>
    </row>
    <row r="250" spans="1:40" s="29" customFormat="1" ht="17.25" customHeight="1">
      <c r="A250" s="48"/>
      <c r="B250" s="49"/>
      <c r="C250" s="220"/>
      <c r="D250" s="220"/>
      <c r="E250" s="220"/>
      <c r="F250" s="220"/>
      <c r="G250" s="220"/>
      <c r="H250" s="220"/>
      <c r="I250" s="220"/>
      <c r="J250" s="220"/>
      <c r="K250" s="220"/>
      <c r="L250" s="220"/>
      <c r="M250" s="220"/>
      <c r="N250" s="220"/>
      <c r="O250" s="220"/>
      <c r="P250" s="220"/>
      <c r="Q250" s="220"/>
      <c r="R250" s="220"/>
      <c r="S250" s="220"/>
      <c r="T250" s="220"/>
      <c r="U250" s="220"/>
      <c r="V250" s="220"/>
      <c r="W250" s="220"/>
      <c r="X250" s="220"/>
      <c r="Y250" s="220"/>
      <c r="Z250" s="220"/>
      <c r="AA250" s="220"/>
      <c r="AB250" s="220"/>
      <c r="AC250" s="220"/>
      <c r="AD250" s="220"/>
      <c r="AE250" s="220"/>
      <c r="AF250" s="220"/>
      <c r="AG250" s="220"/>
      <c r="AH250" s="220"/>
      <c r="AI250" s="220"/>
      <c r="AJ250" s="50"/>
      <c r="AK250" s="257"/>
      <c r="AL250" s="257"/>
      <c r="AM250" s="52"/>
      <c r="AN250" s="88"/>
    </row>
    <row r="251" spans="1:40" s="29" customFormat="1" ht="17.25" customHeight="1">
      <c r="A251" s="48"/>
      <c r="B251" s="49"/>
      <c r="C251" s="220"/>
      <c r="D251" s="220"/>
      <c r="E251" s="220"/>
      <c r="F251" s="220"/>
      <c r="G251" s="220"/>
      <c r="H251" s="220"/>
      <c r="I251" s="220"/>
      <c r="J251" s="220"/>
      <c r="K251" s="220"/>
      <c r="L251" s="220"/>
      <c r="M251" s="220"/>
      <c r="N251" s="220"/>
      <c r="O251" s="220"/>
      <c r="P251" s="220"/>
      <c r="Q251" s="220"/>
      <c r="R251" s="220"/>
      <c r="S251" s="220"/>
      <c r="T251" s="220"/>
      <c r="U251" s="220"/>
      <c r="V251" s="220"/>
      <c r="W251" s="220"/>
      <c r="X251" s="220"/>
      <c r="Y251" s="220"/>
      <c r="Z251" s="220"/>
      <c r="AA251" s="220"/>
      <c r="AB251" s="220"/>
      <c r="AC251" s="220"/>
      <c r="AD251" s="220"/>
      <c r="AE251" s="220"/>
      <c r="AF251" s="220"/>
      <c r="AG251" s="220"/>
      <c r="AH251" s="220"/>
      <c r="AI251" s="220"/>
      <c r="AJ251" s="50"/>
      <c r="AK251" s="257"/>
      <c r="AL251" s="257"/>
      <c r="AM251" s="52"/>
      <c r="AN251" s="88"/>
    </row>
    <row r="252" spans="1:40" s="29" customFormat="1" ht="17.25" customHeight="1">
      <c r="A252" s="48"/>
      <c r="B252" s="49"/>
      <c r="C252" s="220"/>
      <c r="D252" s="220"/>
      <c r="E252" s="220"/>
      <c r="F252" s="220"/>
      <c r="G252" s="220"/>
      <c r="H252" s="220"/>
      <c r="I252" s="220"/>
      <c r="J252" s="220"/>
      <c r="K252" s="220"/>
      <c r="L252" s="220"/>
      <c r="M252" s="220"/>
      <c r="N252" s="220"/>
      <c r="O252" s="220"/>
      <c r="P252" s="220"/>
      <c r="Q252" s="220"/>
      <c r="R252" s="220"/>
      <c r="S252" s="220"/>
      <c r="T252" s="220"/>
      <c r="U252" s="220"/>
      <c r="V252" s="220"/>
      <c r="W252" s="220"/>
      <c r="X252" s="220"/>
      <c r="Y252" s="220"/>
      <c r="Z252" s="220"/>
      <c r="AA252" s="220"/>
      <c r="AB252" s="220"/>
      <c r="AC252" s="220"/>
      <c r="AD252" s="220"/>
      <c r="AE252" s="220"/>
      <c r="AF252" s="220"/>
      <c r="AG252" s="220"/>
      <c r="AH252" s="220"/>
      <c r="AI252" s="220"/>
      <c r="AJ252" s="50"/>
      <c r="AK252" s="257"/>
      <c r="AL252" s="257"/>
      <c r="AM252" s="52"/>
      <c r="AN252" s="88"/>
    </row>
    <row r="253" spans="1:40" s="29" customFormat="1" ht="17.25" customHeight="1">
      <c r="A253" s="48"/>
      <c r="B253" s="49"/>
      <c r="C253" s="220"/>
      <c r="D253" s="220"/>
      <c r="E253" s="220"/>
      <c r="F253" s="220"/>
      <c r="G253" s="220"/>
      <c r="H253" s="220"/>
      <c r="I253" s="220"/>
      <c r="J253" s="220"/>
      <c r="K253" s="220"/>
      <c r="L253" s="220"/>
      <c r="M253" s="220"/>
      <c r="N253" s="220"/>
      <c r="O253" s="220"/>
      <c r="P253" s="220"/>
      <c r="Q253" s="220"/>
      <c r="R253" s="220"/>
      <c r="S253" s="220"/>
      <c r="T253" s="220"/>
      <c r="U253" s="220"/>
      <c r="V253" s="220"/>
      <c r="W253" s="220"/>
      <c r="X253" s="220"/>
      <c r="Y253" s="220"/>
      <c r="Z253" s="220"/>
      <c r="AA253" s="220"/>
      <c r="AB253" s="220"/>
      <c r="AC253" s="220"/>
      <c r="AD253" s="220"/>
      <c r="AE253" s="220"/>
      <c r="AF253" s="220"/>
      <c r="AG253" s="220"/>
      <c r="AH253" s="220"/>
      <c r="AI253" s="220"/>
      <c r="AJ253" s="50"/>
      <c r="AK253" s="257"/>
      <c r="AL253" s="257"/>
      <c r="AM253" s="52"/>
      <c r="AN253" s="88"/>
    </row>
    <row r="254" spans="1:40" s="29" customFormat="1" ht="17.25" customHeight="1">
      <c r="A254" s="48"/>
      <c r="B254" s="49"/>
      <c r="C254" s="220"/>
      <c r="D254" s="220"/>
      <c r="E254" s="220"/>
      <c r="F254" s="220"/>
      <c r="G254" s="220"/>
      <c r="H254" s="220"/>
      <c r="I254" s="220"/>
      <c r="J254" s="220"/>
      <c r="K254" s="220"/>
      <c r="L254" s="220"/>
      <c r="M254" s="220"/>
      <c r="N254" s="220"/>
      <c r="O254" s="220"/>
      <c r="P254" s="220"/>
      <c r="Q254" s="220"/>
      <c r="R254" s="220"/>
      <c r="S254" s="220"/>
      <c r="T254" s="220"/>
      <c r="U254" s="220"/>
      <c r="V254" s="220"/>
      <c r="W254" s="220"/>
      <c r="X254" s="220"/>
      <c r="Y254" s="220"/>
      <c r="Z254" s="220"/>
      <c r="AA254" s="220"/>
      <c r="AB254" s="220"/>
      <c r="AC254" s="220"/>
      <c r="AD254" s="220"/>
      <c r="AE254" s="220"/>
      <c r="AF254" s="220"/>
      <c r="AG254" s="220"/>
      <c r="AH254" s="220"/>
      <c r="AI254" s="220"/>
      <c r="AJ254" s="50"/>
      <c r="AK254" s="257"/>
      <c r="AL254" s="257"/>
      <c r="AM254" s="52"/>
      <c r="AN254" s="88"/>
    </row>
    <row r="255" spans="1:40" s="29" customFormat="1" ht="17.25" customHeight="1">
      <c r="A255" s="48"/>
      <c r="B255" s="49"/>
      <c r="C255" s="220"/>
      <c r="D255" s="220"/>
      <c r="E255" s="220"/>
      <c r="F255" s="220"/>
      <c r="G255" s="220"/>
      <c r="H255" s="220"/>
      <c r="I255" s="220"/>
      <c r="J255" s="220"/>
      <c r="K255" s="220"/>
      <c r="L255" s="220"/>
      <c r="M255" s="220"/>
      <c r="N255" s="220"/>
      <c r="O255" s="220"/>
      <c r="P255" s="220"/>
      <c r="Q255" s="220"/>
      <c r="R255" s="220"/>
      <c r="S255" s="220"/>
      <c r="T255" s="220"/>
      <c r="U255" s="220"/>
      <c r="V255" s="220"/>
      <c r="W255" s="220"/>
      <c r="X255" s="220"/>
      <c r="Y255" s="220"/>
      <c r="Z255" s="220"/>
      <c r="AA255" s="220"/>
      <c r="AB255" s="220"/>
      <c r="AC255" s="220"/>
      <c r="AD255" s="220"/>
      <c r="AE255" s="220"/>
      <c r="AF255" s="220"/>
      <c r="AG255" s="220"/>
      <c r="AH255" s="220"/>
      <c r="AI255" s="220"/>
      <c r="AJ255" s="50"/>
      <c r="AK255" s="257"/>
      <c r="AL255" s="257"/>
      <c r="AM255" s="52"/>
      <c r="AN255" s="88"/>
    </row>
    <row r="256" spans="1:40" s="29" customFormat="1" ht="17.25" customHeight="1">
      <c r="A256" s="48"/>
      <c r="B256" s="49"/>
      <c r="C256" s="220"/>
      <c r="D256" s="220"/>
      <c r="E256" s="220"/>
      <c r="F256" s="220"/>
      <c r="G256" s="220"/>
      <c r="H256" s="220"/>
      <c r="I256" s="220"/>
      <c r="J256" s="220"/>
      <c r="K256" s="220"/>
      <c r="L256" s="220"/>
      <c r="M256" s="220"/>
      <c r="N256" s="220"/>
      <c r="O256" s="220"/>
      <c r="P256" s="220"/>
      <c r="Q256" s="220"/>
      <c r="R256" s="220"/>
      <c r="S256" s="220"/>
      <c r="T256" s="220"/>
      <c r="U256" s="220"/>
      <c r="V256" s="220"/>
      <c r="W256" s="220"/>
      <c r="X256" s="220"/>
      <c r="Y256" s="220"/>
      <c r="Z256" s="220"/>
      <c r="AA256" s="220"/>
      <c r="AB256" s="220"/>
      <c r="AC256" s="220"/>
      <c r="AD256" s="220"/>
      <c r="AE256" s="220"/>
      <c r="AF256" s="220"/>
      <c r="AG256" s="220"/>
      <c r="AH256" s="220"/>
      <c r="AI256" s="220"/>
      <c r="AJ256" s="50"/>
      <c r="AK256" s="257"/>
      <c r="AL256" s="257"/>
      <c r="AM256" s="52"/>
      <c r="AN256" s="88"/>
    </row>
    <row r="257" spans="1:40" s="29" customFormat="1" ht="17.25" customHeight="1">
      <c r="A257" s="48"/>
      <c r="B257" s="49"/>
      <c r="C257" s="220"/>
      <c r="D257" s="220"/>
      <c r="E257" s="220"/>
      <c r="F257" s="220"/>
      <c r="G257" s="220"/>
      <c r="H257" s="220"/>
      <c r="I257" s="220"/>
      <c r="J257" s="220"/>
      <c r="K257" s="220"/>
      <c r="L257" s="220"/>
      <c r="M257" s="220"/>
      <c r="N257" s="220"/>
      <c r="O257" s="220"/>
      <c r="P257" s="220"/>
      <c r="Q257" s="220"/>
      <c r="R257" s="220"/>
      <c r="S257" s="220"/>
      <c r="T257" s="220"/>
      <c r="U257" s="220"/>
      <c r="V257" s="220"/>
      <c r="W257" s="220"/>
      <c r="X257" s="220"/>
      <c r="Y257" s="220"/>
      <c r="Z257" s="220"/>
      <c r="AA257" s="220"/>
      <c r="AB257" s="220"/>
      <c r="AC257" s="220"/>
      <c r="AD257" s="220"/>
      <c r="AE257" s="220"/>
      <c r="AF257" s="220"/>
      <c r="AG257" s="220"/>
      <c r="AH257" s="220"/>
      <c r="AI257" s="220"/>
      <c r="AJ257" s="50"/>
      <c r="AK257" s="257"/>
      <c r="AL257" s="257"/>
      <c r="AM257" s="52"/>
      <c r="AN257" s="88"/>
    </row>
    <row r="258" spans="1:40" s="29" customFormat="1" ht="17.25" customHeight="1">
      <c r="A258" s="48"/>
      <c r="B258" s="49"/>
      <c r="C258" s="220"/>
      <c r="D258" s="220"/>
      <c r="E258" s="220"/>
      <c r="F258" s="220"/>
      <c r="G258" s="220"/>
      <c r="H258" s="220"/>
      <c r="I258" s="220"/>
      <c r="J258" s="220"/>
      <c r="K258" s="220"/>
      <c r="L258" s="220"/>
      <c r="M258" s="220"/>
      <c r="N258" s="220"/>
      <c r="O258" s="220"/>
      <c r="P258" s="220"/>
      <c r="Q258" s="220"/>
      <c r="R258" s="220"/>
      <c r="S258" s="220"/>
      <c r="T258" s="220"/>
      <c r="U258" s="220"/>
      <c r="V258" s="220"/>
      <c r="W258" s="220"/>
      <c r="X258" s="220"/>
      <c r="Y258" s="220"/>
      <c r="Z258" s="220"/>
      <c r="AA258" s="220"/>
      <c r="AB258" s="220"/>
      <c r="AC258" s="220"/>
      <c r="AD258" s="220"/>
      <c r="AE258" s="220"/>
      <c r="AF258" s="220"/>
      <c r="AG258" s="220"/>
      <c r="AH258" s="220"/>
      <c r="AI258" s="220"/>
      <c r="AJ258" s="50"/>
      <c r="AK258" s="257"/>
      <c r="AL258" s="257"/>
      <c r="AM258" s="52"/>
      <c r="AN258" s="88"/>
    </row>
    <row r="259" spans="1:40" s="29" customFormat="1" ht="17.25" customHeight="1">
      <c r="A259" s="48"/>
      <c r="B259" s="49"/>
      <c r="C259" s="220"/>
      <c r="D259" s="220"/>
      <c r="E259" s="220"/>
      <c r="F259" s="220"/>
      <c r="G259" s="220"/>
      <c r="H259" s="220"/>
      <c r="I259" s="220"/>
      <c r="J259" s="220"/>
      <c r="K259" s="220"/>
      <c r="L259" s="220"/>
      <c r="M259" s="220"/>
      <c r="N259" s="220"/>
      <c r="O259" s="220"/>
      <c r="P259" s="220"/>
      <c r="Q259" s="220"/>
      <c r="R259" s="220"/>
      <c r="S259" s="220"/>
      <c r="T259" s="220"/>
      <c r="U259" s="220"/>
      <c r="V259" s="220"/>
      <c r="W259" s="220"/>
      <c r="X259" s="220"/>
      <c r="Y259" s="220"/>
      <c r="Z259" s="220"/>
      <c r="AA259" s="220"/>
      <c r="AB259" s="220"/>
      <c r="AC259" s="220"/>
      <c r="AD259" s="220"/>
      <c r="AE259" s="220"/>
      <c r="AF259" s="220"/>
      <c r="AG259" s="220"/>
      <c r="AH259" s="220"/>
      <c r="AI259" s="220"/>
      <c r="AJ259" s="50"/>
      <c r="AK259" s="257"/>
      <c r="AL259" s="257"/>
      <c r="AM259" s="52"/>
      <c r="AN259" s="88"/>
    </row>
    <row r="260" spans="1:40" s="29" customFormat="1" ht="17.25" customHeight="1">
      <c r="A260" s="48"/>
      <c r="B260" s="49"/>
      <c r="C260" s="220"/>
      <c r="D260" s="220"/>
      <c r="E260" s="220"/>
      <c r="F260" s="220"/>
      <c r="G260" s="220"/>
      <c r="H260" s="220"/>
      <c r="I260" s="220"/>
      <c r="J260" s="220"/>
      <c r="K260" s="220"/>
      <c r="L260" s="220"/>
      <c r="M260" s="220"/>
      <c r="N260" s="220"/>
      <c r="O260" s="220"/>
      <c r="P260" s="220"/>
      <c r="Q260" s="220"/>
      <c r="R260" s="220"/>
      <c r="S260" s="220"/>
      <c r="T260" s="220"/>
      <c r="U260" s="220"/>
      <c r="V260" s="220"/>
      <c r="W260" s="220"/>
      <c r="X260" s="220"/>
      <c r="Y260" s="220"/>
      <c r="Z260" s="220"/>
      <c r="AA260" s="220"/>
      <c r="AB260" s="220"/>
      <c r="AC260" s="220"/>
      <c r="AD260" s="220"/>
      <c r="AE260" s="220"/>
      <c r="AF260" s="220"/>
      <c r="AG260" s="220"/>
      <c r="AH260" s="220"/>
      <c r="AI260" s="220"/>
      <c r="AJ260" s="50"/>
      <c r="AK260" s="257"/>
      <c r="AL260" s="257"/>
      <c r="AM260" s="52"/>
      <c r="AN260" s="88"/>
    </row>
    <row r="261" spans="1:40" s="29" customFormat="1" ht="17.25" customHeight="1">
      <c r="A261" s="48"/>
      <c r="B261" s="49"/>
      <c r="C261" s="220"/>
      <c r="D261" s="220"/>
      <c r="E261" s="220"/>
      <c r="F261" s="220"/>
      <c r="G261" s="220"/>
      <c r="H261" s="220"/>
      <c r="I261" s="220"/>
      <c r="J261" s="220"/>
      <c r="K261" s="220"/>
      <c r="L261" s="220"/>
      <c r="M261" s="220"/>
      <c r="N261" s="220"/>
      <c r="O261" s="220"/>
      <c r="P261" s="220"/>
      <c r="Q261" s="220"/>
      <c r="R261" s="220"/>
      <c r="S261" s="220"/>
      <c r="T261" s="220"/>
      <c r="U261" s="220"/>
      <c r="V261" s="220"/>
      <c r="W261" s="220"/>
      <c r="X261" s="220"/>
      <c r="Y261" s="220"/>
      <c r="Z261" s="220"/>
      <c r="AA261" s="220"/>
      <c r="AB261" s="220"/>
      <c r="AC261" s="220"/>
      <c r="AD261" s="220"/>
      <c r="AE261" s="220"/>
      <c r="AF261" s="220"/>
      <c r="AG261" s="220"/>
      <c r="AH261" s="220"/>
      <c r="AI261" s="220"/>
      <c r="AJ261" s="50"/>
      <c r="AK261" s="257"/>
      <c r="AL261" s="257"/>
      <c r="AM261" s="52"/>
      <c r="AN261" s="88"/>
    </row>
    <row r="262" spans="1:40" s="29" customFormat="1" ht="17.25" customHeight="1">
      <c r="A262" s="48"/>
      <c r="B262" s="49"/>
      <c r="C262" s="220"/>
      <c r="D262" s="220"/>
      <c r="E262" s="220"/>
      <c r="F262" s="220"/>
      <c r="G262" s="220"/>
      <c r="H262" s="220"/>
      <c r="I262" s="220"/>
      <c r="J262" s="220"/>
      <c r="K262" s="220"/>
      <c r="L262" s="220"/>
      <c r="M262" s="220"/>
      <c r="N262" s="220"/>
      <c r="O262" s="220"/>
      <c r="P262" s="220"/>
      <c r="Q262" s="220"/>
      <c r="R262" s="220"/>
      <c r="S262" s="220"/>
      <c r="T262" s="220"/>
      <c r="U262" s="220"/>
      <c r="V262" s="220"/>
      <c r="W262" s="220"/>
      <c r="X262" s="220"/>
      <c r="Y262" s="220"/>
      <c r="Z262" s="220"/>
      <c r="AA262" s="220"/>
      <c r="AB262" s="220"/>
      <c r="AC262" s="220"/>
      <c r="AD262" s="220"/>
      <c r="AE262" s="220"/>
      <c r="AF262" s="220"/>
      <c r="AG262" s="220"/>
      <c r="AH262" s="220"/>
      <c r="AI262" s="220"/>
      <c r="AJ262" s="50"/>
      <c r="AK262" s="257"/>
      <c r="AL262" s="257"/>
      <c r="AM262" s="52"/>
      <c r="AN262" s="88"/>
    </row>
    <row r="263" spans="1:40" s="29" customFormat="1" ht="17.25" customHeight="1">
      <c r="A263" s="48"/>
      <c r="B263" s="49"/>
      <c r="C263" s="220"/>
      <c r="D263" s="220"/>
      <c r="E263" s="220"/>
      <c r="F263" s="220"/>
      <c r="G263" s="220"/>
      <c r="H263" s="220"/>
      <c r="I263" s="220"/>
      <c r="J263" s="220"/>
      <c r="K263" s="220"/>
      <c r="L263" s="220"/>
      <c r="M263" s="220"/>
      <c r="N263" s="220"/>
      <c r="O263" s="220"/>
      <c r="P263" s="220"/>
      <c r="Q263" s="220"/>
      <c r="R263" s="220"/>
      <c r="S263" s="220"/>
      <c r="T263" s="220"/>
      <c r="U263" s="220"/>
      <c r="V263" s="220"/>
      <c r="W263" s="220"/>
      <c r="X263" s="220"/>
      <c r="Y263" s="220"/>
      <c r="Z263" s="220"/>
      <c r="AA263" s="220"/>
      <c r="AB263" s="220"/>
      <c r="AC263" s="220"/>
      <c r="AD263" s="220"/>
      <c r="AE263" s="220"/>
      <c r="AF263" s="220"/>
      <c r="AG263" s="220"/>
      <c r="AH263" s="220"/>
      <c r="AI263" s="220"/>
      <c r="AJ263" s="50"/>
      <c r="AK263" s="257"/>
      <c r="AL263" s="257"/>
      <c r="AM263" s="52"/>
      <c r="AN263" s="88"/>
    </row>
    <row r="264" spans="1:40" s="29" customFormat="1" ht="17.25" customHeight="1">
      <c r="A264" s="48"/>
      <c r="B264" s="49"/>
      <c r="C264" s="220"/>
      <c r="D264" s="220"/>
      <c r="E264" s="220"/>
      <c r="F264" s="220"/>
      <c r="G264" s="220"/>
      <c r="H264" s="220"/>
      <c r="I264" s="220"/>
      <c r="J264" s="220"/>
      <c r="K264" s="220"/>
      <c r="L264" s="220"/>
      <c r="M264" s="220"/>
      <c r="N264" s="220"/>
      <c r="O264" s="220"/>
      <c r="P264" s="220"/>
      <c r="Q264" s="220"/>
      <c r="R264" s="220"/>
      <c r="S264" s="220"/>
      <c r="T264" s="220"/>
      <c r="U264" s="220"/>
      <c r="V264" s="220"/>
      <c r="W264" s="220"/>
      <c r="X264" s="220"/>
      <c r="Y264" s="220"/>
      <c r="Z264" s="220"/>
      <c r="AA264" s="220"/>
      <c r="AB264" s="220"/>
      <c r="AC264" s="220"/>
      <c r="AD264" s="220"/>
      <c r="AE264" s="220"/>
      <c r="AF264" s="220"/>
      <c r="AG264" s="220"/>
      <c r="AH264" s="220"/>
      <c r="AI264" s="220"/>
      <c r="AJ264" s="50"/>
      <c r="AK264" s="257"/>
      <c r="AL264" s="257"/>
      <c r="AM264" s="52"/>
      <c r="AN264" s="88"/>
    </row>
    <row r="265" spans="1:40" s="29" customFormat="1" ht="17.25" customHeight="1">
      <c r="A265" s="48"/>
      <c r="B265" s="49"/>
      <c r="C265" s="220"/>
      <c r="D265" s="220"/>
      <c r="E265" s="220"/>
      <c r="F265" s="220"/>
      <c r="G265" s="220"/>
      <c r="H265" s="220"/>
      <c r="I265" s="220"/>
      <c r="J265" s="220"/>
      <c r="K265" s="220"/>
      <c r="L265" s="220"/>
      <c r="M265" s="220"/>
      <c r="N265" s="220"/>
      <c r="O265" s="220"/>
      <c r="P265" s="220"/>
      <c r="Q265" s="220"/>
      <c r="R265" s="220"/>
      <c r="S265" s="220"/>
      <c r="T265" s="220"/>
      <c r="U265" s="220"/>
      <c r="V265" s="220"/>
      <c r="W265" s="220"/>
      <c r="X265" s="220"/>
      <c r="Y265" s="220"/>
      <c r="Z265" s="220"/>
      <c r="AA265" s="220"/>
      <c r="AB265" s="220"/>
      <c r="AC265" s="220"/>
      <c r="AD265" s="220"/>
      <c r="AE265" s="220"/>
      <c r="AF265" s="220"/>
      <c r="AG265" s="220"/>
      <c r="AH265" s="220"/>
      <c r="AI265" s="220"/>
      <c r="AJ265" s="50"/>
      <c r="AK265" s="257"/>
      <c r="AL265" s="257"/>
      <c r="AM265" s="52"/>
      <c r="AN265" s="88"/>
    </row>
    <row r="266" spans="1:40" s="29" customFormat="1" ht="17.25" customHeight="1">
      <c r="A266" s="48"/>
      <c r="B266" s="49"/>
      <c r="C266" s="220"/>
      <c r="D266" s="220"/>
      <c r="E266" s="220"/>
      <c r="F266" s="220"/>
      <c r="G266" s="220"/>
      <c r="H266" s="220"/>
      <c r="I266" s="220"/>
      <c r="J266" s="220"/>
      <c r="K266" s="220"/>
      <c r="L266" s="220"/>
      <c r="M266" s="220"/>
      <c r="N266" s="220"/>
      <c r="O266" s="220"/>
      <c r="P266" s="220"/>
      <c r="Q266" s="220"/>
      <c r="R266" s="220"/>
      <c r="S266" s="220"/>
      <c r="T266" s="220"/>
      <c r="U266" s="220"/>
      <c r="V266" s="220"/>
      <c r="W266" s="220"/>
      <c r="X266" s="220"/>
      <c r="Y266" s="220"/>
      <c r="Z266" s="220"/>
      <c r="AA266" s="220"/>
      <c r="AB266" s="220"/>
      <c r="AC266" s="220"/>
      <c r="AD266" s="220"/>
      <c r="AE266" s="220"/>
      <c r="AF266" s="220"/>
      <c r="AG266" s="220"/>
      <c r="AH266" s="220"/>
      <c r="AI266" s="220"/>
      <c r="AJ266" s="50"/>
      <c r="AK266" s="257"/>
      <c r="AL266" s="257"/>
      <c r="AM266" s="52"/>
      <c r="AN266" s="88"/>
    </row>
    <row r="267" spans="1:40" s="29" customFormat="1" ht="17.25" customHeight="1">
      <c r="A267" s="48"/>
      <c r="B267" s="49"/>
      <c r="C267" s="220"/>
      <c r="D267" s="220"/>
      <c r="E267" s="220"/>
      <c r="F267" s="220"/>
      <c r="G267" s="220"/>
      <c r="H267" s="220"/>
      <c r="I267" s="220"/>
      <c r="J267" s="220"/>
      <c r="K267" s="220"/>
      <c r="L267" s="220"/>
      <c r="M267" s="220"/>
      <c r="N267" s="220"/>
      <c r="O267" s="220"/>
      <c r="P267" s="220"/>
      <c r="Q267" s="220"/>
      <c r="R267" s="220"/>
      <c r="S267" s="220"/>
      <c r="T267" s="220"/>
      <c r="U267" s="220"/>
      <c r="V267" s="220"/>
      <c r="W267" s="220"/>
      <c r="X267" s="220"/>
      <c r="Y267" s="220"/>
      <c r="Z267" s="220"/>
      <c r="AA267" s="220"/>
      <c r="AB267" s="220"/>
      <c r="AC267" s="220"/>
      <c r="AD267" s="220"/>
      <c r="AE267" s="220"/>
      <c r="AF267" s="220"/>
      <c r="AG267" s="220"/>
      <c r="AH267" s="220"/>
      <c r="AI267" s="220"/>
      <c r="AJ267" s="50"/>
      <c r="AK267" s="257"/>
      <c r="AL267" s="257"/>
      <c r="AM267" s="52"/>
      <c r="AN267" s="88"/>
    </row>
    <row r="268" spans="1:40" s="29" customFormat="1" ht="17.25" customHeight="1">
      <c r="A268" s="48"/>
      <c r="B268" s="49"/>
      <c r="C268" s="220"/>
      <c r="D268" s="220"/>
      <c r="E268" s="220"/>
      <c r="F268" s="220"/>
      <c r="G268" s="220"/>
      <c r="H268" s="220"/>
      <c r="I268" s="220"/>
      <c r="J268" s="220"/>
      <c r="K268" s="220"/>
      <c r="L268" s="220"/>
      <c r="M268" s="220"/>
      <c r="N268" s="220"/>
      <c r="O268" s="220"/>
      <c r="P268" s="220"/>
      <c r="Q268" s="220"/>
      <c r="R268" s="220"/>
      <c r="S268" s="220"/>
      <c r="T268" s="220"/>
      <c r="U268" s="220"/>
      <c r="V268" s="220"/>
      <c r="W268" s="220"/>
      <c r="X268" s="220"/>
      <c r="Y268" s="220"/>
      <c r="Z268" s="220"/>
      <c r="AA268" s="220"/>
      <c r="AB268" s="220"/>
      <c r="AC268" s="220"/>
      <c r="AD268" s="220"/>
      <c r="AE268" s="220"/>
      <c r="AF268" s="220"/>
      <c r="AG268" s="220"/>
      <c r="AH268" s="220"/>
      <c r="AI268" s="220"/>
      <c r="AJ268" s="50"/>
      <c r="AK268" s="257"/>
      <c r="AL268" s="257"/>
      <c r="AM268" s="52"/>
      <c r="AN268" s="88"/>
    </row>
    <row r="269" spans="1:40" s="29" customFormat="1" ht="17.25" customHeight="1">
      <c r="A269" s="48"/>
      <c r="B269" s="49"/>
      <c r="C269" s="220"/>
      <c r="D269" s="220"/>
      <c r="E269" s="220"/>
      <c r="F269" s="220"/>
      <c r="G269" s="220"/>
      <c r="H269" s="220"/>
      <c r="I269" s="220"/>
      <c r="J269" s="220"/>
      <c r="K269" s="220"/>
      <c r="L269" s="220"/>
      <c r="M269" s="220"/>
      <c r="N269" s="220"/>
      <c r="O269" s="220"/>
      <c r="P269" s="220"/>
      <c r="Q269" s="220"/>
      <c r="R269" s="220"/>
      <c r="S269" s="220"/>
      <c r="T269" s="220"/>
      <c r="U269" s="220"/>
      <c r="V269" s="220"/>
      <c r="W269" s="220"/>
      <c r="X269" s="220"/>
      <c r="Y269" s="220"/>
      <c r="Z269" s="220"/>
      <c r="AA269" s="220"/>
      <c r="AB269" s="220"/>
      <c r="AC269" s="220"/>
      <c r="AD269" s="220"/>
      <c r="AE269" s="220"/>
      <c r="AF269" s="220"/>
      <c r="AG269" s="220"/>
      <c r="AH269" s="220"/>
      <c r="AI269" s="220"/>
      <c r="AJ269" s="50"/>
      <c r="AK269" s="257"/>
      <c r="AL269" s="257"/>
      <c r="AM269" s="52"/>
      <c r="AN269" s="88"/>
    </row>
    <row r="270" spans="1:40" s="29" customFormat="1" ht="17.25" customHeight="1">
      <c r="A270" s="48"/>
      <c r="B270" s="49"/>
      <c r="C270" s="220"/>
      <c r="D270" s="220"/>
      <c r="E270" s="220"/>
      <c r="F270" s="220"/>
      <c r="G270" s="220"/>
      <c r="H270" s="220"/>
      <c r="I270" s="220"/>
      <c r="J270" s="220"/>
      <c r="K270" s="220"/>
      <c r="L270" s="220"/>
      <c r="M270" s="220"/>
      <c r="N270" s="220"/>
      <c r="O270" s="220"/>
      <c r="P270" s="220"/>
      <c r="Q270" s="220"/>
      <c r="R270" s="220"/>
      <c r="S270" s="220"/>
      <c r="T270" s="220"/>
      <c r="U270" s="220"/>
      <c r="V270" s="220"/>
      <c r="W270" s="220"/>
      <c r="X270" s="220"/>
      <c r="Y270" s="220"/>
      <c r="Z270" s="220"/>
      <c r="AA270" s="220"/>
      <c r="AB270" s="220"/>
      <c r="AC270" s="220"/>
      <c r="AD270" s="220"/>
      <c r="AE270" s="220"/>
      <c r="AF270" s="220"/>
      <c r="AG270" s="220"/>
      <c r="AH270" s="220"/>
      <c r="AI270" s="220"/>
      <c r="AJ270" s="50"/>
      <c r="AK270" s="257"/>
      <c r="AL270" s="257"/>
      <c r="AM270" s="52"/>
      <c r="AN270" s="88"/>
    </row>
    <row r="271" spans="1:40" s="29" customFormat="1" ht="17.25" customHeight="1">
      <c r="A271" s="48"/>
      <c r="B271" s="49"/>
      <c r="C271" s="220"/>
      <c r="D271" s="220"/>
      <c r="E271" s="220"/>
      <c r="F271" s="220"/>
      <c r="G271" s="220"/>
      <c r="H271" s="220"/>
      <c r="I271" s="220"/>
      <c r="J271" s="220"/>
      <c r="K271" s="220"/>
      <c r="L271" s="220"/>
      <c r="M271" s="220"/>
      <c r="N271" s="220"/>
      <c r="O271" s="220"/>
      <c r="P271" s="220"/>
      <c r="Q271" s="220"/>
      <c r="R271" s="220"/>
      <c r="S271" s="220"/>
      <c r="T271" s="220"/>
      <c r="U271" s="220"/>
      <c r="V271" s="220"/>
      <c r="W271" s="220"/>
      <c r="X271" s="220"/>
      <c r="Y271" s="220"/>
      <c r="Z271" s="220"/>
      <c r="AA271" s="220"/>
      <c r="AB271" s="220"/>
      <c r="AC271" s="220"/>
      <c r="AD271" s="220"/>
      <c r="AE271" s="220"/>
      <c r="AF271" s="220"/>
      <c r="AG271" s="220"/>
      <c r="AH271" s="220"/>
      <c r="AI271" s="220"/>
      <c r="AJ271" s="50"/>
      <c r="AK271" s="257"/>
      <c r="AL271" s="257"/>
      <c r="AM271" s="52"/>
      <c r="AN271" s="88"/>
    </row>
    <row r="272" spans="1:40" s="29" customFormat="1" ht="17.25" customHeight="1">
      <c r="A272" s="48"/>
      <c r="B272" s="49"/>
      <c r="C272" s="220"/>
      <c r="D272" s="220"/>
      <c r="E272" s="220"/>
      <c r="F272" s="220"/>
      <c r="G272" s="220"/>
      <c r="H272" s="220"/>
      <c r="I272" s="220"/>
      <c r="J272" s="220"/>
      <c r="K272" s="220"/>
      <c r="L272" s="220"/>
      <c r="M272" s="220"/>
      <c r="N272" s="220"/>
      <c r="O272" s="220"/>
      <c r="P272" s="220"/>
      <c r="Q272" s="220"/>
      <c r="R272" s="220"/>
      <c r="S272" s="220"/>
      <c r="T272" s="220"/>
      <c r="U272" s="220"/>
      <c r="V272" s="220"/>
      <c r="W272" s="220"/>
      <c r="X272" s="220"/>
      <c r="Y272" s="220"/>
      <c r="Z272" s="220"/>
      <c r="AA272" s="220"/>
      <c r="AB272" s="220"/>
      <c r="AC272" s="220"/>
      <c r="AD272" s="220"/>
      <c r="AE272" s="220"/>
      <c r="AF272" s="220"/>
      <c r="AG272" s="220"/>
      <c r="AH272" s="220"/>
      <c r="AI272" s="220"/>
      <c r="AJ272" s="50"/>
      <c r="AK272" s="257"/>
      <c r="AL272" s="257"/>
      <c r="AM272" s="52"/>
      <c r="AN272" s="88"/>
    </row>
    <row r="273" spans="1:40" s="29" customFormat="1" ht="17.25" customHeight="1">
      <c r="A273" s="48"/>
      <c r="B273" s="49"/>
      <c r="C273" s="220"/>
      <c r="D273" s="220"/>
      <c r="E273" s="220"/>
      <c r="F273" s="220"/>
      <c r="G273" s="220"/>
      <c r="H273" s="220"/>
      <c r="I273" s="220"/>
      <c r="J273" s="220"/>
      <c r="K273" s="220"/>
      <c r="L273" s="220"/>
      <c r="M273" s="220"/>
      <c r="N273" s="220"/>
      <c r="O273" s="220"/>
      <c r="P273" s="220"/>
      <c r="Q273" s="220"/>
      <c r="R273" s="220"/>
      <c r="S273" s="220"/>
      <c r="T273" s="220"/>
      <c r="U273" s="220"/>
      <c r="V273" s="220"/>
      <c r="W273" s="220"/>
      <c r="X273" s="220"/>
      <c r="Y273" s="220"/>
      <c r="Z273" s="220"/>
      <c r="AA273" s="220"/>
      <c r="AB273" s="220"/>
      <c r="AC273" s="220"/>
      <c r="AD273" s="220"/>
      <c r="AE273" s="220"/>
      <c r="AF273" s="220"/>
      <c r="AG273" s="220"/>
      <c r="AH273" s="220"/>
      <c r="AI273" s="220"/>
      <c r="AJ273" s="50"/>
      <c r="AK273" s="257"/>
      <c r="AL273" s="257"/>
      <c r="AM273" s="52"/>
      <c r="AN273" s="88"/>
    </row>
    <row r="274" spans="1:40" s="29" customFormat="1" ht="17.25" customHeight="1">
      <c r="A274" s="48"/>
      <c r="B274" s="49"/>
      <c r="C274" s="220"/>
      <c r="D274" s="220"/>
      <c r="E274" s="220"/>
      <c r="F274" s="220"/>
      <c r="G274" s="220"/>
      <c r="H274" s="220"/>
      <c r="I274" s="220"/>
      <c r="J274" s="220"/>
      <c r="K274" s="220"/>
      <c r="L274" s="220"/>
      <c r="M274" s="220"/>
      <c r="N274" s="220"/>
      <c r="O274" s="220"/>
      <c r="P274" s="220"/>
      <c r="Q274" s="220"/>
      <c r="R274" s="220"/>
      <c r="S274" s="220"/>
      <c r="T274" s="220"/>
      <c r="U274" s="220"/>
      <c r="V274" s="220"/>
      <c r="W274" s="220"/>
      <c r="X274" s="220"/>
      <c r="Y274" s="220"/>
      <c r="Z274" s="220"/>
      <c r="AA274" s="220"/>
      <c r="AB274" s="220"/>
      <c r="AC274" s="220"/>
      <c r="AD274" s="220"/>
      <c r="AE274" s="220"/>
      <c r="AF274" s="220"/>
      <c r="AG274" s="220"/>
      <c r="AH274" s="220"/>
      <c r="AI274" s="220"/>
      <c r="AJ274" s="50"/>
      <c r="AK274" s="257"/>
      <c r="AL274" s="257"/>
      <c r="AM274" s="52"/>
      <c r="AN274" s="88"/>
    </row>
    <row r="275" spans="1:40" s="29" customFormat="1" ht="17.25" customHeight="1">
      <c r="A275" s="48"/>
      <c r="B275" s="49"/>
      <c r="C275" s="220"/>
      <c r="D275" s="220"/>
      <c r="E275" s="220"/>
      <c r="F275" s="220"/>
      <c r="G275" s="220"/>
      <c r="H275" s="220"/>
      <c r="I275" s="220"/>
      <c r="J275" s="220"/>
      <c r="K275" s="220"/>
      <c r="L275" s="220"/>
      <c r="M275" s="220"/>
      <c r="N275" s="220"/>
      <c r="O275" s="220"/>
      <c r="P275" s="220"/>
      <c r="Q275" s="220"/>
      <c r="R275" s="220"/>
      <c r="S275" s="220"/>
      <c r="T275" s="220"/>
      <c r="U275" s="220"/>
      <c r="V275" s="220"/>
      <c r="W275" s="220"/>
      <c r="X275" s="220"/>
      <c r="Y275" s="220"/>
      <c r="Z275" s="220"/>
      <c r="AA275" s="220"/>
      <c r="AB275" s="220"/>
      <c r="AC275" s="220"/>
      <c r="AD275" s="220"/>
      <c r="AE275" s="220"/>
      <c r="AF275" s="220"/>
      <c r="AG275" s="220"/>
      <c r="AH275" s="220"/>
      <c r="AI275" s="220"/>
      <c r="AJ275" s="50"/>
      <c r="AK275" s="257"/>
      <c r="AL275" s="257"/>
      <c r="AM275" s="52"/>
      <c r="AN275" s="88"/>
    </row>
    <row r="276" spans="1:40" s="29" customFormat="1" ht="17.25" customHeight="1">
      <c r="A276" s="48"/>
      <c r="B276" s="49"/>
      <c r="C276" s="220"/>
      <c r="D276" s="220"/>
      <c r="E276" s="220"/>
      <c r="F276" s="220"/>
      <c r="G276" s="220"/>
      <c r="H276" s="220"/>
      <c r="I276" s="220"/>
      <c r="J276" s="220"/>
      <c r="K276" s="220"/>
      <c r="L276" s="220"/>
      <c r="M276" s="220"/>
      <c r="N276" s="220"/>
      <c r="O276" s="220"/>
      <c r="P276" s="220"/>
      <c r="Q276" s="220"/>
      <c r="R276" s="220"/>
      <c r="S276" s="220"/>
      <c r="T276" s="220"/>
      <c r="U276" s="220"/>
      <c r="V276" s="220"/>
      <c r="W276" s="220"/>
      <c r="X276" s="220"/>
      <c r="Y276" s="220"/>
      <c r="Z276" s="220"/>
      <c r="AA276" s="220"/>
      <c r="AB276" s="220"/>
      <c r="AC276" s="220"/>
      <c r="AD276" s="220"/>
      <c r="AE276" s="220"/>
      <c r="AF276" s="220"/>
      <c r="AG276" s="220"/>
      <c r="AH276" s="220"/>
      <c r="AI276" s="220"/>
      <c r="AJ276" s="50"/>
      <c r="AK276" s="257"/>
      <c r="AL276" s="257"/>
      <c r="AM276" s="52"/>
      <c r="AN276" s="88"/>
    </row>
    <row r="277" spans="1:40" s="29" customFormat="1" ht="17.25" customHeight="1">
      <c r="A277" s="48"/>
      <c r="B277" s="49"/>
      <c r="C277" s="220"/>
      <c r="D277" s="220"/>
      <c r="E277" s="220"/>
      <c r="F277" s="220"/>
      <c r="G277" s="220"/>
      <c r="H277" s="220"/>
      <c r="I277" s="220"/>
      <c r="J277" s="220"/>
      <c r="K277" s="220"/>
      <c r="L277" s="220"/>
      <c r="M277" s="220"/>
      <c r="N277" s="220"/>
      <c r="O277" s="220"/>
      <c r="P277" s="220"/>
      <c r="Q277" s="220"/>
      <c r="R277" s="220"/>
      <c r="S277" s="220"/>
      <c r="T277" s="220"/>
      <c r="U277" s="220"/>
      <c r="V277" s="220"/>
      <c r="W277" s="220"/>
      <c r="X277" s="220"/>
      <c r="Y277" s="220"/>
      <c r="Z277" s="220"/>
      <c r="AA277" s="220"/>
      <c r="AB277" s="220"/>
      <c r="AC277" s="220"/>
      <c r="AD277" s="220"/>
      <c r="AE277" s="220"/>
      <c r="AF277" s="220"/>
      <c r="AG277" s="220"/>
      <c r="AH277" s="220"/>
      <c r="AI277" s="220"/>
      <c r="AJ277" s="50"/>
      <c r="AK277" s="257"/>
      <c r="AL277" s="257"/>
      <c r="AM277" s="52"/>
      <c r="AN277" s="88"/>
    </row>
    <row r="278" spans="1:40" s="29" customFormat="1" ht="17.25" customHeight="1">
      <c r="A278" s="48"/>
      <c r="B278" s="49"/>
      <c r="C278" s="220"/>
      <c r="D278" s="220"/>
      <c r="E278" s="220"/>
      <c r="F278" s="220"/>
      <c r="G278" s="220"/>
      <c r="H278" s="220"/>
      <c r="I278" s="220"/>
      <c r="J278" s="220"/>
      <c r="K278" s="220"/>
      <c r="L278" s="220"/>
      <c r="M278" s="220"/>
      <c r="N278" s="220"/>
      <c r="O278" s="220"/>
      <c r="P278" s="220"/>
      <c r="Q278" s="220"/>
      <c r="R278" s="220"/>
      <c r="S278" s="220"/>
      <c r="T278" s="220"/>
      <c r="U278" s="220"/>
      <c r="V278" s="220"/>
      <c r="W278" s="220"/>
      <c r="X278" s="220"/>
      <c r="Y278" s="220"/>
      <c r="Z278" s="220"/>
      <c r="AA278" s="220"/>
      <c r="AB278" s="220"/>
      <c r="AC278" s="220"/>
      <c r="AD278" s="220"/>
      <c r="AE278" s="220"/>
      <c r="AF278" s="220"/>
      <c r="AG278" s="220"/>
      <c r="AH278" s="220"/>
      <c r="AI278" s="220"/>
      <c r="AJ278" s="50"/>
      <c r="AK278" s="257"/>
      <c r="AL278" s="257"/>
      <c r="AM278" s="52"/>
      <c r="AN278" s="88"/>
    </row>
    <row r="279" spans="1:40" s="29" customFormat="1" ht="17.25" customHeight="1">
      <c r="A279" s="48"/>
      <c r="B279" s="49"/>
      <c r="C279" s="220"/>
      <c r="D279" s="220"/>
      <c r="E279" s="220"/>
      <c r="F279" s="220"/>
      <c r="G279" s="220"/>
      <c r="H279" s="220"/>
      <c r="I279" s="220"/>
      <c r="J279" s="220"/>
      <c r="K279" s="220"/>
      <c r="L279" s="220"/>
      <c r="M279" s="220"/>
      <c r="N279" s="220"/>
      <c r="O279" s="220"/>
      <c r="P279" s="220"/>
      <c r="Q279" s="220"/>
      <c r="R279" s="220"/>
      <c r="S279" s="220"/>
      <c r="T279" s="220"/>
      <c r="U279" s="220"/>
      <c r="V279" s="220"/>
      <c r="W279" s="220"/>
      <c r="X279" s="220"/>
      <c r="Y279" s="220"/>
      <c r="Z279" s="220"/>
      <c r="AA279" s="220"/>
      <c r="AB279" s="220"/>
      <c r="AC279" s="220"/>
      <c r="AD279" s="220"/>
      <c r="AE279" s="220"/>
      <c r="AF279" s="220"/>
      <c r="AG279" s="220"/>
      <c r="AH279" s="220"/>
      <c r="AI279" s="220"/>
      <c r="AJ279" s="50"/>
      <c r="AK279" s="257"/>
      <c r="AL279" s="257"/>
      <c r="AM279" s="52"/>
      <c r="AN279" s="88"/>
    </row>
    <row r="280" spans="1:40" s="29" customFormat="1" ht="17.25" customHeight="1">
      <c r="A280" s="48"/>
      <c r="B280" s="49"/>
      <c r="C280" s="220"/>
      <c r="D280" s="220"/>
      <c r="E280" s="220"/>
      <c r="F280" s="220"/>
      <c r="G280" s="220"/>
      <c r="H280" s="220"/>
      <c r="I280" s="220"/>
      <c r="J280" s="220"/>
      <c r="K280" s="220"/>
      <c r="L280" s="220"/>
      <c r="M280" s="220"/>
      <c r="N280" s="220"/>
      <c r="O280" s="220"/>
      <c r="P280" s="220"/>
      <c r="Q280" s="220"/>
      <c r="R280" s="220"/>
      <c r="S280" s="220"/>
      <c r="T280" s="220"/>
      <c r="U280" s="220"/>
      <c r="V280" s="220"/>
      <c r="W280" s="220"/>
      <c r="X280" s="220"/>
      <c r="Y280" s="220"/>
      <c r="Z280" s="220"/>
      <c r="AA280" s="220"/>
      <c r="AB280" s="220"/>
      <c r="AC280" s="220"/>
      <c r="AD280" s="220"/>
      <c r="AE280" s="220"/>
      <c r="AF280" s="220"/>
      <c r="AG280" s="220"/>
      <c r="AH280" s="220"/>
      <c r="AI280" s="220"/>
      <c r="AJ280" s="50"/>
      <c r="AK280" s="257"/>
      <c r="AL280" s="257"/>
      <c r="AM280" s="52"/>
      <c r="AN280" s="88"/>
    </row>
    <row r="281" spans="1:40" s="29" customFormat="1" ht="17.25" customHeight="1">
      <c r="A281" s="48"/>
      <c r="B281" s="49"/>
      <c r="C281" s="220"/>
      <c r="D281" s="220"/>
      <c r="E281" s="220"/>
      <c r="F281" s="220"/>
      <c r="G281" s="220"/>
      <c r="H281" s="220"/>
      <c r="I281" s="220"/>
      <c r="J281" s="220"/>
      <c r="K281" s="220"/>
      <c r="L281" s="220"/>
      <c r="M281" s="220"/>
      <c r="N281" s="220"/>
      <c r="O281" s="220"/>
      <c r="P281" s="220"/>
      <c r="Q281" s="220"/>
      <c r="R281" s="220"/>
      <c r="S281" s="220"/>
      <c r="T281" s="220"/>
      <c r="U281" s="220"/>
      <c r="V281" s="220"/>
      <c r="W281" s="220"/>
      <c r="X281" s="220"/>
      <c r="Y281" s="220"/>
      <c r="Z281" s="220"/>
      <c r="AA281" s="220"/>
      <c r="AB281" s="220"/>
      <c r="AC281" s="220"/>
      <c r="AD281" s="220"/>
      <c r="AE281" s="220"/>
      <c r="AF281" s="220"/>
      <c r="AG281" s="220"/>
      <c r="AH281" s="220"/>
      <c r="AI281" s="220"/>
      <c r="AJ281" s="50"/>
      <c r="AK281" s="257"/>
      <c r="AL281" s="257"/>
      <c r="AM281" s="52"/>
      <c r="AN281" s="88"/>
    </row>
    <row r="282" spans="1:40" s="29" customFormat="1" ht="17.25" customHeight="1">
      <c r="A282" s="48"/>
      <c r="B282" s="49"/>
      <c r="C282" s="220"/>
      <c r="D282" s="220"/>
      <c r="E282" s="220"/>
      <c r="F282" s="220"/>
      <c r="G282" s="220"/>
      <c r="H282" s="220"/>
      <c r="I282" s="220"/>
      <c r="J282" s="220"/>
      <c r="K282" s="220"/>
      <c r="L282" s="220"/>
      <c r="M282" s="220"/>
      <c r="N282" s="220"/>
      <c r="O282" s="220"/>
      <c r="P282" s="220"/>
      <c r="Q282" s="220"/>
      <c r="R282" s="220"/>
      <c r="S282" s="220"/>
      <c r="T282" s="220"/>
      <c r="U282" s="220"/>
      <c r="V282" s="220"/>
      <c r="W282" s="220"/>
      <c r="X282" s="220"/>
      <c r="Y282" s="220"/>
      <c r="Z282" s="220"/>
      <c r="AA282" s="220"/>
      <c r="AB282" s="220"/>
      <c r="AC282" s="220"/>
      <c r="AD282" s="220"/>
      <c r="AE282" s="220"/>
      <c r="AF282" s="220"/>
      <c r="AG282" s="220"/>
      <c r="AH282" s="220"/>
      <c r="AI282" s="220"/>
      <c r="AJ282" s="50"/>
      <c r="AK282" s="257"/>
      <c r="AL282" s="257"/>
      <c r="AM282" s="52"/>
      <c r="AN282" s="88"/>
    </row>
    <row r="283" spans="1:40" s="29" customFormat="1" ht="17.25" customHeight="1">
      <c r="A283" s="48"/>
      <c r="B283" s="49"/>
      <c r="C283" s="220"/>
      <c r="D283" s="220"/>
      <c r="E283" s="220"/>
      <c r="F283" s="220"/>
      <c r="G283" s="220"/>
      <c r="H283" s="220"/>
      <c r="I283" s="220"/>
      <c r="J283" s="220"/>
      <c r="K283" s="220"/>
      <c r="L283" s="220"/>
      <c r="M283" s="220"/>
      <c r="N283" s="220"/>
      <c r="O283" s="220"/>
      <c r="P283" s="220"/>
      <c r="Q283" s="220"/>
      <c r="R283" s="220"/>
      <c r="S283" s="220"/>
      <c r="T283" s="220"/>
      <c r="U283" s="220"/>
      <c r="V283" s="220"/>
      <c r="W283" s="220"/>
      <c r="X283" s="220"/>
      <c r="Y283" s="220"/>
      <c r="Z283" s="220"/>
      <c r="AA283" s="220"/>
      <c r="AB283" s="220"/>
      <c r="AC283" s="220"/>
      <c r="AD283" s="220"/>
      <c r="AE283" s="220"/>
      <c r="AF283" s="220"/>
      <c r="AG283" s="220"/>
      <c r="AH283" s="220"/>
      <c r="AI283" s="220"/>
      <c r="AJ283" s="50"/>
      <c r="AK283" s="257"/>
      <c r="AL283" s="257"/>
      <c r="AM283" s="52"/>
      <c r="AN283" s="88"/>
    </row>
    <row r="284" spans="1:40" s="29" customFormat="1" ht="17.25" customHeight="1">
      <c r="A284" s="48"/>
      <c r="B284" s="49"/>
      <c r="C284" s="220"/>
      <c r="D284" s="220"/>
      <c r="E284" s="220"/>
      <c r="F284" s="220"/>
      <c r="G284" s="220"/>
      <c r="H284" s="220"/>
      <c r="I284" s="220"/>
      <c r="J284" s="220"/>
      <c r="K284" s="220"/>
      <c r="L284" s="220"/>
      <c r="M284" s="220"/>
      <c r="N284" s="220"/>
      <c r="O284" s="220"/>
      <c r="P284" s="220"/>
      <c r="Q284" s="220"/>
      <c r="R284" s="220"/>
      <c r="S284" s="220"/>
      <c r="T284" s="220"/>
      <c r="U284" s="220"/>
      <c r="V284" s="220"/>
      <c r="W284" s="220"/>
      <c r="X284" s="220"/>
      <c r="Y284" s="220"/>
      <c r="Z284" s="220"/>
      <c r="AA284" s="220"/>
      <c r="AB284" s="220"/>
      <c r="AC284" s="220"/>
      <c r="AD284" s="220"/>
      <c r="AE284" s="220"/>
      <c r="AF284" s="220"/>
      <c r="AG284" s="220"/>
      <c r="AH284" s="220"/>
      <c r="AI284" s="220"/>
      <c r="AJ284" s="50"/>
      <c r="AK284" s="257"/>
      <c r="AL284" s="257"/>
      <c r="AM284" s="52"/>
      <c r="AN284" s="88"/>
    </row>
    <row r="285" spans="1:40" s="29" customFormat="1" ht="17.25" customHeight="1">
      <c r="A285" s="48"/>
      <c r="B285" s="49"/>
      <c r="C285" s="220"/>
      <c r="D285" s="220"/>
      <c r="E285" s="220"/>
      <c r="F285" s="220"/>
      <c r="G285" s="220"/>
      <c r="H285" s="220"/>
      <c r="I285" s="220"/>
      <c r="J285" s="220"/>
      <c r="K285" s="220"/>
      <c r="L285" s="220"/>
      <c r="M285" s="220"/>
      <c r="N285" s="220"/>
      <c r="O285" s="220"/>
      <c r="P285" s="220"/>
      <c r="Q285" s="220"/>
      <c r="R285" s="220"/>
      <c r="S285" s="220"/>
      <c r="T285" s="220"/>
      <c r="U285" s="220"/>
      <c r="V285" s="220"/>
      <c r="W285" s="220"/>
      <c r="X285" s="220"/>
      <c r="Y285" s="220"/>
      <c r="Z285" s="220"/>
      <c r="AA285" s="220"/>
      <c r="AB285" s="220"/>
      <c r="AC285" s="220"/>
      <c r="AD285" s="220"/>
      <c r="AE285" s="220"/>
      <c r="AF285" s="220"/>
      <c r="AG285" s="220"/>
      <c r="AH285" s="220"/>
      <c r="AI285" s="220"/>
      <c r="AJ285" s="50"/>
      <c r="AK285" s="257"/>
      <c r="AL285" s="257"/>
      <c r="AM285" s="52"/>
      <c r="AN285" s="88"/>
    </row>
    <row r="286" spans="1:40" s="29" customFormat="1" ht="17.25" customHeight="1">
      <c r="A286" s="48"/>
      <c r="B286" s="49"/>
      <c r="C286" s="220"/>
      <c r="D286" s="220"/>
      <c r="E286" s="220"/>
      <c r="F286" s="220"/>
      <c r="G286" s="220"/>
      <c r="H286" s="220"/>
      <c r="I286" s="220"/>
      <c r="J286" s="220"/>
      <c r="K286" s="220"/>
      <c r="L286" s="220"/>
      <c r="M286" s="220"/>
      <c r="N286" s="220"/>
      <c r="O286" s="220"/>
      <c r="P286" s="220"/>
      <c r="Q286" s="220"/>
      <c r="R286" s="220"/>
      <c r="S286" s="220"/>
      <c r="T286" s="220"/>
      <c r="U286" s="220"/>
      <c r="V286" s="220"/>
      <c r="W286" s="220"/>
      <c r="X286" s="220"/>
      <c r="Y286" s="220"/>
      <c r="Z286" s="220"/>
      <c r="AA286" s="220"/>
      <c r="AB286" s="220"/>
      <c r="AC286" s="220"/>
      <c r="AD286" s="220"/>
      <c r="AE286" s="220"/>
      <c r="AF286" s="220"/>
      <c r="AG286" s="220"/>
      <c r="AH286" s="220"/>
      <c r="AI286" s="220"/>
      <c r="AJ286" s="50"/>
      <c r="AK286" s="257"/>
      <c r="AL286" s="257"/>
      <c r="AM286" s="52"/>
      <c r="AN286" s="88"/>
    </row>
    <row r="287" spans="1:40" s="29" customFormat="1" ht="17.25" customHeight="1">
      <c r="A287" s="48"/>
      <c r="B287" s="49"/>
      <c r="C287" s="220"/>
      <c r="D287" s="220"/>
      <c r="E287" s="220"/>
      <c r="F287" s="220"/>
      <c r="G287" s="220"/>
      <c r="H287" s="220"/>
      <c r="I287" s="220"/>
      <c r="J287" s="220"/>
      <c r="K287" s="220"/>
      <c r="L287" s="220"/>
      <c r="M287" s="220"/>
      <c r="N287" s="220"/>
      <c r="O287" s="220"/>
      <c r="P287" s="220"/>
      <c r="Q287" s="220"/>
      <c r="R287" s="220"/>
      <c r="S287" s="220"/>
      <c r="T287" s="220"/>
      <c r="U287" s="220"/>
      <c r="V287" s="220"/>
      <c r="W287" s="220"/>
      <c r="X287" s="220"/>
      <c r="Y287" s="220"/>
      <c r="Z287" s="220"/>
      <c r="AA287" s="220"/>
      <c r="AB287" s="220"/>
      <c r="AC287" s="220"/>
      <c r="AD287" s="220"/>
      <c r="AE287" s="220"/>
      <c r="AF287" s="220"/>
      <c r="AG287" s="220"/>
      <c r="AH287" s="220"/>
      <c r="AI287" s="220"/>
      <c r="AJ287" s="50"/>
      <c r="AK287" s="257"/>
      <c r="AL287" s="257"/>
      <c r="AM287" s="52"/>
      <c r="AN287" s="88"/>
    </row>
    <row r="288" spans="1:40" s="29" customFormat="1" ht="17.25" customHeight="1">
      <c r="A288" s="48"/>
      <c r="B288" s="49"/>
      <c r="C288" s="220"/>
      <c r="D288" s="220"/>
      <c r="E288" s="220"/>
      <c r="F288" s="220"/>
      <c r="G288" s="220"/>
      <c r="H288" s="220"/>
      <c r="I288" s="220"/>
      <c r="J288" s="220"/>
      <c r="K288" s="220"/>
      <c r="L288" s="220"/>
      <c r="M288" s="220"/>
      <c r="N288" s="220"/>
      <c r="O288" s="220"/>
      <c r="P288" s="220"/>
      <c r="Q288" s="220"/>
      <c r="R288" s="220"/>
      <c r="S288" s="220"/>
      <c r="T288" s="220"/>
      <c r="U288" s="220"/>
      <c r="V288" s="220"/>
      <c r="W288" s="220"/>
      <c r="X288" s="220"/>
      <c r="Y288" s="220"/>
      <c r="Z288" s="220"/>
      <c r="AA288" s="220"/>
      <c r="AB288" s="220"/>
      <c r="AC288" s="220"/>
      <c r="AD288" s="220"/>
      <c r="AE288" s="220"/>
      <c r="AF288" s="220"/>
      <c r="AG288" s="220"/>
      <c r="AH288" s="220"/>
      <c r="AI288" s="220"/>
      <c r="AJ288" s="50"/>
      <c r="AK288" s="257"/>
      <c r="AL288" s="257"/>
      <c r="AM288" s="52"/>
      <c r="AN288" s="88"/>
    </row>
    <row r="289" spans="1:40" s="29" customFormat="1" ht="17.25" customHeight="1">
      <c r="A289" s="48"/>
      <c r="B289" s="49"/>
      <c r="C289" s="220"/>
      <c r="D289" s="220"/>
      <c r="E289" s="220"/>
      <c r="F289" s="220"/>
      <c r="G289" s="220"/>
      <c r="H289" s="220"/>
      <c r="I289" s="220"/>
      <c r="J289" s="220"/>
      <c r="K289" s="220"/>
      <c r="L289" s="220"/>
      <c r="M289" s="220"/>
      <c r="N289" s="220"/>
      <c r="O289" s="220"/>
      <c r="P289" s="220"/>
      <c r="Q289" s="220"/>
      <c r="R289" s="220"/>
      <c r="S289" s="220"/>
      <c r="T289" s="220"/>
      <c r="U289" s="220"/>
      <c r="V289" s="220"/>
      <c r="W289" s="220"/>
      <c r="X289" s="220"/>
      <c r="Y289" s="220"/>
      <c r="Z289" s="220"/>
      <c r="AA289" s="220"/>
      <c r="AB289" s="220"/>
      <c r="AC289" s="220"/>
      <c r="AD289" s="220"/>
      <c r="AE289" s="220"/>
      <c r="AF289" s="220"/>
      <c r="AG289" s="220"/>
      <c r="AH289" s="220"/>
      <c r="AI289" s="220"/>
      <c r="AJ289" s="50"/>
      <c r="AK289" s="257"/>
      <c r="AL289" s="257"/>
      <c r="AM289" s="52"/>
      <c r="AN289" s="88"/>
    </row>
    <row r="290" spans="1:40" s="29" customFormat="1" ht="17.25" customHeight="1">
      <c r="A290" s="48"/>
      <c r="B290" s="49"/>
      <c r="C290" s="220"/>
      <c r="D290" s="220"/>
      <c r="E290" s="220"/>
      <c r="F290" s="220"/>
      <c r="G290" s="220"/>
      <c r="H290" s="220"/>
      <c r="I290" s="220"/>
      <c r="J290" s="220"/>
      <c r="K290" s="220"/>
      <c r="L290" s="220"/>
      <c r="M290" s="220"/>
      <c r="N290" s="220"/>
      <c r="O290" s="220"/>
      <c r="P290" s="220"/>
      <c r="Q290" s="220"/>
      <c r="R290" s="220"/>
      <c r="S290" s="220"/>
      <c r="T290" s="220"/>
      <c r="U290" s="220"/>
      <c r="V290" s="220"/>
      <c r="W290" s="220"/>
      <c r="X290" s="220"/>
      <c r="Y290" s="220"/>
      <c r="Z290" s="220"/>
      <c r="AA290" s="220"/>
      <c r="AB290" s="220"/>
      <c r="AC290" s="220"/>
      <c r="AD290" s="220"/>
      <c r="AE290" s="220"/>
      <c r="AF290" s="220"/>
      <c r="AG290" s="220"/>
      <c r="AH290" s="220"/>
      <c r="AI290" s="220"/>
      <c r="AJ290" s="50"/>
      <c r="AK290" s="257"/>
      <c r="AL290" s="257"/>
      <c r="AM290" s="52"/>
      <c r="AN290" s="88"/>
    </row>
    <row r="291" spans="1:40" s="29" customFormat="1" ht="17.25" customHeight="1">
      <c r="A291" s="48"/>
      <c r="B291" s="49"/>
      <c r="C291" s="220"/>
      <c r="D291" s="220"/>
      <c r="E291" s="220"/>
      <c r="F291" s="220"/>
      <c r="G291" s="220"/>
      <c r="H291" s="220"/>
      <c r="I291" s="220"/>
      <c r="J291" s="220"/>
      <c r="K291" s="220"/>
      <c r="L291" s="220"/>
      <c r="M291" s="220"/>
      <c r="N291" s="220"/>
      <c r="O291" s="220"/>
      <c r="P291" s="220"/>
      <c r="Q291" s="220"/>
      <c r="R291" s="220"/>
      <c r="S291" s="220"/>
      <c r="T291" s="220"/>
      <c r="U291" s="220"/>
      <c r="V291" s="220"/>
      <c r="W291" s="220"/>
      <c r="X291" s="220"/>
      <c r="Y291" s="220"/>
      <c r="Z291" s="220"/>
      <c r="AA291" s="220"/>
      <c r="AB291" s="220"/>
      <c r="AC291" s="220"/>
      <c r="AD291" s="220"/>
      <c r="AE291" s="220"/>
      <c r="AF291" s="220"/>
      <c r="AG291" s="220"/>
      <c r="AH291" s="220"/>
      <c r="AI291" s="220"/>
      <c r="AJ291" s="50"/>
      <c r="AK291" s="257"/>
      <c r="AL291" s="257"/>
      <c r="AM291" s="52"/>
      <c r="AN291" s="88"/>
    </row>
    <row r="292" spans="1:40" s="29" customFormat="1" ht="17.25" customHeight="1">
      <c r="A292" s="48"/>
      <c r="B292" s="49"/>
      <c r="C292" s="220"/>
      <c r="D292" s="220"/>
      <c r="E292" s="220"/>
      <c r="F292" s="220"/>
      <c r="G292" s="220"/>
      <c r="H292" s="220"/>
      <c r="I292" s="220"/>
      <c r="J292" s="220"/>
      <c r="K292" s="220"/>
      <c r="L292" s="220"/>
      <c r="M292" s="220"/>
      <c r="N292" s="220"/>
      <c r="O292" s="220"/>
      <c r="P292" s="220"/>
      <c r="Q292" s="220"/>
      <c r="R292" s="220"/>
      <c r="S292" s="220"/>
      <c r="T292" s="220"/>
      <c r="U292" s="220"/>
      <c r="V292" s="220"/>
      <c r="W292" s="220"/>
      <c r="X292" s="220"/>
      <c r="Y292" s="220"/>
      <c r="Z292" s="220"/>
      <c r="AA292" s="220"/>
      <c r="AB292" s="220"/>
      <c r="AC292" s="220"/>
      <c r="AD292" s="220"/>
      <c r="AE292" s="220"/>
      <c r="AF292" s="220"/>
      <c r="AG292" s="220"/>
      <c r="AH292" s="220"/>
      <c r="AI292" s="220"/>
      <c r="AJ292" s="50"/>
      <c r="AK292" s="257"/>
      <c r="AL292" s="257"/>
      <c r="AM292" s="52"/>
      <c r="AN292" s="88"/>
    </row>
    <row r="293" spans="1:40" s="29" customFormat="1" ht="17.25" customHeight="1">
      <c r="A293" s="48"/>
      <c r="B293" s="49"/>
      <c r="C293" s="220"/>
      <c r="D293" s="220"/>
      <c r="E293" s="220"/>
      <c r="F293" s="220"/>
      <c r="G293" s="220"/>
      <c r="H293" s="220"/>
      <c r="I293" s="220"/>
      <c r="J293" s="220"/>
      <c r="K293" s="220"/>
      <c r="L293" s="220"/>
      <c r="M293" s="220"/>
      <c r="N293" s="220"/>
      <c r="O293" s="220"/>
      <c r="P293" s="220"/>
      <c r="Q293" s="220"/>
      <c r="R293" s="220"/>
      <c r="S293" s="220"/>
      <c r="T293" s="220"/>
      <c r="U293" s="220"/>
      <c r="V293" s="220"/>
      <c r="W293" s="220"/>
      <c r="X293" s="220"/>
      <c r="Y293" s="220"/>
      <c r="Z293" s="220"/>
      <c r="AA293" s="220"/>
      <c r="AB293" s="220"/>
      <c r="AC293" s="220"/>
      <c r="AD293" s="220"/>
      <c r="AE293" s="220"/>
      <c r="AF293" s="220"/>
      <c r="AG293" s="220"/>
      <c r="AH293" s="220"/>
      <c r="AI293" s="220"/>
      <c r="AJ293" s="50"/>
      <c r="AK293" s="257"/>
      <c r="AL293" s="257"/>
      <c r="AM293" s="52"/>
      <c r="AN293" s="88"/>
    </row>
    <row r="294" spans="1:40" s="29" customFormat="1" ht="17.25" customHeight="1">
      <c r="A294" s="48"/>
      <c r="B294" s="49"/>
      <c r="C294" s="220"/>
      <c r="D294" s="220"/>
      <c r="E294" s="220"/>
      <c r="F294" s="220"/>
      <c r="G294" s="220"/>
      <c r="H294" s="220"/>
      <c r="I294" s="220"/>
      <c r="J294" s="220"/>
      <c r="K294" s="220"/>
      <c r="L294" s="220"/>
      <c r="M294" s="220"/>
      <c r="N294" s="220"/>
      <c r="O294" s="220"/>
      <c r="P294" s="220"/>
      <c r="Q294" s="220"/>
      <c r="R294" s="220"/>
      <c r="S294" s="220"/>
      <c r="T294" s="220"/>
      <c r="U294" s="220"/>
      <c r="V294" s="220"/>
      <c r="W294" s="220"/>
      <c r="X294" s="220"/>
      <c r="Y294" s="220"/>
      <c r="Z294" s="220"/>
      <c r="AA294" s="220"/>
      <c r="AB294" s="220"/>
      <c r="AC294" s="220"/>
      <c r="AD294" s="220"/>
      <c r="AE294" s="220"/>
      <c r="AF294" s="220"/>
      <c r="AG294" s="220"/>
      <c r="AH294" s="220"/>
      <c r="AI294" s="220"/>
      <c r="AJ294" s="50"/>
      <c r="AK294" s="257"/>
      <c r="AL294" s="257"/>
      <c r="AM294" s="52"/>
      <c r="AN294" s="88"/>
    </row>
    <row r="295" spans="1:40" s="29" customFormat="1" ht="17.25" customHeight="1">
      <c r="A295" s="48"/>
      <c r="B295" s="49"/>
      <c r="C295" s="220"/>
      <c r="D295" s="220"/>
      <c r="E295" s="220"/>
      <c r="F295" s="220"/>
      <c r="G295" s="220"/>
      <c r="H295" s="220"/>
      <c r="I295" s="220"/>
      <c r="J295" s="220"/>
      <c r="K295" s="220"/>
      <c r="L295" s="220"/>
      <c r="M295" s="220"/>
      <c r="N295" s="220"/>
      <c r="O295" s="220"/>
      <c r="P295" s="220"/>
      <c r="Q295" s="220"/>
      <c r="R295" s="220"/>
      <c r="S295" s="220"/>
      <c r="T295" s="220"/>
      <c r="U295" s="220"/>
      <c r="V295" s="220"/>
      <c r="W295" s="220"/>
      <c r="X295" s="220"/>
      <c r="Y295" s="220"/>
      <c r="Z295" s="220"/>
      <c r="AA295" s="220"/>
      <c r="AB295" s="220"/>
      <c r="AC295" s="220"/>
      <c r="AD295" s="220"/>
      <c r="AE295" s="220"/>
      <c r="AF295" s="220"/>
      <c r="AG295" s="220"/>
      <c r="AH295" s="220"/>
      <c r="AI295" s="220"/>
      <c r="AJ295" s="50"/>
      <c r="AK295" s="257"/>
      <c r="AL295" s="257"/>
      <c r="AM295" s="52"/>
      <c r="AN295" s="88"/>
    </row>
    <row r="296" spans="1:40" s="29" customFormat="1" ht="17.25" customHeight="1">
      <c r="A296" s="48"/>
      <c r="B296" s="49"/>
      <c r="C296" s="220"/>
      <c r="D296" s="220"/>
      <c r="E296" s="220"/>
      <c r="F296" s="220"/>
      <c r="G296" s="220"/>
      <c r="H296" s="220"/>
      <c r="I296" s="220"/>
      <c r="J296" s="220"/>
      <c r="K296" s="220"/>
      <c r="L296" s="220"/>
      <c r="M296" s="220"/>
      <c r="N296" s="220"/>
      <c r="O296" s="220"/>
      <c r="P296" s="220"/>
      <c r="Q296" s="220"/>
      <c r="R296" s="220"/>
      <c r="S296" s="220"/>
      <c r="T296" s="220"/>
      <c r="U296" s="220"/>
      <c r="V296" s="220"/>
      <c r="W296" s="220"/>
      <c r="X296" s="220"/>
      <c r="Y296" s="220"/>
      <c r="Z296" s="220"/>
      <c r="AA296" s="220"/>
      <c r="AB296" s="220"/>
      <c r="AC296" s="220"/>
      <c r="AD296" s="220"/>
      <c r="AE296" s="220"/>
      <c r="AF296" s="220"/>
      <c r="AG296" s="220"/>
      <c r="AH296" s="220"/>
      <c r="AI296" s="220"/>
      <c r="AJ296" s="50"/>
      <c r="AK296" s="257"/>
      <c r="AL296" s="257"/>
      <c r="AM296" s="52"/>
      <c r="AN296" s="88"/>
    </row>
    <row r="297" spans="1:40" s="29" customFormat="1" ht="17.25" customHeight="1">
      <c r="A297" s="48"/>
      <c r="B297" s="49"/>
      <c r="C297" s="220"/>
      <c r="D297" s="220"/>
      <c r="E297" s="220"/>
      <c r="F297" s="220"/>
      <c r="G297" s="220"/>
      <c r="H297" s="220"/>
      <c r="I297" s="220"/>
      <c r="J297" s="220"/>
      <c r="K297" s="220"/>
      <c r="L297" s="220"/>
      <c r="M297" s="220"/>
      <c r="N297" s="220"/>
      <c r="O297" s="220"/>
      <c r="P297" s="220"/>
      <c r="Q297" s="220"/>
      <c r="R297" s="220"/>
      <c r="S297" s="220"/>
      <c r="T297" s="220"/>
      <c r="U297" s="220"/>
      <c r="V297" s="220"/>
      <c r="W297" s="220"/>
      <c r="X297" s="220"/>
      <c r="Y297" s="220"/>
      <c r="Z297" s="220"/>
      <c r="AA297" s="220"/>
      <c r="AB297" s="220"/>
      <c r="AC297" s="220"/>
      <c r="AD297" s="220"/>
      <c r="AE297" s="220"/>
      <c r="AF297" s="220"/>
      <c r="AG297" s="220"/>
      <c r="AH297" s="220"/>
      <c r="AI297" s="220"/>
      <c r="AJ297" s="50"/>
      <c r="AK297" s="257"/>
      <c r="AL297" s="257"/>
      <c r="AM297" s="52"/>
      <c r="AN297" s="88"/>
    </row>
    <row r="298" spans="1:40" s="29" customFormat="1" ht="17.25" customHeight="1">
      <c r="A298" s="48"/>
      <c r="B298" s="49"/>
      <c r="C298" s="220"/>
      <c r="D298" s="220"/>
      <c r="E298" s="220"/>
      <c r="F298" s="220"/>
      <c r="G298" s="220"/>
      <c r="H298" s="220"/>
      <c r="I298" s="220"/>
      <c r="J298" s="220"/>
      <c r="K298" s="220"/>
      <c r="L298" s="220"/>
      <c r="M298" s="220"/>
      <c r="N298" s="220"/>
      <c r="O298" s="220"/>
      <c r="P298" s="220"/>
      <c r="Q298" s="220"/>
      <c r="R298" s="220"/>
      <c r="S298" s="220"/>
      <c r="T298" s="220"/>
      <c r="U298" s="220"/>
      <c r="V298" s="220"/>
      <c r="W298" s="220"/>
      <c r="X298" s="220"/>
      <c r="Y298" s="220"/>
      <c r="Z298" s="220"/>
      <c r="AA298" s="220"/>
      <c r="AB298" s="220"/>
      <c r="AC298" s="220"/>
      <c r="AD298" s="220"/>
      <c r="AE298" s="220"/>
      <c r="AF298" s="220"/>
      <c r="AG298" s="220"/>
      <c r="AH298" s="220"/>
      <c r="AI298" s="220"/>
      <c r="AJ298" s="50"/>
      <c r="AK298" s="257"/>
      <c r="AL298" s="257"/>
      <c r="AM298" s="52"/>
      <c r="AN298" s="88"/>
    </row>
    <row r="299" spans="1:40" s="29" customFormat="1" ht="17.25" customHeight="1">
      <c r="A299" s="48"/>
      <c r="B299" s="49"/>
      <c r="C299" s="220"/>
      <c r="D299" s="220"/>
      <c r="E299" s="220"/>
      <c r="F299" s="220"/>
      <c r="G299" s="220"/>
      <c r="H299" s="220"/>
      <c r="I299" s="220"/>
      <c r="J299" s="220"/>
      <c r="K299" s="220"/>
      <c r="L299" s="220"/>
      <c r="M299" s="220"/>
      <c r="N299" s="220"/>
      <c r="O299" s="220"/>
      <c r="P299" s="220"/>
      <c r="Q299" s="220"/>
      <c r="R299" s="220"/>
      <c r="S299" s="220"/>
      <c r="T299" s="220"/>
      <c r="U299" s="220"/>
      <c r="V299" s="220"/>
      <c r="W299" s="220"/>
      <c r="X299" s="220"/>
      <c r="Y299" s="220"/>
      <c r="Z299" s="220"/>
      <c r="AA299" s="220"/>
      <c r="AB299" s="220"/>
      <c r="AC299" s="220"/>
      <c r="AD299" s="220"/>
      <c r="AE299" s="220"/>
      <c r="AF299" s="220"/>
      <c r="AG299" s="220"/>
      <c r="AH299" s="220"/>
      <c r="AI299" s="220"/>
      <c r="AJ299" s="50"/>
      <c r="AK299" s="257"/>
      <c r="AL299" s="257"/>
      <c r="AM299" s="52"/>
      <c r="AN299" s="88"/>
    </row>
    <row r="300" spans="1:40" s="29" customFormat="1" ht="17.25" customHeight="1">
      <c r="A300" s="48"/>
      <c r="B300" s="49"/>
      <c r="C300" s="220"/>
      <c r="D300" s="220"/>
      <c r="E300" s="220"/>
      <c r="F300" s="220"/>
      <c r="G300" s="220"/>
      <c r="H300" s="220"/>
      <c r="I300" s="220"/>
      <c r="J300" s="220"/>
      <c r="K300" s="220"/>
      <c r="L300" s="220"/>
      <c r="M300" s="220"/>
      <c r="N300" s="220"/>
      <c r="O300" s="220"/>
      <c r="P300" s="220"/>
      <c r="Q300" s="220"/>
      <c r="R300" s="220"/>
      <c r="S300" s="220"/>
      <c r="T300" s="220"/>
      <c r="U300" s="220"/>
      <c r="V300" s="220"/>
      <c r="W300" s="220"/>
      <c r="X300" s="220"/>
      <c r="Y300" s="220"/>
      <c r="Z300" s="220"/>
      <c r="AA300" s="220"/>
      <c r="AB300" s="220"/>
      <c r="AC300" s="220"/>
      <c r="AD300" s="220"/>
      <c r="AE300" s="220"/>
      <c r="AF300" s="220"/>
      <c r="AG300" s="220"/>
      <c r="AH300" s="220"/>
      <c r="AI300" s="220"/>
      <c r="AJ300" s="50"/>
      <c r="AK300" s="257"/>
      <c r="AL300" s="257"/>
      <c r="AM300" s="52"/>
      <c r="AN300" s="88"/>
    </row>
    <row r="301" spans="1:40" s="29" customFormat="1" ht="17.25" customHeight="1">
      <c r="A301" s="48"/>
      <c r="B301" s="49"/>
      <c r="C301" s="220"/>
      <c r="D301" s="220"/>
      <c r="E301" s="220"/>
      <c r="F301" s="220"/>
      <c r="G301" s="220"/>
      <c r="H301" s="220"/>
      <c r="I301" s="220"/>
      <c r="J301" s="220"/>
      <c r="K301" s="220"/>
      <c r="L301" s="220"/>
      <c r="M301" s="220"/>
      <c r="N301" s="220"/>
      <c r="O301" s="220"/>
      <c r="P301" s="220"/>
      <c r="Q301" s="220"/>
      <c r="R301" s="220"/>
      <c r="S301" s="220"/>
      <c r="T301" s="220"/>
      <c r="U301" s="220"/>
      <c r="V301" s="220"/>
      <c r="W301" s="220"/>
      <c r="X301" s="220"/>
      <c r="Y301" s="220"/>
      <c r="Z301" s="220"/>
      <c r="AA301" s="220"/>
      <c r="AB301" s="220"/>
      <c r="AC301" s="220"/>
      <c r="AD301" s="220"/>
      <c r="AE301" s="220"/>
      <c r="AF301" s="220"/>
      <c r="AG301" s="220"/>
      <c r="AH301" s="220"/>
      <c r="AI301" s="220"/>
      <c r="AJ301" s="50"/>
      <c r="AK301" s="257"/>
      <c r="AL301" s="257"/>
      <c r="AM301" s="52"/>
      <c r="AN301" s="88"/>
    </row>
    <row r="302" spans="1:40" s="29" customFormat="1" ht="17.25" customHeight="1">
      <c r="A302" s="48"/>
      <c r="B302" s="49"/>
      <c r="C302" s="220"/>
      <c r="D302" s="220"/>
      <c r="E302" s="220"/>
      <c r="F302" s="220"/>
      <c r="G302" s="220"/>
      <c r="H302" s="220"/>
      <c r="I302" s="220"/>
      <c r="J302" s="220"/>
      <c r="K302" s="220"/>
      <c r="L302" s="220"/>
      <c r="M302" s="220"/>
      <c r="N302" s="220"/>
      <c r="O302" s="220"/>
      <c r="P302" s="220"/>
      <c r="Q302" s="220"/>
      <c r="R302" s="220"/>
      <c r="S302" s="220"/>
      <c r="T302" s="220"/>
      <c r="U302" s="220"/>
      <c r="V302" s="220"/>
      <c r="W302" s="220"/>
      <c r="X302" s="220"/>
      <c r="Y302" s="220"/>
      <c r="Z302" s="220"/>
      <c r="AA302" s="220"/>
      <c r="AB302" s="220"/>
      <c r="AC302" s="220"/>
      <c r="AD302" s="220"/>
      <c r="AE302" s="220"/>
      <c r="AF302" s="220"/>
      <c r="AG302" s="220"/>
      <c r="AH302" s="220"/>
      <c r="AI302" s="220"/>
      <c r="AJ302" s="50"/>
      <c r="AK302" s="257"/>
      <c r="AL302" s="257"/>
      <c r="AM302" s="52"/>
      <c r="AN302" s="88"/>
    </row>
    <row r="303" spans="1:40" s="29" customFormat="1" ht="17.25" customHeight="1">
      <c r="A303" s="48"/>
      <c r="B303" s="49"/>
      <c r="C303" s="220"/>
      <c r="D303" s="220"/>
      <c r="E303" s="220"/>
      <c r="F303" s="220"/>
      <c r="G303" s="220"/>
      <c r="H303" s="220"/>
      <c r="I303" s="220"/>
      <c r="J303" s="220"/>
      <c r="K303" s="220"/>
      <c r="L303" s="220"/>
      <c r="M303" s="220"/>
      <c r="N303" s="220"/>
      <c r="O303" s="220"/>
      <c r="P303" s="220"/>
      <c r="Q303" s="220"/>
      <c r="R303" s="220"/>
      <c r="S303" s="220"/>
      <c r="T303" s="220"/>
      <c r="U303" s="220"/>
      <c r="V303" s="220"/>
      <c r="W303" s="220"/>
      <c r="X303" s="220"/>
      <c r="Y303" s="220"/>
      <c r="Z303" s="220"/>
      <c r="AA303" s="220"/>
      <c r="AB303" s="220"/>
      <c r="AC303" s="220"/>
      <c r="AD303" s="220"/>
      <c r="AE303" s="220"/>
      <c r="AF303" s="220"/>
      <c r="AG303" s="220"/>
      <c r="AH303" s="220"/>
      <c r="AI303" s="220"/>
      <c r="AJ303" s="50"/>
      <c r="AK303" s="257"/>
      <c r="AL303" s="257"/>
      <c r="AM303" s="52"/>
      <c r="AN303" s="88"/>
    </row>
    <row r="304" spans="1:40" s="29" customFormat="1" ht="17.25" customHeight="1">
      <c r="A304" s="48"/>
      <c r="B304" s="49"/>
      <c r="C304" s="220"/>
      <c r="D304" s="220"/>
      <c r="E304" s="220"/>
      <c r="F304" s="220"/>
      <c r="G304" s="220"/>
      <c r="H304" s="220"/>
      <c r="I304" s="220"/>
      <c r="J304" s="220"/>
      <c r="K304" s="220"/>
      <c r="L304" s="220"/>
      <c r="M304" s="220"/>
      <c r="N304" s="220"/>
      <c r="O304" s="220"/>
      <c r="P304" s="220"/>
      <c r="Q304" s="220"/>
      <c r="R304" s="220"/>
      <c r="S304" s="220"/>
      <c r="T304" s="220"/>
      <c r="U304" s="220"/>
      <c r="V304" s="220"/>
      <c r="W304" s="220"/>
      <c r="X304" s="220"/>
      <c r="Y304" s="220"/>
      <c r="Z304" s="220"/>
      <c r="AA304" s="220"/>
      <c r="AB304" s="220"/>
      <c r="AC304" s="220"/>
      <c r="AD304" s="220"/>
      <c r="AE304" s="220"/>
      <c r="AF304" s="220"/>
      <c r="AG304" s="220"/>
      <c r="AH304" s="220"/>
      <c r="AI304" s="220"/>
      <c r="AJ304" s="50"/>
      <c r="AK304" s="257"/>
      <c r="AL304" s="257"/>
      <c r="AM304" s="52"/>
      <c r="AN304" s="88"/>
    </row>
    <row r="305" spans="1:40" s="29" customFormat="1" ht="17.25" customHeight="1">
      <c r="A305" s="48"/>
      <c r="B305" s="49"/>
      <c r="C305" s="220"/>
      <c r="D305" s="220"/>
      <c r="E305" s="220"/>
      <c r="F305" s="220"/>
      <c r="G305" s="220"/>
      <c r="H305" s="220"/>
      <c r="I305" s="220"/>
      <c r="J305" s="220"/>
      <c r="K305" s="220"/>
      <c r="L305" s="220"/>
      <c r="M305" s="220"/>
      <c r="N305" s="220"/>
      <c r="O305" s="220"/>
      <c r="P305" s="220"/>
      <c r="Q305" s="220"/>
      <c r="R305" s="220"/>
      <c r="S305" s="220"/>
      <c r="T305" s="220"/>
      <c r="U305" s="220"/>
      <c r="V305" s="220"/>
      <c r="W305" s="220"/>
      <c r="X305" s="220"/>
      <c r="Y305" s="220"/>
      <c r="Z305" s="220"/>
      <c r="AA305" s="220"/>
      <c r="AB305" s="220"/>
      <c r="AC305" s="220"/>
      <c r="AD305" s="220"/>
      <c r="AE305" s="220"/>
      <c r="AF305" s="220"/>
      <c r="AG305" s="220"/>
      <c r="AH305" s="220"/>
      <c r="AI305" s="220"/>
      <c r="AJ305" s="50"/>
      <c r="AK305" s="257"/>
      <c r="AL305" s="257"/>
      <c r="AM305" s="52"/>
      <c r="AN305" s="88"/>
    </row>
    <row r="306" spans="1:40" s="29" customFormat="1" ht="17.25" customHeight="1">
      <c r="A306" s="48"/>
      <c r="B306" s="49"/>
      <c r="C306" s="220"/>
      <c r="D306" s="220"/>
      <c r="E306" s="220"/>
      <c r="F306" s="220"/>
      <c r="G306" s="220"/>
      <c r="H306" s="220"/>
      <c r="I306" s="220"/>
      <c r="J306" s="220"/>
      <c r="K306" s="220"/>
      <c r="L306" s="220"/>
      <c r="M306" s="220"/>
      <c r="N306" s="220"/>
      <c r="O306" s="220"/>
      <c r="P306" s="220"/>
      <c r="Q306" s="220"/>
      <c r="R306" s="220"/>
      <c r="S306" s="220"/>
      <c r="T306" s="220"/>
      <c r="U306" s="220"/>
      <c r="V306" s="220"/>
      <c r="W306" s="220"/>
      <c r="X306" s="220"/>
      <c r="Y306" s="220"/>
      <c r="Z306" s="220"/>
      <c r="AA306" s="220"/>
      <c r="AB306" s="220"/>
      <c r="AC306" s="220"/>
      <c r="AD306" s="220"/>
      <c r="AE306" s="220"/>
      <c r="AF306" s="220"/>
      <c r="AG306" s="220"/>
      <c r="AH306" s="220"/>
      <c r="AI306" s="220"/>
      <c r="AJ306" s="50"/>
      <c r="AK306" s="257"/>
      <c r="AL306" s="257"/>
      <c r="AM306" s="52"/>
      <c r="AN306" s="88"/>
    </row>
    <row r="307" spans="1:40" s="29" customFormat="1" ht="17.25" customHeight="1">
      <c r="A307" s="48"/>
      <c r="B307" s="49"/>
      <c r="C307" s="220"/>
      <c r="D307" s="220"/>
      <c r="E307" s="220"/>
      <c r="F307" s="220"/>
      <c r="G307" s="220"/>
      <c r="H307" s="220"/>
      <c r="I307" s="220"/>
      <c r="J307" s="220"/>
      <c r="K307" s="220"/>
      <c r="L307" s="220"/>
      <c r="M307" s="220"/>
      <c r="N307" s="220"/>
      <c r="O307" s="220"/>
      <c r="P307" s="220"/>
      <c r="Q307" s="220"/>
      <c r="R307" s="220"/>
      <c r="S307" s="220"/>
      <c r="T307" s="220"/>
      <c r="U307" s="220"/>
      <c r="V307" s="220"/>
      <c r="W307" s="220"/>
      <c r="X307" s="220"/>
      <c r="Y307" s="220"/>
      <c r="Z307" s="220"/>
      <c r="AA307" s="220"/>
      <c r="AB307" s="220"/>
      <c r="AC307" s="220"/>
      <c r="AD307" s="220"/>
      <c r="AE307" s="220"/>
      <c r="AF307" s="220"/>
      <c r="AG307" s="220"/>
      <c r="AH307" s="220"/>
      <c r="AI307" s="220"/>
      <c r="AJ307" s="50"/>
      <c r="AK307" s="257"/>
      <c r="AL307" s="257"/>
      <c r="AM307" s="52"/>
      <c r="AN307" s="88"/>
    </row>
    <row r="308" spans="1:40" s="29" customFormat="1" ht="17.25" customHeight="1">
      <c r="A308" s="48"/>
      <c r="B308" s="49"/>
      <c r="C308" s="220"/>
      <c r="D308" s="220"/>
      <c r="E308" s="220"/>
      <c r="F308" s="220"/>
      <c r="G308" s="220"/>
      <c r="H308" s="220"/>
      <c r="I308" s="220"/>
      <c r="J308" s="220"/>
      <c r="K308" s="220"/>
      <c r="L308" s="220"/>
      <c r="M308" s="220"/>
      <c r="N308" s="220"/>
      <c r="O308" s="220"/>
      <c r="P308" s="220"/>
      <c r="Q308" s="220"/>
      <c r="R308" s="220"/>
      <c r="S308" s="220"/>
      <c r="T308" s="220"/>
      <c r="U308" s="220"/>
      <c r="V308" s="220"/>
      <c r="W308" s="220"/>
      <c r="X308" s="220"/>
      <c r="Y308" s="220"/>
      <c r="Z308" s="220"/>
      <c r="AA308" s="220"/>
      <c r="AB308" s="220"/>
      <c r="AC308" s="220"/>
      <c r="AD308" s="220"/>
      <c r="AE308" s="220"/>
      <c r="AF308" s="220"/>
      <c r="AG308" s="220"/>
      <c r="AH308" s="220"/>
      <c r="AI308" s="220"/>
      <c r="AJ308" s="50"/>
      <c r="AK308" s="257"/>
      <c r="AL308" s="257"/>
      <c r="AM308" s="52"/>
      <c r="AN308" s="88"/>
    </row>
    <row r="309" spans="1:40" s="29" customFormat="1" ht="17.25" customHeight="1">
      <c r="A309" s="48"/>
      <c r="B309" s="49"/>
      <c r="C309" s="220"/>
      <c r="D309" s="220"/>
      <c r="E309" s="220"/>
      <c r="F309" s="220"/>
      <c r="G309" s="220"/>
      <c r="H309" s="220"/>
      <c r="I309" s="220"/>
      <c r="J309" s="220"/>
      <c r="K309" s="220"/>
      <c r="L309" s="220"/>
      <c r="M309" s="220"/>
      <c r="N309" s="220"/>
      <c r="O309" s="220"/>
      <c r="P309" s="220"/>
      <c r="Q309" s="220"/>
      <c r="R309" s="220"/>
      <c r="S309" s="220"/>
      <c r="T309" s="220"/>
      <c r="U309" s="220"/>
      <c r="V309" s="220"/>
      <c r="W309" s="220"/>
      <c r="X309" s="220"/>
      <c r="Y309" s="220"/>
      <c r="Z309" s="220"/>
      <c r="AA309" s="220"/>
      <c r="AB309" s="220"/>
      <c r="AC309" s="220"/>
      <c r="AD309" s="220"/>
      <c r="AE309" s="220"/>
      <c r="AF309" s="220"/>
      <c r="AG309" s="220"/>
      <c r="AH309" s="220"/>
      <c r="AI309" s="220"/>
      <c r="AJ309" s="50"/>
      <c r="AK309" s="257"/>
      <c r="AL309" s="257"/>
      <c r="AM309" s="52"/>
      <c r="AN309" s="88"/>
    </row>
    <row r="310" spans="1:40" s="29" customFormat="1" ht="17.25" customHeight="1">
      <c r="A310" s="48"/>
      <c r="B310" s="49"/>
      <c r="C310" s="220"/>
      <c r="D310" s="220"/>
      <c r="E310" s="220"/>
      <c r="F310" s="220"/>
      <c r="G310" s="220"/>
      <c r="H310" s="220"/>
      <c r="I310" s="220"/>
      <c r="J310" s="220"/>
      <c r="K310" s="220"/>
      <c r="L310" s="220"/>
      <c r="M310" s="220"/>
      <c r="N310" s="220"/>
      <c r="O310" s="220"/>
      <c r="P310" s="220"/>
      <c r="Q310" s="220"/>
      <c r="R310" s="220"/>
      <c r="S310" s="220"/>
      <c r="T310" s="220"/>
      <c r="U310" s="220"/>
      <c r="V310" s="220"/>
      <c r="W310" s="220"/>
      <c r="X310" s="220"/>
      <c r="Y310" s="220"/>
      <c r="Z310" s="220"/>
      <c r="AA310" s="220"/>
      <c r="AB310" s="220"/>
      <c r="AC310" s="220"/>
      <c r="AD310" s="220"/>
      <c r="AE310" s="220"/>
      <c r="AF310" s="220"/>
      <c r="AG310" s="220"/>
      <c r="AH310" s="220"/>
      <c r="AI310" s="220"/>
      <c r="AJ310" s="50"/>
      <c r="AK310" s="257"/>
      <c r="AL310" s="257"/>
      <c r="AM310" s="52"/>
      <c r="AN310" s="88"/>
    </row>
    <row r="311" spans="1:40" s="29" customFormat="1" ht="17.25" customHeight="1">
      <c r="A311" s="48"/>
      <c r="B311" s="49"/>
      <c r="C311" s="220"/>
      <c r="D311" s="220"/>
      <c r="E311" s="220"/>
      <c r="F311" s="220"/>
      <c r="G311" s="220"/>
      <c r="H311" s="220"/>
      <c r="I311" s="220"/>
      <c r="J311" s="220"/>
      <c r="K311" s="220"/>
      <c r="L311" s="220"/>
      <c r="M311" s="220"/>
      <c r="N311" s="220"/>
      <c r="O311" s="220"/>
      <c r="P311" s="220"/>
      <c r="Q311" s="220"/>
      <c r="R311" s="220"/>
      <c r="S311" s="220"/>
      <c r="T311" s="220"/>
      <c r="U311" s="220"/>
      <c r="V311" s="220"/>
      <c r="W311" s="220"/>
      <c r="X311" s="220"/>
      <c r="Y311" s="220"/>
      <c r="Z311" s="220"/>
      <c r="AA311" s="220"/>
      <c r="AB311" s="220"/>
      <c r="AC311" s="220"/>
      <c r="AD311" s="220"/>
      <c r="AE311" s="220"/>
      <c r="AF311" s="220"/>
      <c r="AG311" s="220"/>
      <c r="AH311" s="220"/>
      <c r="AI311" s="220"/>
      <c r="AJ311" s="50"/>
      <c r="AK311" s="257"/>
      <c r="AL311" s="257"/>
      <c r="AM311" s="52"/>
      <c r="AN311" s="88"/>
    </row>
    <row r="312" spans="1:40" s="29" customFormat="1" ht="17.25" customHeight="1">
      <c r="A312" s="48"/>
      <c r="B312" s="49"/>
      <c r="C312" s="220"/>
      <c r="D312" s="220"/>
      <c r="E312" s="220"/>
      <c r="F312" s="220"/>
      <c r="G312" s="220"/>
      <c r="H312" s="220"/>
      <c r="I312" s="220"/>
      <c r="J312" s="220"/>
      <c r="K312" s="220"/>
      <c r="L312" s="220"/>
      <c r="M312" s="220"/>
      <c r="N312" s="220"/>
      <c r="O312" s="220"/>
      <c r="P312" s="220"/>
      <c r="Q312" s="220"/>
      <c r="R312" s="220"/>
      <c r="S312" s="220"/>
      <c r="T312" s="220"/>
      <c r="U312" s="220"/>
      <c r="V312" s="220"/>
      <c r="W312" s="220"/>
      <c r="X312" s="220"/>
      <c r="Y312" s="220"/>
      <c r="Z312" s="220"/>
      <c r="AA312" s="220"/>
      <c r="AB312" s="220"/>
      <c r="AC312" s="220"/>
      <c r="AD312" s="220"/>
      <c r="AE312" s="220"/>
      <c r="AF312" s="220"/>
      <c r="AG312" s="220"/>
      <c r="AH312" s="220"/>
      <c r="AI312" s="220"/>
      <c r="AJ312" s="50"/>
      <c r="AK312" s="257"/>
      <c r="AL312" s="257"/>
      <c r="AM312" s="52"/>
      <c r="AN312" s="88"/>
    </row>
    <row r="313" spans="1:40" s="29" customFormat="1" ht="17.25" customHeight="1">
      <c r="A313" s="48"/>
      <c r="B313" s="49"/>
      <c r="C313" s="220"/>
      <c r="D313" s="220"/>
      <c r="E313" s="220"/>
      <c r="F313" s="220"/>
      <c r="G313" s="220"/>
      <c r="H313" s="220"/>
      <c r="I313" s="220"/>
      <c r="J313" s="220"/>
      <c r="K313" s="220"/>
      <c r="L313" s="220"/>
      <c r="M313" s="220"/>
      <c r="N313" s="220"/>
      <c r="O313" s="220"/>
      <c r="P313" s="220"/>
      <c r="Q313" s="220"/>
      <c r="R313" s="220"/>
      <c r="S313" s="220"/>
      <c r="T313" s="220"/>
      <c r="U313" s="220"/>
      <c r="V313" s="220"/>
      <c r="W313" s="220"/>
      <c r="X313" s="220"/>
      <c r="Y313" s="220"/>
      <c r="Z313" s="220"/>
      <c r="AA313" s="220"/>
      <c r="AB313" s="220"/>
      <c r="AC313" s="220"/>
      <c r="AD313" s="220"/>
      <c r="AE313" s="220"/>
      <c r="AF313" s="220"/>
      <c r="AG313" s="220"/>
      <c r="AH313" s="220"/>
      <c r="AI313" s="220"/>
      <c r="AJ313" s="50"/>
      <c r="AK313" s="257"/>
      <c r="AL313" s="257"/>
      <c r="AM313" s="52"/>
      <c r="AN313" s="88"/>
    </row>
    <row r="314" spans="1:40" s="29" customFormat="1" ht="17.25" customHeight="1">
      <c r="A314" s="48"/>
      <c r="B314" s="49"/>
      <c r="C314" s="220"/>
      <c r="D314" s="220"/>
      <c r="E314" s="220"/>
      <c r="F314" s="220"/>
      <c r="G314" s="220"/>
      <c r="H314" s="220"/>
      <c r="I314" s="220"/>
      <c r="J314" s="220"/>
      <c r="K314" s="220"/>
      <c r="L314" s="220"/>
      <c r="M314" s="220"/>
      <c r="N314" s="220"/>
      <c r="O314" s="220"/>
      <c r="P314" s="220"/>
      <c r="Q314" s="220"/>
      <c r="R314" s="220"/>
      <c r="S314" s="220"/>
      <c r="T314" s="220"/>
      <c r="U314" s="220"/>
      <c r="V314" s="220"/>
      <c r="W314" s="220"/>
      <c r="X314" s="220"/>
      <c r="Y314" s="220"/>
      <c r="Z314" s="220"/>
      <c r="AA314" s="220"/>
      <c r="AB314" s="220"/>
      <c r="AC314" s="220"/>
      <c r="AD314" s="220"/>
      <c r="AE314" s="220"/>
      <c r="AF314" s="220"/>
      <c r="AG314" s="220"/>
      <c r="AH314" s="220"/>
      <c r="AI314" s="220"/>
      <c r="AJ314" s="50"/>
      <c r="AK314" s="257"/>
      <c r="AL314" s="257"/>
      <c r="AM314" s="52"/>
      <c r="AN314" s="88"/>
    </row>
    <row r="315" spans="1:40" s="29" customFormat="1" ht="17.25" customHeight="1">
      <c r="A315" s="48"/>
      <c r="B315" s="49"/>
      <c r="C315" s="220"/>
      <c r="D315" s="220"/>
      <c r="E315" s="220"/>
      <c r="F315" s="220"/>
      <c r="G315" s="220"/>
      <c r="H315" s="220"/>
      <c r="I315" s="220"/>
      <c r="J315" s="220"/>
      <c r="K315" s="220"/>
      <c r="L315" s="220"/>
      <c r="M315" s="220"/>
      <c r="N315" s="220"/>
      <c r="O315" s="220"/>
      <c r="P315" s="220"/>
      <c r="Q315" s="220"/>
      <c r="R315" s="220"/>
      <c r="S315" s="220"/>
      <c r="T315" s="220"/>
      <c r="U315" s="220"/>
      <c r="V315" s="220"/>
      <c r="W315" s="220"/>
      <c r="X315" s="220"/>
      <c r="Y315" s="220"/>
      <c r="Z315" s="220"/>
      <c r="AA315" s="220"/>
      <c r="AB315" s="220"/>
      <c r="AC315" s="220"/>
      <c r="AD315" s="220"/>
      <c r="AE315" s="220"/>
      <c r="AF315" s="220"/>
      <c r="AG315" s="220"/>
      <c r="AH315" s="220"/>
      <c r="AI315" s="220"/>
      <c r="AJ315" s="50"/>
      <c r="AK315" s="257"/>
      <c r="AL315" s="257"/>
      <c r="AM315" s="52"/>
      <c r="AN315" s="88"/>
    </row>
    <row r="316" spans="1:40" s="29" customFormat="1" ht="17.25" customHeight="1">
      <c r="A316" s="48"/>
      <c r="B316" s="49"/>
      <c r="C316" s="220"/>
      <c r="D316" s="220"/>
      <c r="E316" s="220"/>
      <c r="F316" s="220"/>
      <c r="G316" s="220"/>
      <c r="H316" s="220"/>
      <c r="I316" s="220"/>
      <c r="J316" s="220"/>
      <c r="K316" s="220"/>
      <c r="L316" s="220"/>
      <c r="M316" s="220"/>
      <c r="N316" s="220"/>
      <c r="O316" s="220"/>
      <c r="P316" s="220"/>
      <c r="Q316" s="220"/>
      <c r="R316" s="220"/>
      <c r="S316" s="220"/>
      <c r="T316" s="220"/>
      <c r="U316" s="220"/>
      <c r="V316" s="220"/>
      <c r="W316" s="220"/>
      <c r="X316" s="220"/>
      <c r="Y316" s="220"/>
      <c r="Z316" s="220"/>
      <c r="AA316" s="220"/>
      <c r="AB316" s="220"/>
      <c r="AC316" s="220"/>
      <c r="AD316" s="220"/>
      <c r="AE316" s="220"/>
      <c r="AF316" s="220"/>
      <c r="AG316" s="220"/>
      <c r="AH316" s="220"/>
      <c r="AI316" s="220"/>
      <c r="AJ316" s="50"/>
      <c r="AK316" s="257"/>
      <c r="AL316" s="257"/>
      <c r="AM316" s="52"/>
      <c r="AN316" s="88"/>
    </row>
    <row r="317" spans="1:40" s="29" customFormat="1" ht="17.25" customHeight="1">
      <c r="A317" s="48"/>
      <c r="B317" s="49"/>
      <c r="C317" s="220"/>
      <c r="D317" s="220"/>
      <c r="E317" s="220"/>
      <c r="F317" s="220"/>
      <c r="G317" s="220"/>
      <c r="H317" s="220"/>
      <c r="I317" s="220"/>
      <c r="J317" s="220"/>
      <c r="K317" s="220"/>
      <c r="L317" s="220"/>
      <c r="M317" s="220"/>
      <c r="N317" s="220"/>
      <c r="O317" s="220"/>
      <c r="P317" s="220"/>
      <c r="Q317" s="220"/>
      <c r="R317" s="220"/>
      <c r="S317" s="220"/>
      <c r="T317" s="220"/>
      <c r="U317" s="220"/>
      <c r="V317" s="220"/>
      <c r="W317" s="220"/>
      <c r="X317" s="220"/>
      <c r="Y317" s="220"/>
      <c r="Z317" s="220"/>
      <c r="AA317" s="220"/>
      <c r="AB317" s="220"/>
      <c r="AC317" s="220"/>
      <c r="AD317" s="220"/>
      <c r="AE317" s="220"/>
      <c r="AF317" s="220"/>
      <c r="AG317" s="220"/>
      <c r="AH317" s="220"/>
      <c r="AI317" s="220"/>
      <c r="AJ317" s="50"/>
      <c r="AK317" s="257"/>
      <c r="AL317" s="257"/>
      <c r="AM317" s="52"/>
      <c r="AN317" s="88"/>
    </row>
    <row r="318" spans="1:40" s="29" customFormat="1" ht="17.25" customHeight="1">
      <c r="A318" s="48"/>
      <c r="B318" s="49"/>
      <c r="C318" s="220"/>
      <c r="D318" s="220"/>
      <c r="E318" s="220"/>
      <c r="F318" s="220"/>
      <c r="G318" s="220"/>
      <c r="H318" s="220"/>
      <c r="I318" s="220"/>
      <c r="J318" s="220"/>
      <c r="K318" s="220"/>
      <c r="L318" s="220"/>
      <c r="M318" s="220"/>
      <c r="N318" s="220"/>
      <c r="O318" s="220"/>
      <c r="P318" s="220"/>
      <c r="Q318" s="220"/>
      <c r="R318" s="220"/>
      <c r="S318" s="220"/>
      <c r="T318" s="220"/>
      <c r="U318" s="220"/>
      <c r="V318" s="220"/>
      <c r="W318" s="220"/>
      <c r="X318" s="220"/>
      <c r="Y318" s="220"/>
      <c r="Z318" s="220"/>
      <c r="AA318" s="220"/>
      <c r="AB318" s="220"/>
      <c r="AC318" s="220"/>
      <c r="AD318" s="220"/>
      <c r="AE318" s="220"/>
      <c r="AF318" s="220"/>
      <c r="AG318" s="220"/>
      <c r="AH318" s="220"/>
      <c r="AI318" s="220"/>
      <c r="AJ318" s="50"/>
      <c r="AK318" s="257"/>
      <c r="AL318" s="257"/>
      <c r="AM318" s="52"/>
      <c r="AN318" s="88"/>
    </row>
    <row r="319" spans="1:40" s="29" customFormat="1" ht="17.25" customHeight="1">
      <c r="A319" s="48"/>
      <c r="B319" s="49"/>
      <c r="C319" s="220"/>
      <c r="D319" s="220"/>
      <c r="E319" s="220"/>
      <c r="F319" s="220"/>
      <c r="G319" s="220"/>
      <c r="H319" s="220"/>
      <c r="I319" s="220"/>
      <c r="J319" s="220"/>
      <c r="K319" s="220"/>
      <c r="L319" s="220"/>
      <c r="M319" s="220"/>
      <c r="N319" s="220"/>
      <c r="O319" s="220"/>
      <c r="P319" s="220"/>
      <c r="Q319" s="220"/>
      <c r="R319" s="220"/>
      <c r="S319" s="220"/>
      <c r="T319" s="220"/>
      <c r="U319" s="220"/>
      <c r="V319" s="220"/>
      <c r="W319" s="220"/>
      <c r="X319" s="220"/>
      <c r="Y319" s="220"/>
      <c r="Z319" s="220"/>
      <c r="AA319" s="220"/>
      <c r="AB319" s="220"/>
      <c r="AC319" s="220"/>
      <c r="AD319" s="220"/>
      <c r="AE319" s="220"/>
      <c r="AF319" s="220"/>
      <c r="AG319" s="220"/>
      <c r="AH319" s="220"/>
      <c r="AI319" s="220"/>
      <c r="AJ319" s="50"/>
      <c r="AK319" s="257"/>
      <c r="AL319" s="257"/>
      <c r="AM319" s="52"/>
      <c r="AN319" s="88"/>
    </row>
    <row r="320" spans="1:40" s="29" customFormat="1" ht="17.25" customHeight="1">
      <c r="A320" s="48"/>
      <c r="B320" s="49"/>
      <c r="C320" s="220"/>
      <c r="D320" s="220"/>
      <c r="E320" s="220"/>
      <c r="F320" s="220"/>
      <c r="G320" s="220"/>
      <c r="H320" s="220"/>
      <c r="I320" s="220"/>
      <c r="J320" s="220"/>
      <c r="K320" s="220"/>
      <c r="L320" s="220"/>
      <c r="M320" s="220"/>
      <c r="N320" s="220"/>
      <c r="O320" s="220"/>
      <c r="P320" s="220"/>
      <c r="Q320" s="220"/>
      <c r="R320" s="220"/>
      <c r="S320" s="220"/>
      <c r="T320" s="220"/>
      <c r="U320" s="220"/>
      <c r="V320" s="220"/>
      <c r="W320" s="220"/>
      <c r="X320" s="220"/>
      <c r="Y320" s="220"/>
      <c r="Z320" s="220"/>
      <c r="AA320" s="220"/>
      <c r="AB320" s="220"/>
      <c r="AC320" s="220"/>
      <c r="AD320" s="220"/>
      <c r="AE320" s="220"/>
      <c r="AF320" s="220"/>
      <c r="AG320" s="220"/>
      <c r="AH320" s="220"/>
      <c r="AI320" s="220"/>
      <c r="AJ320" s="50"/>
      <c r="AK320" s="257"/>
      <c r="AL320" s="257"/>
      <c r="AM320" s="52"/>
      <c r="AN320" s="88"/>
    </row>
    <row r="321" spans="1:40" s="29" customFormat="1" ht="17.25" customHeight="1">
      <c r="A321" s="48"/>
      <c r="B321" s="49"/>
      <c r="C321" s="220"/>
      <c r="D321" s="220"/>
      <c r="E321" s="220"/>
      <c r="F321" s="220"/>
      <c r="G321" s="220"/>
      <c r="H321" s="220"/>
      <c r="I321" s="220"/>
      <c r="J321" s="220"/>
      <c r="K321" s="220"/>
      <c r="L321" s="220"/>
      <c r="M321" s="220"/>
      <c r="N321" s="220"/>
      <c r="O321" s="220"/>
      <c r="P321" s="220"/>
      <c r="Q321" s="220"/>
      <c r="R321" s="220"/>
      <c r="S321" s="220"/>
      <c r="T321" s="220"/>
      <c r="U321" s="220"/>
      <c r="V321" s="220"/>
      <c r="W321" s="220"/>
      <c r="X321" s="220"/>
      <c r="Y321" s="220"/>
      <c r="Z321" s="220"/>
      <c r="AA321" s="220"/>
      <c r="AB321" s="220"/>
      <c r="AC321" s="220"/>
      <c r="AD321" s="220"/>
      <c r="AE321" s="220"/>
      <c r="AF321" s="220"/>
      <c r="AG321" s="220"/>
      <c r="AH321" s="220"/>
      <c r="AI321" s="220"/>
      <c r="AJ321" s="50"/>
      <c r="AK321" s="257"/>
      <c r="AL321" s="257"/>
      <c r="AM321" s="52"/>
      <c r="AN321" s="88"/>
    </row>
    <row r="322" spans="1:40" s="29" customFormat="1" ht="17.25" customHeight="1">
      <c r="A322" s="48"/>
      <c r="B322" s="49"/>
      <c r="C322" s="220"/>
      <c r="D322" s="220"/>
      <c r="E322" s="220"/>
      <c r="F322" s="220"/>
      <c r="G322" s="220"/>
      <c r="H322" s="220"/>
      <c r="I322" s="220"/>
      <c r="J322" s="220"/>
      <c r="K322" s="220"/>
      <c r="L322" s="220"/>
      <c r="M322" s="220"/>
      <c r="N322" s="220"/>
      <c r="O322" s="220"/>
      <c r="P322" s="220"/>
      <c r="Q322" s="220"/>
      <c r="R322" s="220"/>
      <c r="S322" s="220"/>
      <c r="T322" s="220"/>
      <c r="U322" s="220"/>
      <c r="V322" s="220"/>
      <c r="W322" s="220"/>
      <c r="X322" s="220"/>
      <c r="Y322" s="220"/>
      <c r="Z322" s="220"/>
      <c r="AA322" s="220"/>
      <c r="AB322" s="220"/>
      <c r="AC322" s="220"/>
      <c r="AD322" s="220"/>
      <c r="AE322" s="220"/>
      <c r="AF322" s="220"/>
      <c r="AG322" s="220"/>
      <c r="AH322" s="220"/>
      <c r="AI322" s="220"/>
      <c r="AJ322" s="50"/>
      <c r="AK322" s="257"/>
      <c r="AL322" s="257"/>
      <c r="AM322" s="52"/>
      <c r="AN322" s="88"/>
    </row>
    <row r="323" spans="1:40" s="29" customFormat="1" ht="17.25" customHeight="1">
      <c r="A323" s="48"/>
      <c r="B323" s="49"/>
      <c r="C323" s="220"/>
      <c r="D323" s="220"/>
      <c r="E323" s="220"/>
      <c r="F323" s="220"/>
      <c r="G323" s="220"/>
      <c r="H323" s="220"/>
      <c r="I323" s="220"/>
      <c r="J323" s="220"/>
      <c r="K323" s="220"/>
      <c r="L323" s="220"/>
      <c r="M323" s="220"/>
      <c r="N323" s="220"/>
      <c r="O323" s="220"/>
      <c r="P323" s="220"/>
      <c r="Q323" s="220"/>
      <c r="R323" s="220"/>
      <c r="S323" s="220"/>
      <c r="T323" s="220"/>
      <c r="U323" s="220"/>
      <c r="V323" s="220"/>
      <c r="W323" s="220"/>
      <c r="X323" s="220"/>
      <c r="Y323" s="220"/>
      <c r="Z323" s="220"/>
      <c r="AA323" s="220"/>
      <c r="AB323" s="220"/>
      <c r="AC323" s="220"/>
      <c r="AD323" s="220"/>
      <c r="AE323" s="220"/>
      <c r="AF323" s="220"/>
      <c r="AG323" s="220"/>
      <c r="AH323" s="220"/>
      <c r="AI323" s="220"/>
      <c r="AJ323" s="50"/>
      <c r="AK323" s="257"/>
      <c r="AL323" s="257"/>
      <c r="AM323" s="52"/>
      <c r="AN323" s="88"/>
    </row>
    <row r="324" spans="1:40" s="29" customFormat="1" ht="17.25" customHeight="1">
      <c r="A324" s="48"/>
      <c r="B324" s="49"/>
      <c r="C324" s="220"/>
      <c r="D324" s="220"/>
      <c r="E324" s="220"/>
      <c r="F324" s="220"/>
      <c r="G324" s="220"/>
      <c r="H324" s="220"/>
      <c r="I324" s="220"/>
      <c r="J324" s="220"/>
      <c r="K324" s="220"/>
      <c r="L324" s="220"/>
      <c r="M324" s="220"/>
      <c r="N324" s="220"/>
      <c r="O324" s="220"/>
      <c r="P324" s="220"/>
      <c r="Q324" s="220"/>
      <c r="R324" s="220"/>
      <c r="S324" s="220"/>
      <c r="T324" s="220"/>
      <c r="U324" s="220"/>
      <c r="V324" s="220"/>
      <c r="W324" s="220"/>
      <c r="X324" s="220"/>
      <c r="Y324" s="220"/>
      <c r="Z324" s="220"/>
      <c r="AA324" s="220"/>
      <c r="AB324" s="220"/>
      <c r="AC324" s="220"/>
      <c r="AD324" s="220"/>
      <c r="AE324" s="220"/>
      <c r="AF324" s="220"/>
      <c r="AG324" s="220"/>
      <c r="AH324" s="220"/>
      <c r="AI324" s="220"/>
      <c r="AJ324" s="50"/>
      <c r="AK324" s="257"/>
      <c r="AL324" s="257"/>
      <c r="AM324" s="52"/>
      <c r="AN324" s="88"/>
    </row>
    <row r="325" spans="1:40" s="29" customFormat="1" ht="17.25" customHeight="1">
      <c r="A325" s="48"/>
      <c r="B325" s="49"/>
      <c r="C325" s="220"/>
      <c r="D325" s="220"/>
      <c r="E325" s="220"/>
      <c r="F325" s="220"/>
      <c r="G325" s="220"/>
      <c r="H325" s="220"/>
      <c r="I325" s="220"/>
      <c r="J325" s="220"/>
      <c r="K325" s="220"/>
      <c r="L325" s="220"/>
      <c r="M325" s="220"/>
      <c r="N325" s="220"/>
      <c r="O325" s="220"/>
      <c r="P325" s="220"/>
      <c r="Q325" s="220"/>
      <c r="R325" s="220"/>
      <c r="S325" s="220"/>
      <c r="T325" s="220"/>
      <c r="U325" s="220"/>
      <c r="V325" s="220"/>
      <c r="W325" s="220"/>
      <c r="X325" s="220"/>
      <c r="Y325" s="220"/>
      <c r="Z325" s="220"/>
      <c r="AA325" s="220"/>
      <c r="AB325" s="220"/>
      <c r="AC325" s="220"/>
      <c r="AD325" s="220"/>
      <c r="AE325" s="220"/>
      <c r="AF325" s="220"/>
      <c r="AG325" s="220"/>
      <c r="AH325" s="220"/>
      <c r="AI325" s="220"/>
      <c r="AJ325" s="50"/>
      <c r="AK325" s="257"/>
      <c r="AL325" s="257"/>
      <c r="AM325" s="52"/>
      <c r="AN325" s="88"/>
    </row>
    <row r="326" spans="1:40" s="29" customFormat="1" ht="17.25" customHeight="1">
      <c r="A326" s="48"/>
      <c r="B326" s="49"/>
      <c r="C326" s="220"/>
      <c r="D326" s="220"/>
      <c r="E326" s="220"/>
      <c r="F326" s="220"/>
      <c r="G326" s="220"/>
      <c r="H326" s="220"/>
      <c r="I326" s="220"/>
      <c r="J326" s="220"/>
      <c r="K326" s="220"/>
      <c r="L326" s="220"/>
      <c r="M326" s="220"/>
      <c r="N326" s="220"/>
      <c r="O326" s="220"/>
      <c r="P326" s="220"/>
      <c r="Q326" s="220"/>
      <c r="R326" s="220"/>
      <c r="S326" s="220"/>
      <c r="T326" s="220"/>
      <c r="U326" s="220"/>
      <c r="V326" s="220"/>
      <c r="W326" s="220"/>
      <c r="X326" s="220"/>
      <c r="Y326" s="220"/>
      <c r="Z326" s="220"/>
      <c r="AA326" s="220"/>
      <c r="AB326" s="220"/>
      <c r="AC326" s="220"/>
      <c r="AD326" s="220"/>
      <c r="AE326" s="220"/>
      <c r="AF326" s="220"/>
      <c r="AG326" s="220"/>
      <c r="AH326" s="220"/>
      <c r="AI326" s="220"/>
      <c r="AJ326" s="50"/>
      <c r="AK326" s="257"/>
      <c r="AL326" s="257"/>
      <c r="AM326" s="52"/>
      <c r="AN326" s="88"/>
    </row>
    <row r="327" spans="1:40" s="29" customFormat="1" ht="17.25" customHeight="1">
      <c r="A327" s="48"/>
      <c r="B327" s="49"/>
      <c r="C327" s="220"/>
      <c r="D327" s="220"/>
      <c r="E327" s="220"/>
      <c r="F327" s="220"/>
      <c r="G327" s="220"/>
      <c r="H327" s="220"/>
      <c r="I327" s="220"/>
      <c r="J327" s="220"/>
      <c r="K327" s="220"/>
      <c r="L327" s="220"/>
      <c r="M327" s="220"/>
      <c r="N327" s="220"/>
      <c r="O327" s="220"/>
      <c r="P327" s="220"/>
      <c r="Q327" s="220"/>
      <c r="R327" s="220"/>
      <c r="S327" s="220"/>
      <c r="T327" s="220"/>
      <c r="U327" s="220"/>
      <c r="V327" s="220"/>
      <c r="W327" s="220"/>
      <c r="X327" s="220"/>
      <c r="Y327" s="220"/>
      <c r="Z327" s="220"/>
      <c r="AA327" s="220"/>
      <c r="AB327" s="220"/>
      <c r="AC327" s="220"/>
      <c r="AD327" s="220"/>
      <c r="AE327" s="220"/>
      <c r="AF327" s="220"/>
      <c r="AG327" s="220"/>
      <c r="AH327" s="220"/>
      <c r="AI327" s="220"/>
      <c r="AJ327" s="50"/>
      <c r="AK327" s="257"/>
      <c r="AL327" s="257"/>
      <c r="AM327" s="52"/>
      <c r="AN327" s="88"/>
    </row>
    <row r="328" spans="1:40" ht="31.5" customHeight="1">
      <c r="AK328" s="257"/>
    </row>
    <row r="329" spans="1:40" ht="31.5" customHeight="1">
      <c r="AK329" s="257"/>
    </row>
    <row r="330" spans="1:40" ht="31.5" customHeight="1"/>
    <row r="331" spans="1:40" ht="31.5" customHeight="1"/>
  </sheetData>
  <mergeCells count="23">
    <mergeCell ref="AF8:AH8"/>
    <mergeCell ref="A6:C6"/>
    <mergeCell ref="A1:AN1"/>
    <mergeCell ref="A2:AN2"/>
    <mergeCell ref="A3:AN3"/>
    <mergeCell ref="A4:AN4"/>
    <mergeCell ref="A5:C5"/>
    <mergeCell ref="AM8:AN8"/>
    <mergeCell ref="AJ8:AJ9"/>
    <mergeCell ref="AK8:AK9"/>
    <mergeCell ref="AL8:AL9"/>
    <mergeCell ref="A7:C7"/>
    <mergeCell ref="AC7:AG7"/>
    <mergeCell ref="A8:A10"/>
    <mergeCell ref="B8:B10"/>
    <mergeCell ref="C8:C9"/>
    <mergeCell ref="V8:X8"/>
    <mergeCell ref="AA8:AC8"/>
    <mergeCell ref="D8:D9"/>
    <mergeCell ref="E8:E9"/>
    <mergeCell ref="G8:I8"/>
    <mergeCell ref="L8:N8"/>
    <mergeCell ref="Q8:S8"/>
  </mergeCells>
  <printOptions horizontalCentered="1" verticalCentered="1"/>
  <pageMargins left="0.39370078740157483" right="0.31496062992125984" top="0.51181102362204722" bottom="0.31496062992125984" header="0.31496062992125984" footer="0.11811023622047245"/>
  <pageSetup paperSize="9" scale="46" orientation="landscape" r:id="rId1"/>
  <headerFooter>
    <oddFooter>&amp;R&amp;"Times New Roman,Italic"&amp;10Trang &amp;P</oddFooter>
  </headerFooter>
  <colBreaks count="1" manualBreakCount="1">
    <brk id="40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CE81-D99E-41FE-B322-1D2A4B1E5454}">
  <sheetPr>
    <tabColor rgb="FF7030A0"/>
  </sheetPr>
  <dimension ref="A1:AO331"/>
  <sheetViews>
    <sheetView view="pageBreakPreview" topLeftCell="A231" zoomScaleNormal="55" zoomScaleSheetLayoutView="100" workbookViewId="0">
      <selection activeCell="AC234" sqref="AC234"/>
    </sheetView>
  </sheetViews>
  <sheetFormatPr defaultColWidth="8.90625" defaultRowHeight="15.6"/>
  <cols>
    <col min="1" max="1" width="4" style="18" customWidth="1"/>
    <col min="2" max="2" width="9.453125" style="22" customWidth="1"/>
    <col min="3" max="3" width="5.90625" style="22" customWidth="1"/>
    <col min="4" max="4" width="6.54296875" style="189" customWidth="1"/>
    <col min="5" max="5" width="6" style="18" customWidth="1"/>
    <col min="6" max="6" width="6" style="18" hidden="1" customWidth="1"/>
    <col min="7" max="7" width="5.453125" style="18" customWidth="1"/>
    <col min="8" max="8" width="5" style="18" customWidth="1"/>
    <col min="9" max="9" width="5.1796875" style="18" customWidth="1"/>
    <col min="10" max="11" width="7.453125" style="18" hidden="1" customWidth="1"/>
    <col min="12" max="14" width="6.6328125" style="18" customWidth="1"/>
    <col min="15" max="15" width="7.08984375" style="18" hidden="1" customWidth="1"/>
    <col min="16" max="16" width="6.6328125" style="18" hidden="1" customWidth="1"/>
    <col min="17" max="19" width="5.6328125" style="18" customWidth="1"/>
    <col min="20" max="20" width="6.54296875" style="18" hidden="1" customWidth="1"/>
    <col min="21" max="21" width="6.36328125" style="18" hidden="1" customWidth="1"/>
    <col min="22" max="22" width="7.08984375" style="18" customWidth="1"/>
    <col min="23" max="23" width="7.36328125" style="18" customWidth="1"/>
    <col min="24" max="24" width="7" style="18" customWidth="1"/>
    <col min="25" max="26" width="7" style="18" hidden="1" customWidth="1"/>
    <col min="27" max="29" width="5.6328125" style="20" customWidth="1"/>
    <col min="30" max="31" width="7.08984375" style="20" hidden="1" customWidth="1"/>
    <col min="32" max="32" width="5.36328125" style="18" customWidth="1"/>
    <col min="33" max="34" width="4.90625" style="18" customWidth="1"/>
    <col min="35" max="35" width="6.1796875" style="18" hidden="1" customWidth="1"/>
    <col min="36" max="36" width="6.08984375" style="18" customWidth="1"/>
    <col min="37" max="37" width="6.81640625" style="18" customWidth="1"/>
    <col min="38" max="38" width="7.453125" style="18" customWidth="1"/>
    <col min="39" max="39" width="10.54296875" style="18" customWidth="1"/>
    <col min="40" max="40" width="10.08984375" style="18" customWidth="1"/>
    <col min="41" max="41" width="15.453125" style="18" customWidth="1"/>
    <col min="42" max="249" width="8.90625" style="18" customWidth="1"/>
    <col min="250" max="16384" width="8.90625" style="18"/>
  </cols>
  <sheetData>
    <row r="1" spans="1:40" ht="17.25" customHeight="1">
      <c r="A1" s="342" t="s">
        <v>147</v>
      </c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  <c r="Q1" s="343"/>
      <c r="R1" s="343"/>
      <c r="S1" s="343"/>
      <c r="T1" s="343"/>
      <c r="U1" s="343"/>
      <c r="V1" s="343"/>
      <c r="W1" s="343"/>
      <c r="X1" s="343"/>
      <c r="Y1" s="343"/>
      <c r="Z1" s="343"/>
      <c r="AA1" s="343"/>
      <c r="AB1" s="343"/>
      <c r="AC1" s="343"/>
      <c r="AD1" s="343"/>
      <c r="AE1" s="343"/>
      <c r="AF1" s="343"/>
      <c r="AG1" s="343"/>
      <c r="AH1" s="343"/>
      <c r="AI1" s="343"/>
      <c r="AJ1" s="343"/>
      <c r="AK1" s="343"/>
      <c r="AL1" s="343"/>
      <c r="AM1" s="343"/>
      <c r="AN1" s="344"/>
    </row>
    <row r="2" spans="1:40" ht="17.25" customHeight="1">
      <c r="A2" s="345" t="s">
        <v>148</v>
      </c>
      <c r="B2" s="346"/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46"/>
      <c r="R2" s="346"/>
      <c r="S2" s="346"/>
      <c r="T2" s="346"/>
      <c r="U2" s="346"/>
      <c r="V2" s="346"/>
      <c r="W2" s="346"/>
      <c r="X2" s="346"/>
      <c r="Y2" s="346"/>
      <c r="Z2" s="346"/>
      <c r="AA2" s="346"/>
      <c r="AB2" s="346"/>
      <c r="AC2" s="346"/>
      <c r="AD2" s="346"/>
      <c r="AE2" s="346"/>
      <c r="AF2" s="346"/>
      <c r="AG2" s="346"/>
      <c r="AH2" s="346"/>
      <c r="AI2" s="346"/>
      <c r="AJ2" s="346"/>
      <c r="AK2" s="346"/>
      <c r="AL2" s="346"/>
      <c r="AM2" s="346"/>
      <c r="AN2" s="347"/>
    </row>
    <row r="3" spans="1:40" ht="17.25" customHeight="1">
      <c r="A3" s="345" t="s">
        <v>149</v>
      </c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  <c r="Q3" s="346"/>
      <c r="R3" s="346"/>
      <c r="S3" s="346"/>
      <c r="T3" s="346"/>
      <c r="U3" s="346"/>
      <c r="V3" s="346"/>
      <c r="W3" s="346"/>
      <c r="X3" s="346"/>
      <c r="Y3" s="346"/>
      <c r="Z3" s="346"/>
      <c r="AA3" s="346"/>
      <c r="AB3" s="346"/>
      <c r="AC3" s="346"/>
      <c r="AD3" s="346"/>
      <c r="AE3" s="346"/>
      <c r="AF3" s="346"/>
      <c r="AG3" s="346"/>
      <c r="AH3" s="346"/>
      <c r="AI3" s="346"/>
      <c r="AJ3" s="346"/>
      <c r="AK3" s="346"/>
      <c r="AL3" s="346"/>
      <c r="AM3" s="346"/>
      <c r="AN3" s="347"/>
    </row>
    <row r="4" spans="1:40" s="19" customFormat="1" ht="17.25" customHeight="1">
      <c r="A4" s="348" t="s">
        <v>121</v>
      </c>
      <c r="B4" s="349"/>
      <c r="C4" s="349"/>
      <c r="D4" s="349"/>
      <c r="E4" s="349"/>
      <c r="F4" s="349"/>
      <c r="G4" s="349"/>
      <c r="H4" s="349"/>
      <c r="I4" s="349"/>
      <c r="J4" s="349"/>
      <c r="K4" s="349"/>
      <c r="L4" s="349"/>
      <c r="M4" s="349"/>
      <c r="N4" s="349"/>
      <c r="O4" s="349"/>
      <c r="P4" s="349"/>
      <c r="Q4" s="349"/>
      <c r="R4" s="349"/>
      <c r="S4" s="349"/>
      <c r="T4" s="349"/>
      <c r="U4" s="349"/>
      <c r="V4" s="349"/>
      <c r="W4" s="349"/>
      <c r="X4" s="349"/>
      <c r="Y4" s="349"/>
      <c r="Z4" s="349"/>
      <c r="AA4" s="349"/>
      <c r="AB4" s="349"/>
      <c r="AC4" s="349"/>
      <c r="AD4" s="349"/>
      <c r="AE4" s="349"/>
      <c r="AF4" s="349"/>
      <c r="AG4" s="349"/>
      <c r="AH4" s="349"/>
      <c r="AI4" s="349"/>
      <c r="AJ4" s="349"/>
      <c r="AK4" s="349"/>
      <c r="AL4" s="349"/>
      <c r="AM4" s="349"/>
      <c r="AN4" s="350"/>
    </row>
    <row r="5" spans="1:40" s="19" customFormat="1" ht="17.25" customHeight="1">
      <c r="A5" s="351" t="s">
        <v>122</v>
      </c>
      <c r="B5" s="352"/>
      <c r="C5" s="352"/>
      <c r="D5" s="234"/>
      <c r="E5" s="234"/>
      <c r="F5" s="234"/>
      <c r="G5" s="234"/>
      <c r="H5" s="234"/>
      <c r="I5" s="234"/>
      <c r="J5" s="234"/>
      <c r="K5" s="234"/>
      <c r="L5" s="234"/>
      <c r="M5" s="235"/>
      <c r="N5" s="235"/>
      <c r="O5" s="235"/>
      <c r="P5" s="235"/>
      <c r="Q5" s="235"/>
      <c r="R5" s="234"/>
      <c r="S5" s="234"/>
      <c r="T5" s="234"/>
      <c r="U5" s="234"/>
      <c r="V5" s="234"/>
      <c r="W5" s="234"/>
      <c r="X5" s="234"/>
      <c r="Y5" s="234"/>
      <c r="Z5" s="234"/>
      <c r="AA5" s="234" t="s">
        <v>123</v>
      </c>
      <c r="AB5" s="234"/>
      <c r="AC5" s="234"/>
      <c r="AD5" s="234"/>
      <c r="AE5" s="234"/>
      <c r="AF5" s="234"/>
      <c r="AG5" s="234"/>
      <c r="AH5" s="234"/>
      <c r="AI5" s="234"/>
      <c r="AJ5" s="234"/>
      <c r="AK5" s="234"/>
      <c r="AL5" s="234"/>
      <c r="AM5" s="234"/>
      <c r="AN5" s="238"/>
    </row>
    <row r="6" spans="1:40" s="19" customFormat="1" ht="17.25" customHeight="1">
      <c r="A6" s="353" t="s">
        <v>124</v>
      </c>
      <c r="B6" s="354"/>
      <c r="C6" s="354"/>
      <c r="D6" s="236"/>
      <c r="E6" s="236"/>
      <c r="F6" s="236"/>
      <c r="G6" s="236"/>
      <c r="H6" s="236"/>
      <c r="I6" s="236"/>
      <c r="J6" s="236"/>
      <c r="K6" s="236"/>
      <c r="L6" s="236"/>
      <c r="M6" s="237"/>
      <c r="N6" s="237"/>
      <c r="O6" s="237"/>
      <c r="P6" s="237"/>
      <c r="Q6" s="237"/>
      <c r="R6" s="236"/>
      <c r="S6" s="236"/>
      <c r="T6" s="236"/>
      <c r="U6" s="236"/>
      <c r="V6" s="236"/>
      <c r="W6" s="236"/>
      <c r="X6" s="236"/>
      <c r="Y6" s="236"/>
      <c r="Z6" s="236"/>
      <c r="AA6" s="236" t="s">
        <v>125</v>
      </c>
      <c r="AB6" s="236"/>
      <c r="AC6" s="220">
        <f>C11</f>
        <v>1049</v>
      </c>
      <c r="AD6" s="258"/>
      <c r="AE6" s="258"/>
      <c r="AF6" s="236"/>
      <c r="AG6" s="236"/>
      <c r="AH6" s="236"/>
      <c r="AI6" s="236"/>
      <c r="AJ6" s="236"/>
      <c r="AK6" s="236"/>
      <c r="AL6" s="236"/>
      <c r="AM6" s="236"/>
      <c r="AN6" s="239"/>
    </row>
    <row r="7" spans="1:40" s="19" customFormat="1" ht="17.25" customHeight="1">
      <c r="A7" s="339" t="s">
        <v>126</v>
      </c>
      <c r="B7" s="340" t="s">
        <v>143</v>
      </c>
      <c r="C7" s="340"/>
      <c r="D7" s="240" t="s">
        <v>155</v>
      </c>
      <c r="E7" s="240"/>
      <c r="F7" s="240"/>
      <c r="G7" s="240"/>
      <c r="H7" s="240"/>
      <c r="I7" s="240"/>
      <c r="J7" s="240"/>
      <c r="K7" s="240"/>
      <c r="L7" s="240"/>
      <c r="M7" s="241"/>
      <c r="N7" s="241"/>
      <c r="O7" s="241"/>
      <c r="P7" s="241"/>
      <c r="Q7" s="241"/>
      <c r="R7" s="240"/>
      <c r="S7" s="240"/>
      <c r="T7" s="240"/>
      <c r="U7" s="240"/>
      <c r="V7" s="240"/>
      <c r="W7" s="240"/>
      <c r="X7" s="240"/>
      <c r="Y7" s="240"/>
      <c r="Z7" s="240"/>
      <c r="AA7" s="240" t="s">
        <v>127</v>
      </c>
      <c r="AB7" s="240"/>
      <c r="AC7" s="341">
        <f>B11</f>
        <v>45576</v>
      </c>
      <c r="AD7" s="341"/>
      <c r="AE7" s="341"/>
      <c r="AF7" s="341"/>
      <c r="AG7" s="341"/>
      <c r="AH7" s="240"/>
      <c r="AI7" s="240"/>
      <c r="AJ7" s="240"/>
      <c r="AK7" s="240"/>
      <c r="AL7" s="240"/>
      <c r="AM7" s="240"/>
      <c r="AN7" s="242"/>
    </row>
    <row r="8" spans="1:40" s="46" customFormat="1" ht="47.25" customHeight="1">
      <c r="A8" s="357" t="s">
        <v>1</v>
      </c>
      <c r="B8" s="359" t="s">
        <v>2</v>
      </c>
      <c r="C8" s="360" t="s">
        <v>10</v>
      </c>
      <c r="D8" s="360" t="s">
        <v>3</v>
      </c>
      <c r="E8" s="357" t="s">
        <v>11</v>
      </c>
      <c r="F8" s="265" t="s">
        <v>70</v>
      </c>
      <c r="G8" s="362" t="s">
        <v>70</v>
      </c>
      <c r="H8" s="363"/>
      <c r="I8" s="363"/>
      <c r="J8" s="266"/>
      <c r="K8" s="265" t="s">
        <v>98</v>
      </c>
      <c r="L8" s="362" t="s">
        <v>98</v>
      </c>
      <c r="M8" s="363"/>
      <c r="N8" s="363"/>
      <c r="O8" s="266"/>
      <c r="P8" s="267" t="s">
        <v>99</v>
      </c>
      <c r="Q8" s="362" t="s">
        <v>99</v>
      </c>
      <c r="R8" s="363"/>
      <c r="S8" s="364"/>
      <c r="T8" s="267"/>
      <c r="U8" s="267" t="s">
        <v>71</v>
      </c>
      <c r="V8" s="362" t="s">
        <v>71</v>
      </c>
      <c r="W8" s="363"/>
      <c r="X8" s="364"/>
      <c r="Y8" s="267"/>
      <c r="Z8" s="268" t="s">
        <v>100</v>
      </c>
      <c r="AA8" s="355" t="s">
        <v>100</v>
      </c>
      <c r="AB8" s="358"/>
      <c r="AC8" s="356"/>
      <c r="AD8" s="268"/>
      <c r="AE8" s="268" t="s">
        <v>101</v>
      </c>
      <c r="AF8" s="355" t="s">
        <v>101</v>
      </c>
      <c r="AG8" s="358"/>
      <c r="AH8" s="356"/>
      <c r="AI8" s="269"/>
      <c r="AJ8" s="357" t="s">
        <v>73</v>
      </c>
      <c r="AK8" s="357" t="s">
        <v>72</v>
      </c>
      <c r="AL8" s="357" t="s">
        <v>144</v>
      </c>
      <c r="AM8" s="355" t="s">
        <v>66</v>
      </c>
      <c r="AN8" s="356"/>
    </row>
    <row r="9" spans="1:40" s="29" customFormat="1" ht="40.5" customHeight="1">
      <c r="A9" s="357"/>
      <c r="B9" s="359"/>
      <c r="C9" s="361"/>
      <c r="D9" s="361"/>
      <c r="E9" s="357"/>
      <c r="F9" s="47" t="s">
        <v>145</v>
      </c>
      <c r="G9" s="47" t="s">
        <v>6</v>
      </c>
      <c r="H9" s="47" t="s">
        <v>7</v>
      </c>
      <c r="I9" s="47" t="s">
        <v>8</v>
      </c>
      <c r="J9" s="47" t="s">
        <v>146</v>
      </c>
      <c r="K9" s="47" t="s">
        <v>145</v>
      </c>
      <c r="L9" s="47" t="s">
        <v>6</v>
      </c>
      <c r="M9" s="47" t="s">
        <v>7</v>
      </c>
      <c r="N9" s="47" t="s">
        <v>8</v>
      </c>
      <c r="O9" s="47" t="s">
        <v>146</v>
      </c>
      <c r="P9" s="47" t="s">
        <v>145</v>
      </c>
      <c r="Q9" s="47" t="s">
        <v>6</v>
      </c>
      <c r="R9" s="47" t="s">
        <v>7</v>
      </c>
      <c r="S9" s="47" t="s">
        <v>8</v>
      </c>
      <c r="T9" s="47" t="s">
        <v>146</v>
      </c>
      <c r="U9" s="47" t="s">
        <v>145</v>
      </c>
      <c r="V9" s="47" t="s">
        <v>6</v>
      </c>
      <c r="W9" s="47" t="s">
        <v>7</v>
      </c>
      <c r="X9" s="47" t="s">
        <v>8</v>
      </c>
      <c r="Y9" s="47" t="s">
        <v>146</v>
      </c>
      <c r="Z9" s="47" t="s">
        <v>145</v>
      </c>
      <c r="AA9" s="47" t="s">
        <v>6</v>
      </c>
      <c r="AB9" s="47" t="s">
        <v>7</v>
      </c>
      <c r="AC9" s="47" t="s">
        <v>8</v>
      </c>
      <c r="AD9" s="47" t="s">
        <v>146</v>
      </c>
      <c r="AE9" s="47" t="s">
        <v>145</v>
      </c>
      <c r="AF9" s="47" t="s">
        <v>6</v>
      </c>
      <c r="AG9" s="47" t="s">
        <v>7</v>
      </c>
      <c r="AH9" s="47" t="s">
        <v>8</v>
      </c>
      <c r="AI9" s="47" t="s">
        <v>146</v>
      </c>
      <c r="AJ9" s="357"/>
      <c r="AK9" s="357"/>
      <c r="AL9" s="357"/>
      <c r="AM9" s="47" t="s">
        <v>67</v>
      </c>
      <c r="AN9" s="87" t="s">
        <v>68</v>
      </c>
    </row>
    <row r="10" spans="1:40" s="29" customFormat="1" ht="20.100000000000001" customHeight="1">
      <c r="A10" s="357"/>
      <c r="B10" s="359"/>
      <c r="C10" s="49" t="s">
        <v>0</v>
      </c>
      <c r="D10" s="49" t="s">
        <v>0</v>
      </c>
      <c r="E10" s="48" t="s">
        <v>0</v>
      </c>
      <c r="F10" s="48" t="s">
        <v>0</v>
      </c>
      <c r="G10" s="48" t="s">
        <v>0</v>
      </c>
      <c r="H10" s="48" t="s">
        <v>0</v>
      </c>
      <c r="I10" s="48" t="s">
        <v>0</v>
      </c>
      <c r="J10" s="48" t="s">
        <v>0</v>
      </c>
      <c r="K10" s="48" t="s">
        <v>0</v>
      </c>
      <c r="L10" s="48" t="s">
        <v>0</v>
      </c>
      <c r="M10" s="48" t="s">
        <v>0</v>
      </c>
      <c r="N10" s="48" t="s">
        <v>0</v>
      </c>
      <c r="O10" s="48" t="s">
        <v>0</v>
      </c>
      <c r="P10" s="48" t="s">
        <v>0</v>
      </c>
      <c r="Q10" s="48" t="s">
        <v>0</v>
      </c>
      <c r="R10" s="48" t="s">
        <v>0</v>
      </c>
      <c r="S10" s="48" t="s">
        <v>0</v>
      </c>
      <c r="T10" s="48" t="s">
        <v>0</v>
      </c>
      <c r="U10" s="48" t="s">
        <v>0</v>
      </c>
      <c r="V10" s="48" t="s">
        <v>0</v>
      </c>
      <c r="W10" s="48" t="s">
        <v>0</v>
      </c>
      <c r="X10" s="48" t="s">
        <v>0</v>
      </c>
      <c r="Y10" s="48" t="s">
        <v>0</v>
      </c>
      <c r="Z10" s="48" t="s">
        <v>9</v>
      </c>
      <c r="AA10" s="48" t="s">
        <v>9</v>
      </c>
      <c r="AB10" s="48" t="s">
        <v>9</v>
      </c>
      <c r="AC10" s="48" t="s">
        <v>9</v>
      </c>
      <c r="AD10" s="48" t="s">
        <v>9</v>
      </c>
      <c r="AE10" s="48" t="s">
        <v>9</v>
      </c>
      <c r="AF10" s="48" t="s">
        <v>9</v>
      </c>
      <c r="AG10" s="48" t="s">
        <v>9</v>
      </c>
      <c r="AH10" s="48" t="s">
        <v>9</v>
      </c>
      <c r="AI10" s="48" t="s">
        <v>9</v>
      </c>
      <c r="AJ10" s="48" t="s">
        <v>0</v>
      </c>
      <c r="AK10" s="48" t="s">
        <v>0</v>
      </c>
      <c r="AL10" s="48" t="s">
        <v>0</v>
      </c>
      <c r="AM10" s="48"/>
      <c r="AN10" s="67"/>
    </row>
    <row r="11" spans="1:40" s="29" customFormat="1" ht="17.25" customHeight="1">
      <c r="A11" s="48">
        <v>1</v>
      </c>
      <c r="B11" s="49">
        <v>45576</v>
      </c>
      <c r="C11" s="220">
        <v>1049</v>
      </c>
      <c r="D11" s="220">
        <v>2100</v>
      </c>
      <c r="E11" s="220">
        <v>3169</v>
      </c>
      <c r="F11" s="220">
        <f>E11-K11</f>
        <v>520</v>
      </c>
      <c r="G11" s="220">
        <v>600</v>
      </c>
      <c r="H11" s="220">
        <v>620</v>
      </c>
      <c r="I11" s="220">
        <v>610</v>
      </c>
      <c r="J11" s="220">
        <f>E11-O11</f>
        <v>610</v>
      </c>
      <c r="K11" s="220">
        <f>P11+U11</f>
        <v>2649</v>
      </c>
      <c r="L11" s="220">
        <v>2569</v>
      </c>
      <c r="M11" s="220">
        <v>2549</v>
      </c>
      <c r="N11" s="220">
        <v>2559</v>
      </c>
      <c r="O11" s="220">
        <f>T11+Y11</f>
        <v>2559</v>
      </c>
      <c r="P11" s="220">
        <v>2000</v>
      </c>
      <c r="Q11" s="220">
        <v>2000</v>
      </c>
      <c r="R11" s="220">
        <v>2000</v>
      </c>
      <c r="S11" s="220">
        <v>2000</v>
      </c>
      <c r="T11" s="220">
        <v>2000</v>
      </c>
      <c r="U11" s="220">
        <v>649</v>
      </c>
      <c r="V11" s="220">
        <v>569</v>
      </c>
      <c r="W11" s="220">
        <v>549</v>
      </c>
      <c r="X11" s="220">
        <v>559</v>
      </c>
      <c r="Y11" s="220">
        <v>559</v>
      </c>
      <c r="Z11" s="220">
        <v>0</v>
      </c>
      <c r="AA11" s="220">
        <v>0</v>
      </c>
      <c r="AB11" s="220">
        <v>0</v>
      </c>
      <c r="AC11" s="220">
        <v>0</v>
      </c>
      <c r="AD11" s="220">
        <v>0</v>
      </c>
      <c r="AE11" s="220">
        <v>0</v>
      </c>
      <c r="AF11" s="220">
        <v>0</v>
      </c>
      <c r="AG11" s="220">
        <v>0</v>
      </c>
      <c r="AH11" s="220">
        <v>0</v>
      </c>
      <c r="AI11" s="220">
        <v>0</v>
      </c>
      <c r="AJ11" s="50">
        <f>W11/1000</f>
        <v>0.54900000000000004</v>
      </c>
      <c r="AK11" s="257"/>
      <c r="AL11" s="257">
        <f>AK11</f>
        <v>0</v>
      </c>
      <c r="AM11" s="52"/>
      <c r="AN11" s="88"/>
    </row>
    <row r="12" spans="1:40" s="261" customFormat="1" ht="17.25" customHeight="1">
      <c r="A12" s="76">
        <v>2</v>
      </c>
      <c r="B12" s="77">
        <f>B11+1</f>
        <v>45577</v>
      </c>
      <c r="C12" s="213">
        <f>+C11</f>
        <v>1049</v>
      </c>
      <c r="D12" s="213">
        <f>D11+15</f>
        <v>2115</v>
      </c>
      <c r="E12" s="213">
        <f>+C12+D12</f>
        <v>3164</v>
      </c>
      <c r="F12" s="213">
        <f t="shared" ref="F12:F75" si="0">E12-K12</f>
        <v>519</v>
      </c>
      <c r="G12" s="213">
        <f t="shared" ref="G12:G75" si="1">E12-L12</f>
        <v>599</v>
      </c>
      <c r="H12" s="213">
        <f t="shared" ref="H12:H75" si="2">E12-M12</f>
        <v>619</v>
      </c>
      <c r="I12" s="213">
        <f t="shared" ref="I12:I75" si="3">E12-N12</f>
        <v>610</v>
      </c>
      <c r="J12" s="213">
        <f t="shared" ref="J12:J75" si="4">E12-O12</f>
        <v>609</v>
      </c>
      <c r="K12" s="213">
        <f t="shared" ref="K12:O62" si="5">P12+U12</f>
        <v>2645</v>
      </c>
      <c r="L12" s="213">
        <f t="shared" si="5"/>
        <v>2565</v>
      </c>
      <c r="M12" s="213">
        <f t="shared" si="5"/>
        <v>2545</v>
      </c>
      <c r="N12" s="213">
        <f t="shared" si="5"/>
        <v>2554</v>
      </c>
      <c r="O12" s="213">
        <f t="shared" si="5"/>
        <v>2555</v>
      </c>
      <c r="P12" s="213">
        <f>+P11</f>
        <v>2000</v>
      </c>
      <c r="Q12" s="213">
        <f>+Q11</f>
        <v>2000</v>
      </c>
      <c r="R12" s="213">
        <f>+R11</f>
        <v>2000</v>
      </c>
      <c r="S12" s="213">
        <f>+S11</f>
        <v>2000</v>
      </c>
      <c r="T12" s="213">
        <f>+T11</f>
        <v>2000</v>
      </c>
      <c r="U12" s="213">
        <f>U11-Z12</f>
        <v>645</v>
      </c>
      <c r="V12" s="213">
        <f>V11-AA12</f>
        <v>565</v>
      </c>
      <c r="W12" s="213">
        <f>W11-AB12</f>
        <v>545</v>
      </c>
      <c r="X12" s="213">
        <f>X11-AC12</f>
        <v>554</v>
      </c>
      <c r="Y12" s="213">
        <f>Y11-AD12</f>
        <v>555</v>
      </c>
      <c r="Z12" s="213">
        <v>4</v>
      </c>
      <c r="AA12" s="213">
        <v>4</v>
      </c>
      <c r="AB12" s="213">
        <v>4</v>
      </c>
      <c r="AC12" s="213">
        <v>5</v>
      </c>
      <c r="AD12" s="213">
        <v>4</v>
      </c>
      <c r="AE12" s="213">
        <f>AE11-Z12</f>
        <v>-4</v>
      </c>
      <c r="AF12" s="213">
        <f>AF11-AA12</f>
        <v>-4</v>
      </c>
      <c r="AG12" s="213">
        <f>AG11-AB12</f>
        <v>-4</v>
      </c>
      <c r="AH12" s="213">
        <f>AH11-AC12</f>
        <v>-5</v>
      </c>
      <c r="AI12" s="213">
        <f>AI11-AD12</f>
        <v>-4</v>
      </c>
      <c r="AJ12" s="78">
        <f>AJ11-AB12/1000+AK12</f>
        <v>0.84499999999999997</v>
      </c>
      <c r="AK12" s="259">
        <v>0.3</v>
      </c>
      <c r="AL12" s="259">
        <f>AL11+AK12</f>
        <v>0.3</v>
      </c>
      <c r="AM12" s="81"/>
      <c r="AN12" s="260"/>
    </row>
    <row r="13" spans="1:40" s="29" customFormat="1" ht="17.25" customHeight="1">
      <c r="A13" s="48">
        <v>3</v>
      </c>
      <c r="B13" s="49">
        <f t="shared" ref="B13:B76" si="6">B12+1</f>
        <v>45578</v>
      </c>
      <c r="C13" s="220">
        <f t="shared" ref="C13:C76" si="7">+C12</f>
        <v>1049</v>
      </c>
      <c r="D13" s="220">
        <f>D12+26</f>
        <v>2141</v>
      </c>
      <c r="E13" s="220">
        <f t="shared" ref="E13:E76" si="8">+C13+D13</f>
        <v>3190</v>
      </c>
      <c r="F13" s="220">
        <f t="shared" si="0"/>
        <v>548</v>
      </c>
      <c r="G13" s="220">
        <f t="shared" si="1"/>
        <v>629</v>
      </c>
      <c r="H13" s="220">
        <f t="shared" si="2"/>
        <v>648</v>
      </c>
      <c r="I13" s="220">
        <f t="shared" si="3"/>
        <v>641</v>
      </c>
      <c r="J13" s="220">
        <f t="shared" si="4"/>
        <v>638</v>
      </c>
      <c r="K13" s="220">
        <f t="shared" si="5"/>
        <v>2642</v>
      </c>
      <c r="L13" s="220">
        <f t="shared" si="5"/>
        <v>2561</v>
      </c>
      <c r="M13" s="220">
        <f t="shared" si="5"/>
        <v>2542</v>
      </c>
      <c r="N13" s="220">
        <f t="shared" si="5"/>
        <v>2549</v>
      </c>
      <c r="O13" s="220">
        <f t="shared" si="5"/>
        <v>2552</v>
      </c>
      <c r="P13" s="220">
        <f t="shared" ref="P13:T28" si="9">+P12</f>
        <v>2000</v>
      </c>
      <c r="Q13" s="220">
        <f t="shared" si="9"/>
        <v>2000</v>
      </c>
      <c r="R13" s="220">
        <f t="shared" si="9"/>
        <v>2000</v>
      </c>
      <c r="S13" s="220">
        <f t="shared" si="9"/>
        <v>2000</v>
      </c>
      <c r="T13" s="220">
        <f t="shared" si="9"/>
        <v>2000</v>
      </c>
      <c r="U13" s="220">
        <f t="shared" ref="U13:Y28" si="10">U12-Z13</f>
        <v>642</v>
      </c>
      <c r="V13" s="220">
        <f t="shared" si="10"/>
        <v>561</v>
      </c>
      <c r="W13" s="220">
        <f t="shared" si="10"/>
        <v>542</v>
      </c>
      <c r="X13" s="220">
        <f t="shared" si="10"/>
        <v>549</v>
      </c>
      <c r="Y13" s="220">
        <f t="shared" si="10"/>
        <v>552</v>
      </c>
      <c r="Z13" s="220">
        <v>3</v>
      </c>
      <c r="AA13" s="220">
        <v>4</v>
      </c>
      <c r="AB13" s="220">
        <v>3</v>
      </c>
      <c r="AC13" s="220">
        <v>5</v>
      </c>
      <c r="AD13" s="220">
        <v>3</v>
      </c>
      <c r="AE13" s="220">
        <f t="shared" ref="AE13:AI28" si="11">AE12-Z13</f>
        <v>-7</v>
      </c>
      <c r="AF13" s="220">
        <f t="shared" si="11"/>
        <v>-8</v>
      </c>
      <c r="AG13" s="220">
        <f t="shared" si="11"/>
        <v>-7</v>
      </c>
      <c r="AH13" s="220">
        <f t="shared" si="11"/>
        <v>-10</v>
      </c>
      <c r="AI13" s="220">
        <f t="shared" si="11"/>
        <v>-7</v>
      </c>
      <c r="AJ13" s="50">
        <f t="shared" ref="AJ13:AJ76" si="12">AJ12-AB13/1000+AK13</f>
        <v>0.84199999999999997</v>
      </c>
      <c r="AK13" s="257"/>
      <c r="AL13" s="257">
        <f t="shared" ref="AL13:AL76" si="13">AL12+AK13</f>
        <v>0.3</v>
      </c>
      <c r="AM13" s="52"/>
      <c r="AN13" s="88"/>
    </row>
    <row r="14" spans="1:40" s="29" customFormat="1" ht="17.25" customHeight="1">
      <c r="A14" s="48">
        <v>4</v>
      </c>
      <c r="B14" s="49">
        <f t="shared" si="6"/>
        <v>45579</v>
      </c>
      <c r="C14" s="220">
        <f t="shared" si="7"/>
        <v>1049</v>
      </c>
      <c r="D14" s="220">
        <f>D13+32</f>
        <v>2173</v>
      </c>
      <c r="E14" s="220">
        <f t="shared" si="8"/>
        <v>3222</v>
      </c>
      <c r="F14" s="220">
        <f t="shared" si="0"/>
        <v>583</v>
      </c>
      <c r="G14" s="220">
        <f t="shared" si="1"/>
        <v>668</v>
      </c>
      <c r="H14" s="220">
        <f t="shared" si="2"/>
        <v>688</v>
      </c>
      <c r="I14" s="220">
        <f t="shared" si="3"/>
        <v>678</v>
      </c>
      <c r="J14" s="220">
        <f t="shared" si="4"/>
        <v>673</v>
      </c>
      <c r="K14" s="220">
        <f t="shared" si="5"/>
        <v>2639</v>
      </c>
      <c r="L14" s="220">
        <f t="shared" si="5"/>
        <v>2554</v>
      </c>
      <c r="M14" s="220">
        <f t="shared" si="5"/>
        <v>2534</v>
      </c>
      <c r="N14" s="220">
        <f t="shared" si="5"/>
        <v>2544</v>
      </c>
      <c r="O14" s="220">
        <f t="shared" si="5"/>
        <v>2549</v>
      </c>
      <c r="P14" s="220">
        <f t="shared" si="9"/>
        <v>2000</v>
      </c>
      <c r="Q14" s="220">
        <f t="shared" si="9"/>
        <v>2000</v>
      </c>
      <c r="R14" s="220">
        <f t="shared" si="9"/>
        <v>2000</v>
      </c>
      <c r="S14" s="220">
        <f t="shared" si="9"/>
        <v>2000</v>
      </c>
      <c r="T14" s="220">
        <f t="shared" si="9"/>
        <v>2000</v>
      </c>
      <c r="U14" s="220">
        <f t="shared" si="10"/>
        <v>639</v>
      </c>
      <c r="V14" s="220">
        <f t="shared" si="10"/>
        <v>554</v>
      </c>
      <c r="W14" s="220">
        <f t="shared" si="10"/>
        <v>534</v>
      </c>
      <c r="X14" s="220">
        <f t="shared" si="10"/>
        <v>544</v>
      </c>
      <c r="Y14" s="220">
        <f t="shared" si="10"/>
        <v>549</v>
      </c>
      <c r="Z14" s="220">
        <v>3</v>
      </c>
      <c r="AA14" s="220">
        <v>7</v>
      </c>
      <c r="AB14" s="220">
        <v>8</v>
      </c>
      <c r="AC14" s="220">
        <v>5</v>
      </c>
      <c r="AD14" s="220">
        <v>3</v>
      </c>
      <c r="AE14" s="220">
        <f t="shared" si="11"/>
        <v>-10</v>
      </c>
      <c r="AF14" s="220">
        <f t="shared" si="11"/>
        <v>-15</v>
      </c>
      <c r="AG14" s="220">
        <f t="shared" si="11"/>
        <v>-15</v>
      </c>
      <c r="AH14" s="220">
        <f t="shared" si="11"/>
        <v>-15</v>
      </c>
      <c r="AI14" s="220">
        <f t="shared" si="11"/>
        <v>-10</v>
      </c>
      <c r="AJ14" s="50">
        <f t="shared" si="12"/>
        <v>0.83399999999999996</v>
      </c>
      <c r="AK14" s="257"/>
      <c r="AL14" s="257">
        <f t="shared" si="13"/>
        <v>0.3</v>
      </c>
      <c r="AM14" s="52"/>
      <c r="AN14" s="88"/>
    </row>
    <row r="15" spans="1:40" s="29" customFormat="1" ht="17.25" customHeight="1">
      <c r="A15" s="48">
        <v>5</v>
      </c>
      <c r="B15" s="49">
        <f t="shared" si="6"/>
        <v>45580</v>
      </c>
      <c r="C15" s="220">
        <f t="shared" si="7"/>
        <v>1049</v>
      </c>
      <c r="D15" s="220">
        <f>D14-18</f>
        <v>2155</v>
      </c>
      <c r="E15" s="220">
        <f t="shared" si="8"/>
        <v>3204</v>
      </c>
      <c r="F15" s="220">
        <f t="shared" si="0"/>
        <v>567</v>
      </c>
      <c r="G15" s="220">
        <f t="shared" si="1"/>
        <v>656</v>
      </c>
      <c r="H15" s="220">
        <f t="shared" si="2"/>
        <v>677</v>
      </c>
      <c r="I15" s="220">
        <f t="shared" si="3"/>
        <v>664</v>
      </c>
      <c r="J15" s="220">
        <f t="shared" si="4"/>
        <v>657</v>
      </c>
      <c r="K15" s="220">
        <f t="shared" si="5"/>
        <v>2637</v>
      </c>
      <c r="L15" s="220">
        <f t="shared" si="5"/>
        <v>2548</v>
      </c>
      <c r="M15" s="220">
        <f t="shared" si="5"/>
        <v>2527</v>
      </c>
      <c r="N15" s="220">
        <f t="shared" si="5"/>
        <v>2540</v>
      </c>
      <c r="O15" s="220">
        <f t="shared" si="5"/>
        <v>2547</v>
      </c>
      <c r="P15" s="220">
        <f t="shared" si="9"/>
        <v>2000</v>
      </c>
      <c r="Q15" s="220">
        <f t="shared" si="9"/>
        <v>2000</v>
      </c>
      <c r="R15" s="220">
        <f t="shared" si="9"/>
        <v>2000</v>
      </c>
      <c r="S15" s="220">
        <f t="shared" si="9"/>
        <v>2000</v>
      </c>
      <c r="T15" s="220">
        <f t="shared" si="9"/>
        <v>2000</v>
      </c>
      <c r="U15" s="220">
        <f t="shared" si="10"/>
        <v>637</v>
      </c>
      <c r="V15" s="220">
        <f t="shared" si="10"/>
        <v>548</v>
      </c>
      <c r="W15" s="220">
        <f t="shared" si="10"/>
        <v>527</v>
      </c>
      <c r="X15" s="220">
        <f t="shared" si="10"/>
        <v>540</v>
      </c>
      <c r="Y15" s="220">
        <f t="shared" si="10"/>
        <v>547</v>
      </c>
      <c r="Z15" s="220">
        <v>2</v>
      </c>
      <c r="AA15" s="220">
        <v>6</v>
      </c>
      <c r="AB15" s="220">
        <v>7</v>
      </c>
      <c r="AC15" s="220">
        <v>4</v>
      </c>
      <c r="AD15" s="220">
        <v>2</v>
      </c>
      <c r="AE15" s="220">
        <f t="shared" si="11"/>
        <v>-12</v>
      </c>
      <c r="AF15" s="220">
        <f t="shared" si="11"/>
        <v>-21</v>
      </c>
      <c r="AG15" s="220">
        <f t="shared" si="11"/>
        <v>-22</v>
      </c>
      <c r="AH15" s="220">
        <f t="shared" si="11"/>
        <v>-19</v>
      </c>
      <c r="AI15" s="220">
        <f t="shared" si="11"/>
        <v>-12</v>
      </c>
      <c r="AJ15" s="50">
        <f t="shared" si="12"/>
        <v>0.82699999999999996</v>
      </c>
      <c r="AK15" s="257"/>
      <c r="AL15" s="257">
        <f t="shared" si="13"/>
        <v>0.3</v>
      </c>
      <c r="AM15" s="52"/>
      <c r="AN15" s="88"/>
    </row>
    <row r="16" spans="1:40" s="29" customFormat="1" ht="17.25" customHeight="1">
      <c r="A16" s="48">
        <v>6</v>
      </c>
      <c r="B16" s="49">
        <f t="shared" si="6"/>
        <v>45581</v>
      </c>
      <c r="C16" s="220">
        <f t="shared" si="7"/>
        <v>1049</v>
      </c>
      <c r="D16" s="220">
        <f>D15-26</f>
        <v>2129</v>
      </c>
      <c r="E16" s="220">
        <f t="shared" si="8"/>
        <v>3178</v>
      </c>
      <c r="F16" s="220">
        <f t="shared" si="0"/>
        <v>545</v>
      </c>
      <c r="G16" s="220">
        <f t="shared" si="1"/>
        <v>639</v>
      </c>
      <c r="H16" s="220">
        <f t="shared" si="2"/>
        <v>660</v>
      </c>
      <c r="I16" s="220">
        <f t="shared" si="3"/>
        <v>647</v>
      </c>
      <c r="J16" s="220">
        <f t="shared" si="4"/>
        <v>635</v>
      </c>
      <c r="K16" s="220">
        <f t="shared" si="5"/>
        <v>2633</v>
      </c>
      <c r="L16" s="220">
        <f t="shared" si="5"/>
        <v>2539</v>
      </c>
      <c r="M16" s="220">
        <f t="shared" si="5"/>
        <v>2518</v>
      </c>
      <c r="N16" s="220">
        <f t="shared" si="5"/>
        <v>2531</v>
      </c>
      <c r="O16" s="220">
        <f t="shared" si="5"/>
        <v>2543</v>
      </c>
      <c r="P16" s="220">
        <f t="shared" si="9"/>
        <v>2000</v>
      </c>
      <c r="Q16" s="220">
        <f t="shared" si="9"/>
        <v>2000</v>
      </c>
      <c r="R16" s="220">
        <f t="shared" si="9"/>
        <v>2000</v>
      </c>
      <c r="S16" s="220">
        <f t="shared" si="9"/>
        <v>2000</v>
      </c>
      <c r="T16" s="220">
        <f t="shared" si="9"/>
        <v>2000</v>
      </c>
      <c r="U16" s="220">
        <f t="shared" si="10"/>
        <v>633</v>
      </c>
      <c r="V16" s="220">
        <f t="shared" si="10"/>
        <v>539</v>
      </c>
      <c r="W16" s="220">
        <f t="shared" si="10"/>
        <v>518</v>
      </c>
      <c r="X16" s="220">
        <f t="shared" si="10"/>
        <v>531</v>
      </c>
      <c r="Y16" s="220">
        <f t="shared" si="10"/>
        <v>543</v>
      </c>
      <c r="Z16" s="220">
        <v>4</v>
      </c>
      <c r="AA16" s="220">
        <v>9</v>
      </c>
      <c r="AB16" s="220">
        <v>9</v>
      </c>
      <c r="AC16" s="220">
        <v>9</v>
      </c>
      <c r="AD16" s="220">
        <v>4</v>
      </c>
      <c r="AE16" s="220">
        <f t="shared" si="11"/>
        <v>-16</v>
      </c>
      <c r="AF16" s="220">
        <f t="shared" si="11"/>
        <v>-30</v>
      </c>
      <c r="AG16" s="220">
        <f t="shared" si="11"/>
        <v>-31</v>
      </c>
      <c r="AH16" s="220">
        <f t="shared" si="11"/>
        <v>-28</v>
      </c>
      <c r="AI16" s="220">
        <f t="shared" si="11"/>
        <v>-16</v>
      </c>
      <c r="AJ16" s="50">
        <f t="shared" si="12"/>
        <v>0.81799999999999995</v>
      </c>
      <c r="AK16" s="257"/>
      <c r="AL16" s="257">
        <f t="shared" si="13"/>
        <v>0.3</v>
      </c>
      <c r="AM16" s="52"/>
      <c r="AN16" s="88"/>
    </row>
    <row r="17" spans="1:40" s="261" customFormat="1" ht="17.25" customHeight="1">
      <c r="A17" s="76">
        <v>7</v>
      </c>
      <c r="B17" s="77">
        <f t="shared" si="6"/>
        <v>45582</v>
      </c>
      <c r="C17" s="213">
        <f t="shared" si="7"/>
        <v>1049</v>
      </c>
      <c r="D17" s="213">
        <f t="shared" ref="D17" si="14">D16+15</f>
        <v>2144</v>
      </c>
      <c r="E17" s="213">
        <f t="shared" si="8"/>
        <v>3193</v>
      </c>
      <c r="F17" s="213">
        <f t="shared" si="0"/>
        <v>563</v>
      </c>
      <c r="G17" s="213">
        <f t="shared" si="1"/>
        <v>663</v>
      </c>
      <c r="H17" s="213">
        <f t="shared" si="2"/>
        <v>683</v>
      </c>
      <c r="I17" s="213">
        <f t="shared" si="3"/>
        <v>671</v>
      </c>
      <c r="J17" s="213">
        <f t="shared" si="4"/>
        <v>653</v>
      </c>
      <c r="K17" s="213">
        <f t="shared" si="5"/>
        <v>2630</v>
      </c>
      <c r="L17" s="213">
        <f t="shared" si="5"/>
        <v>2530</v>
      </c>
      <c r="M17" s="213">
        <f t="shared" si="5"/>
        <v>2510</v>
      </c>
      <c r="N17" s="213">
        <f t="shared" si="5"/>
        <v>2522</v>
      </c>
      <c r="O17" s="213">
        <f t="shared" si="5"/>
        <v>2540</v>
      </c>
      <c r="P17" s="213">
        <f t="shared" si="9"/>
        <v>2000</v>
      </c>
      <c r="Q17" s="213">
        <f t="shared" si="9"/>
        <v>2000</v>
      </c>
      <c r="R17" s="213">
        <f t="shared" si="9"/>
        <v>2000</v>
      </c>
      <c r="S17" s="213">
        <f t="shared" si="9"/>
        <v>2000</v>
      </c>
      <c r="T17" s="213">
        <f t="shared" si="9"/>
        <v>2000</v>
      </c>
      <c r="U17" s="213">
        <f t="shared" si="10"/>
        <v>630</v>
      </c>
      <c r="V17" s="213">
        <f t="shared" si="10"/>
        <v>530</v>
      </c>
      <c r="W17" s="213">
        <f t="shared" si="10"/>
        <v>510</v>
      </c>
      <c r="X17" s="213">
        <f t="shared" si="10"/>
        <v>522</v>
      </c>
      <c r="Y17" s="213">
        <f t="shared" si="10"/>
        <v>540</v>
      </c>
      <c r="Z17" s="213">
        <v>3</v>
      </c>
      <c r="AA17" s="213">
        <v>9</v>
      </c>
      <c r="AB17" s="213">
        <v>8</v>
      </c>
      <c r="AC17" s="213">
        <v>9</v>
      </c>
      <c r="AD17" s="213">
        <v>3</v>
      </c>
      <c r="AE17" s="213">
        <f t="shared" si="11"/>
        <v>-19</v>
      </c>
      <c r="AF17" s="213">
        <f t="shared" si="11"/>
        <v>-39</v>
      </c>
      <c r="AG17" s="213">
        <f t="shared" si="11"/>
        <v>-39</v>
      </c>
      <c r="AH17" s="213">
        <f t="shared" si="11"/>
        <v>-37</v>
      </c>
      <c r="AI17" s="213">
        <f t="shared" si="11"/>
        <v>-19</v>
      </c>
      <c r="AJ17" s="78">
        <f t="shared" si="12"/>
        <v>1.1099999999999999</v>
      </c>
      <c r="AK17" s="259">
        <v>0.3</v>
      </c>
      <c r="AL17" s="259">
        <f t="shared" si="13"/>
        <v>0.6</v>
      </c>
      <c r="AM17" s="81"/>
      <c r="AN17" s="260"/>
    </row>
    <row r="18" spans="1:40" s="29" customFormat="1" ht="17.25" customHeight="1">
      <c r="A18" s="48">
        <v>8</v>
      </c>
      <c r="B18" s="49">
        <f t="shared" si="6"/>
        <v>45583</v>
      </c>
      <c r="C18" s="220">
        <f t="shared" si="7"/>
        <v>1049</v>
      </c>
      <c r="D18" s="220">
        <f t="shared" ref="D18" si="15">D17+26</f>
        <v>2170</v>
      </c>
      <c r="E18" s="220">
        <f t="shared" si="8"/>
        <v>3219</v>
      </c>
      <c r="F18" s="220">
        <f t="shared" si="0"/>
        <v>591</v>
      </c>
      <c r="G18" s="220">
        <f t="shared" si="1"/>
        <v>697</v>
      </c>
      <c r="H18" s="220">
        <f t="shared" si="2"/>
        <v>717</v>
      </c>
      <c r="I18" s="220">
        <f t="shared" si="3"/>
        <v>705</v>
      </c>
      <c r="J18" s="220">
        <f t="shared" si="4"/>
        <v>681</v>
      </c>
      <c r="K18" s="220">
        <f t="shared" si="5"/>
        <v>2628</v>
      </c>
      <c r="L18" s="220">
        <f t="shared" si="5"/>
        <v>2522</v>
      </c>
      <c r="M18" s="220">
        <f t="shared" si="5"/>
        <v>2502</v>
      </c>
      <c r="N18" s="220">
        <f t="shared" si="5"/>
        <v>2514</v>
      </c>
      <c r="O18" s="220">
        <f t="shared" si="5"/>
        <v>2538</v>
      </c>
      <c r="P18" s="220">
        <f t="shared" si="9"/>
        <v>2000</v>
      </c>
      <c r="Q18" s="220">
        <f t="shared" si="9"/>
        <v>2000</v>
      </c>
      <c r="R18" s="220">
        <f t="shared" si="9"/>
        <v>2000</v>
      </c>
      <c r="S18" s="220">
        <f t="shared" si="9"/>
        <v>2000</v>
      </c>
      <c r="T18" s="220">
        <f t="shared" si="9"/>
        <v>2000</v>
      </c>
      <c r="U18" s="220">
        <f t="shared" si="10"/>
        <v>628</v>
      </c>
      <c r="V18" s="220">
        <f t="shared" si="10"/>
        <v>522</v>
      </c>
      <c r="W18" s="220">
        <f t="shared" si="10"/>
        <v>502</v>
      </c>
      <c r="X18" s="220">
        <f t="shared" si="10"/>
        <v>514</v>
      </c>
      <c r="Y18" s="220">
        <f t="shared" si="10"/>
        <v>538</v>
      </c>
      <c r="Z18" s="220">
        <v>2</v>
      </c>
      <c r="AA18" s="220">
        <v>8</v>
      </c>
      <c r="AB18" s="220">
        <v>8</v>
      </c>
      <c r="AC18" s="220">
        <v>8</v>
      </c>
      <c r="AD18" s="220">
        <v>2</v>
      </c>
      <c r="AE18" s="220">
        <f t="shared" si="11"/>
        <v>-21</v>
      </c>
      <c r="AF18" s="220">
        <f t="shared" si="11"/>
        <v>-47</v>
      </c>
      <c r="AG18" s="220">
        <f t="shared" si="11"/>
        <v>-47</v>
      </c>
      <c r="AH18" s="220">
        <f t="shared" si="11"/>
        <v>-45</v>
      </c>
      <c r="AI18" s="220">
        <f t="shared" si="11"/>
        <v>-21</v>
      </c>
      <c r="AJ18" s="50">
        <f t="shared" si="12"/>
        <v>1.1019999999999999</v>
      </c>
      <c r="AK18" s="257"/>
      <c r="AL18" s="257">
        <f t="shared" si="13"/>
        <v>0.6</v>
      </c>
      <c r="AM18" s="52"/>
      <c r="AN18" s="88"/>
    </row>
    <row r="19" spans="1:40" s="29" customFormat="1" ht="17.25" customHeight="1">
      <c r="A19" s="48">
        <v>9</v>
      </c>
      <c r="B19" s="49">
        <f t="shared" si="6"/>
        <v>45584</v>
      </c>
      <c r="C19" s="220">
        <f t="shared" si="7"/>
        <v>1049</v>
      </c>
      <c r="D19" s="220">
        <f t="shared" ref="D19" si="16">D18+32</f>
        <v>2202</v>
      </c>
      <c r="E19" s="220">
        <f t="shared" si="8"/>
        <v>3251</v>
      </c>
      <c r="F19" s="220">
        <f t="shared" si="0"/>
        <v>627</v>
      </c>
      <c r="G19" s="220">
        <f t="shared" si="1"/>
        <v>736</v>
      </c>
      <c r="H19" s="220">
        <f t="shared" si="2"/>
        <v>757</v>
      </c>
      <c r="I19" s="220">
        <f t="shared" si="3"/>
        <v>744</v>
      </c>
      <c r="J19" s="220">
        <f t="shared" si="4"/>
        <v>717</v>
      </c>
      <c r="K19" s="220">
        <f t="shared" si="5"/>
        <v>2624</v>
      </c>
      <c r="L19" s="220">
        <f t="shared" si="5"/>
        <v>2515</v>
      </c>
      <c r="M19" s="220">
        <f t="shared" si="5"/>
        <v>2494</v>
      </c>
      <c r="N19" s="220">
        <f t="shared" si="5"/>
        <v>2507</v>
      </c>
      <c r="O19" s="220">
        <f t="shared" si="5"/>
        <v>2534</v>
      </c>
      <c r="P19" s="220">
        <f t="shared" si="9"/>
        <v>2000</v>
      </c>
      <c r="Q19" s="220">
        <f t="shared" si="9"/>
        <v>2000</v>
      </c>
      <c r="R19" s="220">
        <f t="shared" si="9"/>
        <v>2000</v>
      </c>
      <c r="S19" s="220">
        <f t="shared" si="9"/>
        <v>2000</v>
      </c>
      <c r="T19" s="220">
        <f t="shared" si="9"/>
        <v>2000</v>
      </c>
      <c r="U19" s="220">
        <f t="shared" si="10"/>
        <v>624</v>
      </c>
      <c r="V19" s="220">
        <f t="shared" si="10"/>
        <v>515</v>
      </c>
      <c r="W19" s="220">
        <f t="shared" si="10"/>
        <v>494</v>
      </c>
      <c r="X19" s="220">
        <f t="shared" si="10"/>
        <v>507</v>
      </c>
      <c r="Y19" s="220">
        <f t="shared" si="10"/>
        <v>534</v>
      </c>
      <c r="Z19" s="220">
        <v>4</v>
      </c>
      <c r="AA19" s="220">
        <v>7</v>
      </c>
      <c r="AB19" s="220">
        <v>8</v>
      </c>
      <c r="AC19" s="220">
        <v>7</v>
      </c>
      <c r="AD19" s="220">
        <v>4</v>
      </c>
      <c r="AE19" s="220">
        <f t="shared" si="11"/>
        <v>-25</v>
      </c>
      <c r="AF19" s="220">
        <f t="shared" si="11"/>
        <v>-54</v>
      </c>
      <c r="AG19" s="220">
        <f t="shared" si="11"/>
        <v>-55</v>
      </c>
      <c r="AH19" s="220">
        <f t="shared" si="11"/>
        <v>-52</v>
      </c>
      <c r="AI19" s="220">
        <f t="shared" si="11"/>
        <v>-25</v>
      </c>
      <c r="AJ19" s="50">
        <f t="shared" si="12"/>
        <v>1.0939999999999999</v>
      </c>
      <c r="AK19" s="257"/>
      <c r="AL19" s="257">
        <f t="shared" si="13"/>
        <v>0.6</v>
      </c>
      <c r="AM19" s="52"/>
      <c r="AN19" s="88"/>
    </row>
    <row r="20" spans="1:40" s="29" customFormat="1" ht="17.25" customHeight="1">
      <c r="A20" s="48">
        <v>10</v>
      </c>
      <c r="B20" s="49">
        <f t="shared" si="6"/>
        <v>45585</v>
      </c>
      <c r="C20" s="220">
        <f t="shared" si="7"/>
        <v>1049</v>
      </c>
      <c r="D20" s="220">
        <f t="shared" ref="D20" si="17">D19-18</f>
        <v>2184</v>
      </c>
      <c r="E20" s="220">
        <f t="shared" si="8"/>
        <v>3233</v>
      </c>
      <c r="F20" s="220">
        <f t="shared" si="0"/>
        <v>612</v>
      </c>
      <c r="G20" s="220">
        <f t="shared" si="1"/>
        <v>727</v>
      </c>
      <c r="H20" s="220">
        <f t="shared" si="2"/>
        <v>746</v>
      </c>
      <c r="I20" s="220">
        <f t="shared" si="3"/>
        <v>735</v>
      </c>
      <c r="J20" s="220">
        <f t="shared" si="4"/>
        <v>702</v>
      </c>
      <c r="K20" s="220">
        <f t="shared" si="5"/>
        <v>2621</v>
      </c>
      <c r="L20" s="220">
        <f t="shared" si="5"/>
        <v>2506</v>
      </c>
      <c r="M20" s="220">
        <f t="shared" si="5"/>
        <v>2487</v>
      </c>
      <c r="N20" s="220">
        <f t="shared" si="5"/>
        <v>2498</v>
      </c>
      <c r="O20" s="220">
        <f t="shared" si="5"/>
        <v>2531</v>
      </c>
      <c r="P20" s="220">
        <f t="shared" si="9"/>
        <v>2000</v>
      </c>
      <c r="Q20" s="220">
        <f t="shared" si="9"/>
        <v>2000</v>
      </c>
      <c r="R20" s="220">
        <f t="shared" si="9"/>
        <v>2000</v>
      </c>
      <c r="S20" s="220">
        <f t="shared" si="9"/>
        <v>2000</v>
      </c>
      <c r="T20" s="220">
        <f t="shared" si="9"/>
        <v>2000</v>
      </c>
      <c r="U20" s="220">
        <f t="shared" si="10"/>
        <v>621</v>
      </c>
      <c r="V20" s="220">
        <f t="shared" si="10"/>
        <v>506</v>
      </c>
      <c r="W20" s="220">
        <f t="shared" si="10"/>
        <v>487</v>
      </c>
      <c r="X20" s="220">
        <f t="shared" si="10"/>
        <v>498</v>
      </c>
      <c r="Y20" s="220">
        <f t="shared" si="10"/>
        <v>531</v>
      </c>
      <c r="Z20" s="220">
        <v>3</v>
      </c>
      <c r="AA20" s="220">
        <v>9</v>
      </c>
      <c r="AB20" s="220">
        <v>7</v>
      </c>
      <c r="AC20" s="220">
        <v>9</v>
      </c>
      <c r="AD20" s="220">
        <v>3</v>
      </c>
      <c r="AE20" s="220">
        <f t="shared" si="11"/>
        <v>-28</v>
      </c>
      <c r="AF20" s="220">
        <f t="shared" si="11"/>
        <v>-63</v>
      </c>
      <c r="AG20" s="220">
        <f t="shared" si="11"/>
        <v>-62</v>
      </c>
      <c r="AH20" s="220">
        <f t="shared" si="11"/>
        <v>-61</v>
      </c>
      <c r="AI20" s="220">
        <f t="shared" si="11"/>
        <v>-28</v>
      </c>
      <c r="AJ20" s="50">
        <f t="shared" si="12"/>
        <v>1.087</v>
      </c>
      <c r="AK20" s="257"/>
      <c r="AL20" s="257">
        <f t="shared" si="13"/>
        <v>0.6</v>
      </c>
      <c r="AM20" s="52"/>
      <c r="AN20" s="88"/>
    </row>
    <row r="21" spans="1:40" s="29" customFormat="1" ht="17.25" customHeight="1">
      <c r="A21" s="48">
        <v>11</v>
      </c>
      <c r="B21" s="49">
        <f t="shared" si="6"/>
        <v>45586</v>
      </c>
      <c r="C21" s="220">
        <f t="shared" si="7"/>
        <v>1049</v>
      </c>
      <c r="D21" s="220">
        <f t="shared" ref="D21" si="18">D20-26</f>
        <v>2158</v>
      </c>
      <c r="E21" s="220">
        <f t="shared" si="8"/>
        <v>3207</v>
      </c>
      <c r="F21" s="220">
        <f t="shared" si="0"/>
        <v>591</v>
      </c>
      <c r="G21" s="220">
        <f t="shared" si="1"/>
        <v>710</v>
      </c>
      <c r="H21" s="220">
        <f t="shared" si="2"/>
        <v>727</v>
      </c>
      <c r="I21" s="220">
        <f t="shared" si="3"/>
        <v>718</v>
      </c>
      <c r="J21" s="220">
        <f t="shared" si="4"/>
        <v>681</v>
      </c>
      <c r="K21" s="220">
        <f t="shared" si="5"/>
        <v>2616</v>
      </c>
      <c r="L21" s="220">
        <f t="shared" si="5"/>
        <v>2497</v>
      </c>
      <c r="M21" s="220">
        <f t="shared" si="5"/>
        <v>2480</v>
      </c>
      <c r="N21" s="220">
        <f t="shared" si="5"/>
        <v>2489</v>
      </c>
      <c r="O21" s="220">
        <f t="shared" si="5"/>
        <v>2526</v>
      </c>
      <c r="P21" s="220">
        <f t="shared" si="9"/>
        <v>2000</v>
      </c>
      <c r="Q21" s="220">
        <f t="shared" si="9"/>
        <v>2000</v>
      </c>
      <c r="R21" s="220">
        <f t="shared" si="9"/>
        <v>2000</v>
      </c>
      <c r="S21" s="220">
        <f t="shared" si="9"/>
        <v>2000</v>
      </c>
      <c r="T21" s="220">
        <f t="shared" si="9"/>
        <v>2000</v>
      </c>
      <c r="U21" s="220">
        <f t="shared" si="10"/>
        <v>616</v>
      </c>
      <c r="V21" s="220">
        <f t="shared" si="10"/>
        <v>497</v>
      </c>
      <c r="W21" s="220">
        <f t="shared" si="10"/>
        <v>480</v>
      </c>
      <c r="X21" s="220">
        <f t="shared" si="10"/>
        <v>489</v>
      </c>
      <c r="Y21" s="220">
        <f t="shared" si="10"/>
        <v>526</v>
      </c>
      <c r="Z21" s="220">
        <v>5</v>
      </c>
      <c r="AA21" s="220">
        <v>9</v>
      </c>
      <c r="AB21" s="220">
        <v>7</v>
      </c>
      <c r="AC21" s="220">
        <v>9</v>
      </c>
      <c r="AD21" s="220">
        <v>5</v>
      </c>
      <c r="AE21" s="220">
        <f t="shared" si="11"/>
        <v>-33</v>
      </c>
      <c r="AF21" s="220">
        <f t="shared" si="11"/>
        <v>-72</v>
      </c>
      <c r="AG21" s="220">
        <f t="shared" si="11"/>
        <v>-69</v>
      </c>
      <c r="AH21" s="220">
        <f t="shared" si="11"/>
        <v>-70</v>
      </c>
      <c r="AI21" s="220">
        <f t="shared" si="11"/>
        <v>-33</v>
      </c>
      <c r="AJ21" s="50">
        <f t="shared" si="12"/>
        <v>1.08</v>
      </c>
      <c r="AK21" s="257"/>
      <c r="AL21" s="257">
        <f t="shared" si="13"/>
        <v>0.6</v>
      </c>
      <c r="AM21" s="52"/>
      <c r="AN21" s="88"/>
    </row>
    <row r="22" spans="1:40" s="261" customFormat="1" ht="17.25" customHeight="1">
      <c r="A22" s="76">
        <v>12</v>
      </c>
      <c r="B22" s="77">
        <f t="shared" si="6"/>
        <v>45587</v>
      </c>
      <c r="C22" s="213">
        <f t="shared" si="7"/>
        <v>1049</v>
      </c>
      <c r="D22" s="213">
        <f t="shared" ref="D22" si="19">D21+15</f>
        <v>2173</v>
      </c>
      <c r="E22" s="213">
        <f t="shared" si="8"/>
        <v>3222</v>
      </c>
      <c r="F22" s="213">
        <f t="shared" si="0"/>
        <v>610</v>
      </c>
      <c r="G22" s="213">
        <f t="shared" si="1"/>
        <v>733</v>
      </c>
      <c r="H22" s="213">
        <f t="shared" si="2"/>
        <v>748</v>
      </c>
      <c r="I22" s="213">
        <f t="shared" si="3"/>
        <v>741</v>
      </c>
      <c r="J22" s="213">
        <f t="shared" si="4"/>
        <v>703</v>
      </c>
      <c r="K22" s="213">
        <f t="shared" si="5"/>
        <v>2612</v>
      </c>
      <c r="L22" s="213">
        <f t="shared" si="5"/>
        <v>2489</v>
      </c>
      <c r="M22" s="213">
        <f t="shared" si="5"/>
        <v>2474</v>
      </c>
      <c r="N22" s="213">
        <f t="shared" si="5"/>
        <v>2481</v>
      </c>
      <c r="O22" s="213">
        <f t="shared" si="5"/>
        <v>2519</v>
      </c>
      <c r="P22" s="213">
        <f t="shared" si="9"/>
        <v>2000</v>
      </c>
      <c r="Q22" s="213">
        <f t="shared" si="9"/>
        <v>2000</v>
      </c>
      <c r="R22" s="213">
        <f t="shared" si="9"/>
        <v>2000</v>
      </c>
      <c r="S22" s="213">
        <f t="shared" si="9"/>
        <v>2000</v>
      </c>
      <c r="T22" s="213">
        <f t="shared" si="9"/>
        <v>2000</v>
      </c>
      <c r="U22" s="213">
        <f t="shared" si="10"/>
        <v>612</v>
      </c>
      <c r="V22" s="213">
        <f t="shared" si="10"/>
        <v>489</v>
      </c>
      <c r="W22" s="213">
        <f t="shared" si="10"/>
        <v>474</v>
      </c>
      <c r="X22" s="213">
        <f t="shared" si="10"/>
        <v>481</v>
      </c>
      <c r="Y22" s="213">
        <f t="shared" si="10"/>
        <v>519</v>
      </c>
      <c r="Z22" s="213">
        <v>4</v>
      </c>
      <c r="AA22" s="213">
        <v>8</v>
      </c>
      <c r="AB22" s="213">
        <v>6</v>
      </c>
      <c r="AC22" s="213">
        <v>8</v>
      </c>
      <c r="AD22" s="213">
        <v>7</v>
      </c>
      <c r="AE22" s="213">
        <f t="shared" si="11"/>
        <v>-37</v>
      </c>
      <c r="AF22" s="213">
        <f t="shared" si="11"/>
        <v>-80</v>
      </c>
      <c r="AG22" s="213">
        <f t="shared" si="11"/>
        <v>-75</v>
      </c>
      <c r="AH22" s="213">
        <f t="shared" si="11"/>
        <v>-78</v>
      </c>
      <c r="AI22" s="213">
        <f t="shared" si="11"/>
        <v>-40</v>
      </c>
      <c r="AJ22" s="78">
        <f t="shared" si="12"/>
        <v>1.3740000000000001</v>
      </c>
      <c r="AK22" s="259">
        <v>0.3</v>
      </c>
      <c r="AL22" s="259">
        <f t="shared" si="13"/>
        <v>0.89999999999999991</v>
      </c>
      <c r="AM22" s="81"/>
      <c r="AN22" s="260"/>
    </row>
    <row r="23" spans="1:40" s="29" customFormat="1" ht="17.25" customHeight="1">
      <c r="A23" s="48">
        <v>13</v>
      </c>
      <c r="B23" s="49">
        <f t="shared" si="6"/>
        <v>45588</v>
      </c>
      <c r="C23" s="220">
        <f t="shared" si="7"/>
        <v>1049</v>
      </c>
      <c r="D23" s="220">
        <f t="shared" ref="D23" si="20">D22+26</f>
        <v>2199</v>
      </c>
      <c r="E23" s="220">
        <f t="shared" si="8"/>
        <v>3248</v>
      </c>
      <c r="F23" s="220">
        <f t="shared" si="0"/>
        <v>639</v>
      </c>
      <c r="G23" s="220">
        <f t="shared" si="1"/>
        <v>766</v>
      </c>
      <c r="H23" s="220">
        <f t="shared" si="2"/>
        <v>780</v>
      </c>
      <c r="I23" s="220">
        <f t="shared" si="3"/>
        <v>774</v>
      </c>
      <c r="J23" s="220">
        <f t="shared" si="4"/>
        <v>736</v>
      </c>
      <c r="K23" s="220">
        <f t="shared" si="5"/>
        <v>2609</v>
      </c>
      <c r="L23" s="220">
        <f t="shared" si="5"/>
        <v>2482</v>
      </c>
      <c r="M23" s="220">
        <f t="shared" si="5"/>
        <v>2468</v>
      </c>
      <c r="N23" s="220">
        <f t="shared" si="5"/>
        <v>2474</v>
      </c>
      <c r="O23" s="220">
        <f t="shared" si="5"/>
        <v>2512</v>
      </c>
      <c r="P23" s="220">
        <f t="shared" si="9"/>
        <v>2000</v>
      </c>
      <c r="Q23" s="220">
        <f t="shared" si="9"/>
        <v>2000</v>
      </c>
      <c r="R23" s="220">
        <f t="shared" si="9"/>
        <v>2000</v>
      </c>
      <c r="S23" s="220">
        <f t="shared" si="9"/>
        <v>2000</v>
      </c>
      <c r="T23" s="220">
        <f t="shared" si="9"/>
        <v>2000</v>
      </c>
      <c r="U23" s="220">
        <f t="shared" si="10"/>
        <v>609</v>
      </c>
      <c r="V23" s="220">
        <f t="shared" si="10"/>
        <v>482</v>
      </c>
      <c r="W23" s="220">
        <f t="shared" si="10"/>
        <v>468</v>
      </c>
      <c r="X23" s="220">
        <f t="shared" si="10"/>
        <v>474</v>
      </c>
      <c r="Y23" s="220">
        <f t="shared" si="10"/>
        <v>512</v>
      </c>
      <c r="Z23" s="220">
        <v>3</v>
      </c>
      <c r="AA23" s="220">
        <v>7</v>
      </c>
      <c r="AB23" s="220">
        <v>6</v>
      </c>
      <c r="AC23" s="220">
        <v>7</v>
      </c>
      <c r="AD23" s="220">
        <v>7</v>
      </c>
      <c r="AE23" s="220">
        <f t="shared" si="11"/>
        <v>-40</v>
      </c>
      <c r="AF23" s="220">
        <f t="shared" si="11"/>
        <v>-87</v>
      </c>
      <c r="AG23" s="220">
        <f t="shared" si="11"/>
        <v>-81</v>
      </c>
      <c r="AH23" s="220">
        <f t="shared" si="11"/>
        <v>-85</v>
      </c>
      <c r="AI23" s="220">
        <f t="shared" si="11"/>
        <v>-47</v>
      </c>
      <c r="AJ23" s="50">
        <f t="shared" si="12"/>
        <v>1.3680000000000001</v>
      </c>
      <c r="AK23" s="257"/>
      <c r="AL23" s="257">
        <f t="shared" si="13"/>
        <v>0.89999999999999991</v>
      </c>
      <c r="AM23" s="52"/>
      <c r="AN23" s="88"/>
    </row>
    <row r="24" spans="1:40" s="29" customFormat="1" ht="17.25" customHeight="1">
      <c r="A24" s="48">
        <v>14</v>
      </c>
      <c r="B24" s="49">
        <f t="shared" si="6"/>
        <v>45589</v>
      </c>
      <c r="C24" s="220">
        <f t="shared" si="7"/>
        <v>1049</v>
      </c>
      <c r="D24" s="220">
        <f t="shared" ref="D24" si="21">D23+32</f>
        <v>2231</v>
      </c>
      <c r="E24" s="220">
        <f t="shared" si="8"/>
        <v>3280</v>
      </c>
      <c r="F24" s="220">
        <f t="shared" si="0"/>
        <v>675</v>
      </c>
      <c r="G24" s="220">
        <f t="shared" si="1"/>
        <v>803</v>
      </c>
      <c r="H24" s="220">
        <f t="shared" si="2"/>
        <v>817</v>
      </c>
      <c r="I24" s="220">
        <f t="shared" si="3"/>
        <v>811</v>
      </c>
      <c r="J24" s="220">
        <f t="shared" si="4"/>
        <v>775</v>
      </c>
      <c r="K24" s="220">
        <f t="shared" si="5"/>
        <v>2605</v>
      </c>
      <c r="L24" s="220">
        <f t="shared" si="5"/>
        <v>2477</v>
      </c>
      <c r="M24" s="220">
        <f t="shared" si="5"/>
        <v>2463</v>
      </c>
      <c r="N24" s="220">
        <f t="shared" si="5"/>
        <v>2469</v>
      </c>
      <c r="O24" s="220">
        <f t="shared" si="5"/>
        <v>2505</v>
      </c>
      <c r="P24" s="220">
        <f t="shared" si="9"/>
        <v>2000</v>
      </c>
      <c r="Q24" s="220">
        <f t="shared" si="9"/>
        <v>2000</v>
      </c>
      <c r="R24" s="220">
        <f t="shared" si="9"/>
        <v>2000</v>
      </c>
      <c r="S24" s="220">
        <f t="shared" si="9"/>
        <v>2000</v>
      </c>
      <c r="T24" s="220">
        <f t="shared" si="9"/>
        <v>2000</v>
      </c>
      <c r="U24" s="220">
        <f t="shared" si="10"/>
        <v>605</v>
      </c>
      <c r="V24" s="220">
        <f t="shared" si="10"/>
        <v>477</v>
      </c>
      <c r="W24" s="220">
        <f t="shared" si="10"/>
        <v>463</v>
      </c>
      <c r="X24" s="220">
        <f t="shared" si="10"/>
        <v>469</v>
      </c>
      <c r="Y24" s="220">
        <f t="shared" si="10"/>
        <v>505</v>
      </c>
      <c r="Z24" s="220">
        <v>4</v>
      </c>
      <c r="AA24" s="220">
        <v>5</v>
      </c>
      <c r="AB24" s="220">
        <v>5</v>
      </c>
      <c r="AC24" s="220">
        <v>5</v>
      </c>
      <c r="AD24" s="220">
        <v>7</v>
      </c>
      <c r="AE24" s="220">
        <f t="shared" si="11"/>
        <v>-44</v>
      </c>
      <c r="AF24" s="220">
        <f t="shared" si="11"/>
        <v>-92</v>
      </c>
      <c r="AG24" s="220">
        <f t="shared" si="11"/>
        <v>-86</v>
      </c>
      <c r="AH24" s="220">
        <f t="shared" si="11"/>
        <v>-90</v>
      </c>
      <c r="AI24" s="220">
        <f t="shared" si="11"/>
        <v>-54</v>
      </c>
      <c r="AJ24" s="50">
        <f t="shared" si="12"/>
        <v>1.3630000000000002</v>
      </c>
      <c r="AK24" s="257"/>
      <c r="AL24" s="257">
        <f t="shared" si="13"/>
        <v>0.89999999999999991</v>
      </c>
      <c r="AM24" s="52"/>
      <c r="AN24" s="88"/>
    </row>
    <row r="25" spans="1:40" s="29" customFormat="1" ht="17.25" customHeight="1">
      <c r="A25" s="48">
        <v>15</v>
      </c>
      <c r="B25" s="49">
        <f t="shared" si="6"/>
        <v>45590</v>
      </c>
      <c r="C25" s="220">
        <f t="shared" si="7"/>
        <v>1049</v>
      </c>
      <c r="D25" s="220">
        <f t="shared" ref="D25" si="22">D24-18</f>
        <v>2213</v>
      </c>
      <c r="E25" s="220">
        <f t="shared" si="8"/>
        <v>3262</v>
      </c>
      <c r="F25" s="220">
        <f t="shared" si="0"/>
        <v>660</v>
      </c>
      <c r="G25" s="220">
        <f t="shared" si="1"/>
        <v>794</v>
      </c>
      <c r="H25" s="220">
        <f t="shared" si="2"/>
        <v>804</v>
      </c>
      <c r="I25" s="220">
        <f t="shared" si="3"/>
        <v>802</v>
      </c>
      <c r="J25" s="220">
        <f t="shared" si="4"/>
        <v>763</v>
      </c>
      <c r="K25" s="220">
        <f t="shared" si="5"/>
        <v>2602</v>
      </c>
      <c r="L25" s="220">
        <f t="shared" si="5"/>
        <v>2468</v>
      </c>
      <c r="M25" s="220">
        <f t="shared" si="5"/>
        <v>2458</v>
      </c>
      <c r="N25" s="220">
        <f t="shared" si="5"/>
        <v>2460</v>
      </c>
      <c r="O25" s="220">
        <f t="shared" si="5"/>
        <v>2499</v>
      </c>
      <c r="P25" s="220">
        <f t="shared" si="9"/>
        <v>2000</v>
      </c>
      <c r="Q25" s="220">
        <f t="shared" si="9"/>
        <v>2000</v>
      </c>
      <c r="R25" s="220">
        <f t="shared" si="9"/>
        <v>2000</v>
      </c>
      <c r="S25" s="220">
        <f t="shared" si="9"/>
        <v>2000</v>
      </c>
      <c r="T25" s="220">
        <f t="shared" si="9"/>
        <v>2000</v>
      </c>
      <c r="U25" s="220">
        <f t="shared" si="10"/>
        <v>602</v>
      </c>
      <c r="V25" s="220">
        <f t="shared" si="10"/>
        <v>468</v>
      </c>
      <c r="W25" s="220">
        <f t="shared" si="10"/>
        <v>458</v>
      </c>
      <c r="X25" s="220">
        <f t="shared" si="10"/>
        <v>460</v>
      </c>
      <c r="Y25" s="220">
        <f t="shared" si="10"/>
        <v>499</v>
      </c>
      <c r="Z25" s="220">
        <v>3</v>
      </c>
      <c r="AA25" s="220">
        <v>9</v>
      </c>
      <c r="AB25" s="220">
        <v>5</v>
      </c>
      <c r="AC25" s="220">
        <v>9</v>
      </c>
      <c r="AD25" s="220">
        <v>6</v>
      </c>
      <c r="AE25" s="220">
        <f t="shared" si="11"/>
        <v>-47</v>
      </c>
      <c r="AF25" s="220">
        <f t="shared" si="11"/>
        <v>-101</v>
      </c>
      <c r="AG25" s="220">
        <f t="shared" si="11"/>
        <v>-91</v>
      </c>
      <c r="AH25" s="220">
        <f t="shared" si="11"/>
        <v>-99</v>
      </c>
      <c r="AI25" s="220">
        <f t="shared" si="11"/>
        <v>-60</v>
      </c>
      <c r="AJ25" s="50">
        <f t="shared" si="12"/>
        <v>1.3580000000000003</v>
      </c>
      <c r="AK25" s="257"/>
      <c r="AL25" s="257">
        <f t="shared" si="13"/>
        <v>0.89999999999999991</v>
      </c>
      <c r="AM25" s="52"/>
      <c r="AN25" s="88"/>
    </row>
    <row r="26" spans="1:40" s="261" customFormat="1" ht="17.25" customHeight="1">
      <c r="A26" s="76">
        <v>16</v>
      </c>
      <c r="B26" s="77">
        <f t="shared" si="6"/>
        <v>45591</v>
      </c>
      <c r="C26" s="213">
        <f t="shared" si="7"/>
        <v>1049</v>
      </c>
      <c r="D26" s="213">
        <f t="shared" ref="D26" si="23">D25-26</f>
        <v>2187</v>
      </c>
      <c r="E26" s="213">
        <f t="shared" si="8"/>
        <v>3236</v>
      </c>
      <c r="F26" s="213">
        <f t="shared" si="0"/>
        <v>641</v>
      </c>
      <c r="G26" s="213">
        <f t="shared" si="1"/>
        <v>775</v>
      </c>
      <c r="H26" s="213">
        <f t="shared" si="2"/>
        <v>786</v>
      </c>
      <c r="I26" s="213">
        <f t="shared" si="3"/>
        <v>783</v>
      </c>
      <c r="J26" s="213">
        <f t="shared" si="4"/>
        <v>742</v>
      </c>
      <c r="K26" s="213">
        <f t="shared" si="5"/>
        <v>2595</v>
      </c>
      <c r="L26" s="213">
        <f t="shared" si="5"/>
        <v>2461</v>
      </c>
      <c r="M26" s="213">
        <f t="shared" si="5"/>
        <v>2450</v>
      </c>
      <c r="N26" s="213">
        <f t="shared" si="5"/>
        <v>2453</v>
      </c>
      <c r="O26" s="213">
        <f t="shared" si="5"/>
        <v>2494</v>
      </c>
      <c r="P26" s="213">
        <f t="shared" si="9"/>
        <v>2000</v>
      </c>
      <c r="Q26" s="213">
        <f t="shared" si="9"/>
        <v>2000</v>
      </c>
      <c r="R26" s="213">
        <f t="shared" si="9"/>
        <v>2000</v>
      </c>
      <c r="S26" s="213">
        <f t="shared" si="9"/>
        <v>2000</v>
      </c>
      <c r="T26" s="213">
        <f t="shared" si="9"/>
        <v>2000</v>
      </c>
      <c r="U26" s="213">
        <f t="shared" si="10"/>
        <v>595</v>
      </c>
      <c r="V26" s="213">
        <f t="shared" si="10"/>
        <v>461</v>
      </c>
      <c r="W26" s="213">
        <f t="shared" si="10"/>
        <v>450</v>
      </c>
      <c r="X26" s="213">
        <f t="shared" si="10"/>
        <v>453</v>
      </c>
      <c r="Y26" s="213">
        <f t="shared" si="10"/>
        <v>494</v>
      </c>
      <c r="Z26" s="213">
        <v>7</v>
      </c>
      <c r="AA26" s="213">
        <v>7</v>
      </c>
      <c r="AB26" s="213">
        <v>8</v>
      </c>
      <c r="AC26" s="213">
        <v>7</v>
      </c>
      <c r="AD26" s="213">
        <v>5</v>
      </c>
      <c r="AE26" s="213">
        <f t="shared" si="11"/>
        <v>-54</v>
      </c>
      <c r="AF26" s="213">
        <f t="shared" si="11"/>
        <v>-108</v>
      </c>
      <c r="AG26" s="213">
        <f t="shared" si="11"/>
        <v>-99</v>
      </c>
      <c r="AH26" s="213">
        <f t="shared" si="11"/>
        <v>-106</v>
      </c>
      <c r="AI26" s="213">
        <f t="shared" si="11"/>
        <v>-65</v>
      </c>
      <c r="AJ26" s="78">
        <f t="shared" si="12"/>
        <v>1.6500000000000004</v>
      </c>
      <c r="AK26" s="259">
        <v>0.3</v>
      </c>
      <c r="AL26" s="259">
        <f t="shared" si="13"/>
        <v>1.2</v>
      </c>
      <c r="AM26" s="81"/>
      <c r="AN26" s="260"/>
    </row>
    <row r="27" spans="1:40" s="29" customFormat="1" ht="17.25" customHeight="1">
      <c r="A27" s="48">
        <v>17</v>
      </c>
      <c r="B27" s="49">
        <f t="shared" si="6"/>
        <v>45592</v>
      </c>
      <c r="C27" s="220">
        <f t="shared" si="7"/>
        <v>1049</v>
      </c>
      <c r="D27" s="220">
        <f t="shared" ref="D27" si="24">D26+15</f>
        <v>2202</v>
      </c>
      <c r="E27" s="220">
        <f t="shared" si="8"/>
        <v>3251</v>
      </c>
      <c r="F27" s="220">
        <f t="shared" si="0"/>
        <v>664</v>
      </c>
      <c r="G27" s="220">
        <f t="shared" si="1"/>
        <v>797</v>
      </c>
      <c r="H27" s="220">
        <f t="shared" si="2"/>
        <v>809</v>
      </c>
      <c r="I27" s="220">
        <f t="shared" si="3"/>
        <v>804</v>
      </c>
      <c r="J27" s="220">
        <f t="shared" si="4"/>
        <v>765</v>
      </c>
      <c r="K27" s="220">
        <f t="shared" si="5"/>
        <v>2587</v>
      </c>
      <c r="L27" s="220">
        <f t="shared" si="5"/>
        <v>2454</v>
      </c>
      <c r="M27" s="220">
        <f t="shared" si="5"/>
        <v>2442</v>
      </c>
      <c r="N27" s="220">
        <f t="shared" si="5"/>
        <v>2447</v>
      </c>
      <c r="O27" s="220">
        <f t="shared" si="5"/>
        <v>2486</v>
      </c>
      <c r="P27" s="220">
        <f t="shared" si="9"/>
        <v>2000</v>
      </c>
      <c r="Q27" s="220">
        <f t="shared" si="9"/>
        <v>2000</v>
      </c>
      <c r="R27" s="220">
        <f t="shared" si="9"/>
        <v>2000</v>
      </c>
      <c r="S27" s="220">
        <f t="shared" si="9"/>
        <v>2000</v>
      </c>
      <c r="T27" s="220">
        <f t="shared" si="9"/>
        <v>2000</v>
      </c>
      <c r="U27" s="220">
        <f t="shared" si="10"/>
        <v>587</v>
      </c>
      <c r="V27" s="220">
        <f t="shared" si="10"/>
        <v>454</v>
      </c>
      <c r="W27" s="220">
        <f t="shared" si="10"/>
        <v>442</v>
      </c>
      <c r="X27" s="220">
        <f t="shared" si="10"/>
        <v>447</v>
      </c>
      <c r="Y27" s="220">
        <f t="shared" si="10"/>
        <v>486</v>
      </c>
      <c r="Z27" s="220">
        <v>8</v>
      </c>
      <c r="AA27" s="220">
        <v>7</v>
      </c>
      <c r="AB27" s="220">
        <v>8</v>
      </c>
      <c r="AC27" s="220">
        <v>6</v>
      </c>
      <c r="AD27" s="220">
        <v>8</v>
      </c>
      <c r="AE27" s="220">
        <f t="shared" si="11"/>
        <v>-62</v>
      </c>
      <c r="AF27" s="220">
        <f t="shared" si="11"/>
        <v>-115</v>
      </c>
      <c r="AG27" s="220">
        <f t="shared" si="11"/>
        <v>-107</v>
      </c>
      <c r="AH27" s="220">
        <f t="shared" si="11"/>
        <v>-112</v>
      </c>
      <c r="AI27" s="220">
        <f t="shared" si="11"/>
        <v>-73</v>
      </c>
      <c r="AJ27" s="50">
        <f t="shared" si="12"/>
        <v>1.6420000000000003</v>
      </c>
      <c r="AK27" s="257"/>
      <c r="AL27" s="257">
        <f t="shared" si="13"/>
        <v>1.2</v>
      </c>
      <c r="AM27" s="52"/>
      <c r="AN27" s="88"/>
    </row>
    <row r="28" spans="1:40" s="29" customFormat="1" ht="17.25" customHeight="1">
      <c r="A28" s="48">
        <v>18</v>
      </c>
      <c r="B28" s="49">
        <f t="shared" si="6"/>
        <v>45593</v>
      </c>
      <c r="C28" s="220">
        <f t="shared" si="7"/>
        <v>1049</v>
      </c>
      <c r="D28" s="220">
        <f t="shared" ref="D28" si="25">D27+26</f>
        <v>2228</v>
      </c>
      <c r="E28" s="220">
        <f t="shared" si="8"/>
        <v>3277</v>
      </c>
      <c r="F28" s="220">
        <f t="shared" si="0"/>
        <v>697</v>
      </c>
      <c r="G28" s="220">
        <f t="shared" si="1"/>
        <v>830</v>
      </c>
      <c r="H28" s="220">
        <f t="shared" si="2"/>
        <v>843</v>
      </c>
      <c r="I28" s="220">
        <f t="shared" si="3"/>
        <v>836</v>
      </c>
      <c r="J28" s="220">
        <f t="shared" si="4"/>
        <v>798</v>
      </c>
      <c r="K28" s="220">
        <f t="shared" si="5"/>
        <v>2580</v>
      </c>
      <c r="L28" s="220">
        <f t="shared" si="5"/>
        <v>2447</v>
      </c>
      <c r="M28" s="220">
        <f t="shared" si="5"/>
        <v>2434</v>
      </c>
      <c r="N28" s="220">
        <f t="shared" si="5"/>
        <v>2441</v>
      </c>
      <c r="O28" s="220">
        <f t="shared" si="5"/>
        <v>2479</v>
      </c>
      <c r="P28" s="220">
        <f t="shared" si="9"/>
        <v>2000</v>
      </c>
      <c r="Q28" s="220">
        <f t="shared" si="9"/>
        <v>2000</v>
      </c>
      <c r="R28" s="220">
        <f t="shared" si="9"/>
        <v>2000</v>
      </c>
      <c r="S28" s="220">
        <f t="shared" si="9"/>
        <v>2000</v>
      </c>
      <c r="T28" s="220">
        <f t="shared" si="9"/>
        <v>2000</v>
      </c>
      <c r="U28" s="220">
        <f t="shared" si="10"/>
        <v>580</v>
      </c>
      <c r="V28" s="220">
        <f t="shared" si="10"/>
        <v>447</v>
      </c>
      <c r="W28" s="220">
        <f t="shared" si="10"/>
        <v>434</v>
      </c>
      <c r="X28" s="220">
        <f t="shared" si="10"/>
        <v>441</v>
      </c>
      <c r="Y28" s="220">
        <f t="shared" si="10"/>
        <v>479</v>
      </c>
      <c r="Z28" s="220">
        <v>7</v>
      </c>
      <c r="AA28" s="220">
        <v>7</v>
      </c>
      <c r="AB28" s="220">
        <v>8</v>
      </c>
      <c r="AC28" s="220">
        <v>6</v>
      </c>
      <c r="AD28" s="220">
        <v>7</v>
      </c>
      <c r="AE28" s="220">
        <f t="shared" si="11"/>
        <v>-69</v>
      </c>
      <c r="AF28" s="220">
        <f t="shared" si="11"/>
        <v>-122</v>
      </c>
      <c r="AG28" s="220">
        <f t="shared" si="11"/>
        <v>-115</v>
      </c>
      <c r="AH28" s="220">
        <f t="shared" si="11"/>
        <v>-118</v>
      </c>
      <c r="AI28" s="220">
        <f t="shared" si="11"/>
        <v>-80</v>
      </c>
      <c r="AJ28" s="50">
        <f t="shared" si="12"/>
        <v>1.6340000000000003</v>
      </c>
      <c r="AK28" s="257"/>
      <c r="AL28" s="257">
        <f t="shared" si="13"/>
        <v>1.2</v>
      </c>
      <c r="AM28" s="52"/>
      <c r="AN28" s="88"/>
    </row>
    <row r="29" spans="1:40" s="29" customFormat="1" ht="17.25" customHeight="1">
      <c r="A29" s="48">
        <v>19</v>
      </c>
      <c r="B29" s="49">
        <f t="shared" si="6"/>
        <v>45594</v>
      </c>
      <c r="C29" s="220">
        <f t="shared" si="7"/>
        <v>1049</v>
      </c>
      <c r="D29" s="220">
        <f t="shared" ref="D29" si="26">D28+32</f>
        <v>2260</v>
      </c>
      <c r="E29" s="220">
        <f t="shared" si="8"/>
        <v>3309</v>
      </c>
      <c r="F29" s="220">
        <f t="shared" si="0"/>
        <v>736</v>
      </c>
      <c r="G29" s="220">
        <f t="shared" si="1"/>
        <v>870</v>
      </c>
      <c r="H29" s="220">
        <f t="shared" si="2"/>
        <v>883</v>
      </c>
      <c r="I29" s="220">
        <f t="shared" si="3"/>
        <v>874</v>
      </c>
      <c r="J29" s="220">
        <f t="shared" si="4"/>
        <v>837</v>
      </c>
      <c r="K29" s="220">
        <f t="shared" si="5"/>
        <v>2573</v>
      </c>
      <c r="L29" s="220">
        <f t="shared" si="5"/>
        <v>2439</v>
      </c>
      <c r="M29" s="220">
        <f t="shared" si="5"/>
        <v>2426</v>
      </c>
      <c r="N29" s="220">
        <f t="shared" si="5"/>
        <v>2435</v>
      </c>
      <c r="O29" s="220">
        <f t="shared" si="5"/>
        <v>2472</v>
      </c>
      <c r="P29" s="220">
        <f t="shared" ref="P29:T44" si="27">+P28</f>
        <v>2000</v>
      </c>
      <c r="Q29" s="220">
        <f t="shared" si="27"/>
        <v>2000</v>
      </c>
      <c r="R29" s="220">
        <f t="shared" si="27"/>
        <v>2000</v>
      </c>
      <c r="S29" s="220">
        <f t="shared" si="27"/>
        <v>2000</v>
      </c>
      <c r="T29" s="220">
        <f t="shared" si="27"/>
        <v>2000</v>
      </c>
      <c r="U29" s="220">
        <f t="shared" ref="U29:Y44" si="28">U28-Z29</f>
        <v>573</v>
      </c>
      <c r="V29" s="220">
        <f t="shared" si="28"/>
        <v>439</v>
      </c>
      <c r="W29" s="220">
        <f t="shared" si="28"/>
        <v>426</v>
      </c>
      <c r="X29" s="220">
        <f t="shared" si="28"/>
        <v>435</v>
      </c>
      <c r="Y29" s="220">
        <f t="shared" si="28"/>
        <v>472</v>
      </c>
      <c r="Z29" s="220">
        <v>7</v>
      </c>
      <c r="AA29" s="220">
        <v>8</v>
      </c>
      <c r="AB29" s="220">
        <v>8</v>
      </c>
      <c r="AC29" s="220">
        <v>6</v>
      </c>
      <c r="AD29" s="220">
        <v>7</v>
      </c>
      <c r="AE29" s="220">
        <f t="shared" ref="AE29:AI44" si="29">AE28-Z29</f>
        <v>-76</v>
      </c>
      <c r="AF29" s="220">
        <f t="shared" si="29"/>
        <v>-130</v>
      </c>
      <c r="AG29" s="220">
        <f t="shared" si="29"/>
        <v>-123</v>
      </c>
      <c r="AH29" s="220">
        <f t="shared" si="29"/>
        <v>-124</v>
      </c>
      <c r="AI29" s="220">
        <f t="shared" si="29"/>
        <v>-87</v>
      </c>
      <c r="AJ29" s="50">
        <f t="shared" si="12"/>
        <v>1.6260000000000003</v>
      </c>
      <c r="AK29" s="257"/>
      <c r="AL29" s="257">
        <f t="shared" si="13"/>
        <v>1.2</v>
      </c>
      <c r="AM29" s="52"/>
      <c r="AN29" s="88"/>
    </row>
    <row r="30" spans="1:40" s="29" customFormat="1" ht="17.25" customHeight="1">
      <c r="A30" s="48">
        <v>20</v>
      </c>
      <c r="B30" s="49">
        <f t="shared" si="6"/>
        <v>45595</v>
      </c>
      <c r="C30" s="220">
        <f t="shared" si="7"/>
        <v>1049</v>
      </c>
      <c r="D30" s="220">
        <f t="shared" ref="D30" si="30">D29-18</f>
        <v>2242</v>
      </c>
      <c r="E30" s="220">
        <f t="shared" si="8"/>
        <v>3291</v>
      </c>
      <c r="F30" s="220">
        <f t="shared" si="0"/>
        <v>725</v>
      </c>
      <c r="G30" s="220">
        <f t="shared" si="1"/>
        <v>860</v>
      </c>
      <c r="H30" s="220">
        <f t="shared" si="2"/>
        <v>873</v>
      </c>
      <c r="I30" s="220">
        <f t="shared" si="3"/>
        <v>863</v>
      </c>
      <c r="J30" s="220">
        <f t="shared" si="4"/>
        <v>826</v>
      </c>
      <c r="K30" s="220">
        <f t="shared" si="5"/>
        <v>2566</v>
      </c>
      <c r="L30" s="220">
        <f t="shared" si="5"/>
        <v>2431</v>
      </c>
      <c r="M30" s="220">
        <f t="shared" si="5"/>
        <v>2418</v>
      </c>
      <c r="N30" s="220">
        <f t="shared" si="5"/>
        <v>2428</v>
      </c>
      <c r="O30" s="220">
        <f t="shared" si="5"/>
        <v>2465</v>
      </c>
      <c r="P30" s="220">
        <f t="shared" si="27"/>
        <v>2000</v>
      </c>
      <c r="Q30" s="220">
        <f t="shared" si="27"/>
        <v>2000</v>
      </c>
      <c r="R30" s="220">
        <f t="shared" si="27"/>
        <v>2000</v>
      </c>
      <c r="S30" s="220">
        <f t="shared" si="27"/>
        <v>2000</v>
      </c>
      <c r="T30" s="220">
        <f t="shared" si="27"/>
        <v>2000</v>
      </c>
      <c r="U30" s="220">
        <f t="shared" si="28"/>
        <v>566</v>
      </c>
      <c r="V30" s="220">
        <f t="shared" si="28"/>
        <v>431</v>
      </c>
      <c r="W30" s="220">
        <f t="shared" si="28"/>
        <v>418</v>
      </c>
      <c r="X30" s="220">
        <f t="shared" si="28"/>
        <v>428</v>
      </c>
      <c r="Y30" s="220">
        <f t="shared" si="28"/>
        <v>465</v>
      </c>
      <c r="Z30" s="220">
        <v>7</v>
      </c>
      <c r="AA30" s="220">
        <v>8</v>
      </c>
      <c r="AB30" s="220">
        <v>8</v>
      </c>
      <c r="AC30" s="220">
        <v>7</v>
      </c>
      <c r="AD30" s="220">
        <v>7</v>
      </c>
      <c r="AE30" s="220">
        <f t="shared" si="29"/>
        <v>-83</v>
      </c>
      <c r="AF30" s="220">
        <f t="shared" si="29"/>
        <v>-138</v>
      </c>
      <c r="AG30" s="220">
        <f t="shared" si="29"/>
        <v>-131</v>
      </c>
      <c r="AH30" s="220">
        <f t="shared" si="29"/>
        <v>-131</v>
      </c>
      <c r="AI30" s="220">
        <f t="shared" si="29"/>
        <v>-94</v>
      </c>
      <c r="AJ30" s="50">
        <f t="shared" si="12"/>
        <v>1.6180000000000003</v>
      </c>
      <c r="AK30" s="257"/>
      <c r="AL30" s="257">
        <f t="shared" si="13"/>
        <v>1.2</v>
      </c>
      <c r="AM30" s="52"/>
      <c r="AN30" s="88"/>
    </row>
    <row r="31" spans="1:40" s="29" customFormat="1" ht="17.25" customHeight="1">
      <c r="A31" s="48">
        <v>21</v>
      </c>
      <c r="B31" s="49">
        <f t="shared" si="6"/>
        <v>45596</v>
      </c>
      <c r="C31" s="220">
        <f t="shared" si="7"/>
        <v>1049</v>
      </c>
      <c r="D31" s="220">
        <f t="shared" ref="D31" si="31">D30-26</f>
        <v>2216</v>
      </c>
      <c r="E31" s="220">
        <f t="shared" si="8"/>
        <v>3265</v>
      </c>
      <c r="F31" s="220">
        <f t="shared" si="0"/>
        <v>705</v>
      </c>
      <c r="G31" s="220">
        <f t="shared" si="1"/>
        <v>842</v>
      </c>
      <c r="H31" s="220">
        <f t="shared" si="2"/>
        <v>855</v>
      </c>
      <c r="I31" s="220">
        <f t="shared" si="3"/>
        <v>843</v>
      </c>
      <c r="J31" s="220">
        <f t="shared" si="4"/>
        <v>806</v>
      </c>
      <c r="K31" s="220">
        <f t="shared" si="5"/>
        <v>2560</v>
      </c>
      <c r="L31" s="220">
        <f t="shared" si="5"/>
        <v>2423</v>
      </c>
      <c r="M31" s="220">
        <f t="shared" si="5"/>
        <v>2410</v>
      </c>
      <c r="N31" s="220">
        <f t="shared" si="5"/>
        <v>2422</v>
      </c>
      <c r="O31" s="220">
        <f t="shared" si="5"/>
        <v>2459</v>
      </c>
      <c r="P31" s="220">
        <f t="shared" si="27"/>
        <v>2000</v>
      </c>
      <c r="Q31" s="220">
        <f t="shared" si="27"/>
        <v>2000</v>
      </c>
      <c r="R31" s="220">
        <f t="shared" si="27"/>
        <v>2000</v>
      </c>
      <c r="S31" s="220">
        <f t="shared" si="27"/>
        <v>2000</v>
      </c>
      <c r="T31" s="220">
        <f t="shared" si="27"/>
        <v>2000</v>
      </c>
      <c r="U31" s="220">
        <f t="shared" si="28"/>
        <v>560</v>
      </c>
      <c r="V31" s="220">
        <f t="shared" si="28"/>
        <v>423</v>
      </c>
      <c r="W31" s="220">
        <f t="shared" si="28"/>
        <v>410</v>
      </c>
      <c r="X31" s="220">
        <f t="shared" si="28"/>
        <v>422</v>
      </c>
      <c r="Y31" s="220">
        <f t="shared" si="28"/>
        <v>459</v>
      </c>
      <c r="Z31" s="220">
        <v>6</v>
      </c>
      <c r="AA31" s="220">
        <v>8</v>
      </c>
      <c r="AB31" s="220">
        <v>8</v>
      </c>
      <c r="AC31" s="220">
        <v>6</v>
      </c>
      <c r="AD31" s="220">
        <v>6</v>
      </c>
      <c r="AE31" s="220">
        <f t="shared" si="29"/>
        <v>-89</v>
      </c>
      <c r="AF31" s="220">
        <f t="shared" si="29"/>
        <v>-146</v>
      </c>
      <c r="AG31" s="220">
        <f t="shared" si="29"/>
        <v>-139</v>
      </c>
      <c r="AH31" s="220">
        <f t="shared" si="29"/>
        <v>-137</v>
      </c>
      <c r="AI31" s="220">
        <f t="shared" si="29"/>
        <v>-100</v>
      </c>
      <c r="AJ31" s="50">
        <f t="shared" si="12"/>
        <v>1.6100000000000003</v>
      </c>
      <c r="AK31" s="257"/>
      <c r="AL31" s="257">
        <f t="shared" si="13"/>
        <v>1.2</v>
      </c>
      <c r="AM31" s="52"/>
      <c r="AN31" s="88"/>
    </row>
    <row r="32" spans="1:40" s="29" customFormat="1" ht="17.25" customHeight="1">
      <c r="A32" s="48">
        <v>22</v>
      </c>
      <c r="B32" s="49">
        <f t="shared" si="6"/>
        <v>45597</v>
      </c>
      <c r="C32" s="220">
        <f t="shared" si="7"/>
        <v>1049</v>
      </c>
      <c r="D32" s="220">
        <f t="shared" ref="D32" si="32">D31+15</f>
        <v>2231</v>
      </c>
      <c r="E32" s="220">
        <f t="shared" si="8"/>
        <v>3280</v>
      </c>
      <c r="F32" s="220">
        <f t="shared" si="0"/>
        <v>726</v>
      </c>
      <c r="G32" s="220">
        <f t="shared" si="1"/>
        <v>864</v>
      </c>
      <c r="H32" s="220">
        <f t="shared" si="2"/>
        <v>878</v>
      </c>
      <c r="I32" s="220">
        <f t="shared" si="3"/>
        <v>863</v>
      </c>
      <c r="J32" s="220">
        <f t="shared" si="4"/>
        <v>827</v>
      </c>
      <c r="K32" s="220">
        <f t="shared" si="5"/>
        <v>2554</v>
      </c>
      <c r="L32" s="220">
        <f t="shared" si="5"/>
        <v>2416</v>
      </c>
      <c r="M32" s="220">
        <f t="shared" si="5"/>
        <v>2402</v>
      </c>
      <c r="N32" s="220">
        <f t="shared" si="5"/>
        <v>2417</v>
      </c>
      <c r="O32" s="220">
        <f t="shared" si="5"/>
        <v>2453</v>
      </c>
      <c r="P32" s="220">
        <f t="shared" si="27"/>
        <v>2000</v>
      </c>
      <c r="Q32" s="220">
        <f t="shared" si="27"/>
        <v>2000</v>
      </c>
      <c r="R32" s="220">
        <f t="shared" si="27"/>
        <v>2000</v>
      </c>
      <c r="S32" s="220">
        <f t="shared" si="27"/>
        <v>2000</v>
      </c>
      <c r="T32" s="220">
        <f t="shared" si="27"/>
        <v>2000</v>
      </c>
      <c r="U32" s="220">
        <f t="shared" si="28"/>
        <v>554</v>
      </c>
      <c r="V32" s="220">
        <f t="shared" si="28"/>
        <v>416</v>
      </c>
      <c r="W32" s="220">
        <f t="shared" si="28"/>
        <v>402</v>
      </c>
      <c r="X32" s="220">
        <f t="shared" si="28"/>
        <v>417</v>
      </c>
      <c r="Y32" s="220">
        <f t="shared" si="28"/>
        <v>453</v>
      </c>
      <c r="Z32" s="220">
        <v>6</v>
      </c>
      <c r="AA32" s="220">
        <v>7</v>
      </c>
      <c r="AB32" s="220">
        <v>8</v>
      </c>
      <c r="AC32" s="220">
        <v>5</v>
      </c>
      <c r="AD32" s="220">
        <v>6</v>
      </c>
      <c r="AE32" s="220">
        <f t="shared" si="29"/>
        <v>-95</v>
      </c>
      <c r="AF32" s="220">
        <f t="shared" si="29"/>
        <v>-153</v>
      </c>
      <c r="AG32" s="220">
        <f t="shared" si="29"/>
        <v>-147</v>
      </c>
      <c r="AH32" s="220">
        <f t="shared" si="29"/>
        <v>-142</v>
      </c>
      <c r="AI32" s="220">
        <f t="shared" si="29"/>
        <v>-106</v>
      </c>
      <c r="AJ32" s="50">
        <f t="shared" si="12"/>
        <v>1.6020000000000003</v>
      </c>
      <c r="AK32" s="257"/>
      <c r="AL32" s="257">
        <f t="shared" si="13"/>
        <v>1.2</v>
      </c>
      <c r="AM32" s="52"/>
      <c r="AN32" s="88"/>
    </row>
    <row r="33" spans="1:40" s="29" customFormat="1" ht="17.25" customHeight="1">
      <c r="A33" s="48">
        <v>23</v>
      </c>
      <c r="B33" s="49">
        <f t="shared" si="6"/>
        <v>45598</v>
      </c>
      <c r="C33" s="220">
        <f t="shared" si="7"/>
        <v>1049</v>
      </c>
      <c r="D33" s="220">
        <f t="shared" ref="D33" si="33">D32+26</f>
        <v>2257</v>
      </c>
      <c r="E33" s="220">
        <f t="shared" si="8"/>
        <v>3306</v>
      </c>
      <c r="F33" s="220">
        <f t="shared" si="0"/>
        <v>758</v>
      </c>
      <c r="G33" s="220">
        <f t="shared" si="1"/>
        <v>898</v>
      </c>
      <c r="H33" s="220">
        <f t="shared" si="2"/>
        <v>912</v>
      </c>
      <c r="I33" s="220">
        <f t="shared" si="3"/>
        <v>894</v>
      </c>
      <c r="J33" s="220">
        <f t="shared" si="4"/>
        <v>859</v>
      </c>
      <c r="K33" s="220">
        <f t="shared" si="5"/>
        <v>2548</v>
      </c>
      <c r="L33" s="220">
        <f t="shared" si="5"/>
        <v>2408</v>
      </c>
      <c r="M33" s="220">
        <f t="shared" si="5"/>
        <v>2394</v>
      </c>
      <c r="N33" s="220">
        <f t="shared" si="5"/>
        <v>2412</v>
      </c>
      <c r="O33" s="220">
        <f t="shared" si="5"/>
        <v>2447</v>
      </c>
      <c r="P33" s="220">
        <f t="shared" si="27"/>
        <v>2000</v>
      </c>
      <c r="Q33" s="220">
        <f t="shared" si="27"/>
        <v>2000</v>
      </c>
      <c r="R33" s="220">
        <f t="shared" si="27"/>
        <v>2000</v>
      </c>
      <c r="S33" s="220">
        <f t="shared" si="27"/>
        <v>2000</v>
      </c>
      <c r="T33" s="220">
        <f t="shared" si="27"/>
        <v>2000</v>
      </c>
      <c r="U33" s="220">
        <f t="shared" si="28"/>
        <v>548</v>
      </c>
      <c r="V33" s="220">
        <f t="shared" si="28"/>
        <v>408</v>
      </c>
      <c r="W33" s="220">
        <f t="shared" si="28"/>
        <v>394</v>
      </c>
      <c r="X33" s="220">
        <f t="shared" si="28"/>
        <v>412</v>
      </c>
      <c r="Y33" s="220">
        <f t="shared" si="28"/>
        <v>447</v>
      </c>
      <c r="Z33" s="220">
        <v>6</v>
      </c>
      <c r="AA33" s="220">
        <v>8</v>
      </c>
      <c r="AB33" s="220">
        <v>8</v>
      </c>
      <c r="AC33" s="220">
        <v>5</v>
      </c>
      <c r="AD33" s="220">
        <v>6</v>
      </c>
      <c r="AE33" s="220">
        <f t="shared" si="29"/>
        <v>-101</v>
      </c>
      <c r="AF33" s="220">
        <f t="shared" si="29"/>
        <v>-161</v>
      </c>
      <c r="AG33" s="220">
        <f t="shared" si="29"/>
        <v>-155</v>
      </c>
      <c r="AH33" s="220">
        <f t="shared" si="29"/>
        <v>-147</v>
      </c>
      <c r="AI33" s="220">
        <f t="shared" si="29"/>
        <v>-112</v>
      </c>
      <c r="AJ33" s="50">
        <f t="shared" si="12"/>
        <v>1.5940000000000003</v>
      </c>
      <c r="AK33" s="257"/>
      <c r="AL33" s="257">
        <f t="shared" si="13"/>
        <v>1.2</v>
      </c>
      <c r="AM33" s="52"/>
      <c r="AN33" s="88"/>
    </row>
    <row r="34" spans="1:40" s="29" customFormat="1" ht="17.25" customHeight="1">
      <c r="A34" s="48">
        <v>24</v>
      </c>
      <c r="B34" s="49">
        <f t="shared" si="6"/>
        <v>45599</v>
      </c>
      <c r="C34" s="220">
        <f t="shared" si="7"/>
        <v>1049</v>
      </c>
      <c r="D34" s="220">
        <f t="shared" ref="D34" si="34">D33+32</f>
        <v>2289</v>
      </c>
      <c r="E34" s="220">
        <f t="shared" si="8"/>
        <v>3338</v>
      </c>
      <c r="F34" s="220">
        <f t="shared" si="0"/>
        <v>796</v>
      </c>
      <c r="G34" s="220">
        <f t="shared" si="1"/>
        <v>937</v>
      </c>
      <c r="H34" s="220">
        <f t="shared" si="2"/>
        <v>952</v>
      </c>
      <c r="I34" s="220">
        <f t="shared" si="3"/>
        <v>932</v>
      </c>
      <c r="J34" s="220">
        <f t="shared" si="4"/>
        <v>897</v>
      </c>
      <c r="K34" s="220">
        <f t="shared" si="5"/>
        <v>2542</v>
      </c>
      <c r="L34" s="220">
        <f t="shared" si="5"/>
        <v>2401</v>
      </c>
      <c r="M34" s="220">
        <f t="shared" si="5"/>
        <v>2386</v>
      </c>
      <c r="N34" s="220">
        <f t="shared" si="5"/>
        <v>2406</v>
      </c>
      <c r="O34" s="220">
        <f t="shared" si="5"/>
        <v>2441</v>
      </c>
      <c r="P34" s="220">
        <f t="shared" si="27"/>
        <v>2000</v>
      </c>
      <c r="Q34" s="220">
        <f t="shared" si="27"/>
        <v>2000</v>
      </c>
      <c r="R34" s="220">
        <f t="shared" si="27"/>
        <v>2000</v>
      </c>
      <c r="S34" s="220">
        <f t="shared" si="27"/>
        <v>2000</v>
      </c>
      <c r="T34" s="220">
        <f t="shared" si="27"/>
        <v>2000</v>
      </c>
      <c r="U34" s="220">
        <f t="shared" si="28"/>
        <v>542</v>
      </c>
      <c r="V34" s="220">
        <f t="shared" si="28"/>
        <v>401</v>
      </c>
      <c r="W34" s="220">
        <f t="shared" si="28"/>
        <v>386</v>
      </c>
      <c r="X34" s="220">
        <f t="shared" si="28"/>
        <v>406</v>
      </c>
      <c r="Y34" s="220">
        <f t="shared" si="28"/>
        <v>441</v>
      </c>
      <c r="Z34" s="220">
        <v>6</v>
      </c>
      <c r="AA34" s="220">
        <v>7</v>
      </c>
      <c r="AB34" s="220">
        <v>8</v>
      </c>
      <c r="AC34" s="220">
        <v>6</v>
      </c>
      <c r="AD34" s="220">
        <v>6</v>
      </c>
      <c r="AE34" s="220">
        <f t="shared" si="29"/>
        <v>-107</v>
      </c>
      <c r="AF34" s="220">
        <f t="shared" si="29"/>
        <v>-168</v>
      </c>
      <c r="AG34" s="220">
        <f t="shared" si="29"/>
        <v>-163</v>
      </c>
      <c r="AH34" s="220">
        <f t="shared" si="29"/>
        <v>-153</v>
      </c>
      <c r="AI34" s="220">
        <f t="shared" si="29"/>
        <v>-118</v>
      </c>
      <c r="AJ34" s="50">
        <f t="shared" si="12"/>
        <v>1.5860000000000003</v>
      </c>
      <c r="AK34" s="257"/>
      <c r="AL34" s="257">
        <f t="shared" si="13"/>
        <v>1.2</v>
      </c>
      <c r="AM34" s="52"/>
      <c r="AN34" s="88"/>
    </row>
    <row r="35" spans="1:40" s="29" customFormat="1" ht="17.25" customHeight="1">
      <c r="A35" s="48">
        <v>25</v>
      </c>
      <c r="B35" s="49">
        <f t="shared" si="6"/>
        <v>45600</v>
      </c>
      <c r="C35" s="220">
        <f t="shared" si="7"/>
        <v>1049</v>
      </c>
      <c r="D35" s="220">
        <f t="shared" ref="D35" si="35">D34-18</f>
        <v>2271</v>
      </c>
      <c r="E35" s="220">
        <f t="shared" si="8"/>
        <v>3320</v>
      </c>
      <c r="F35" s="220">
        <f t="shared" si="0"/>
        <v>784</v>
      </c>
      <c r="G35" s="220">
        <f t="shared" si="1"/>
        <v>926</v>
      </c>
      <c r="H35" s="220">
        <f t="shared" si="2"/>
        <v>942</v>
      </c>
      <c r="I35" s="220">
        <f t="shared" si="3"/>
        <v>919</v>
      </c>
      <c r="J35" s="220">
        <f t="shared" si="4"/>
        <v>884</v>
      </c>
      <c r="K35" s="220">
        <f t="shared" si="5"/>
        <v>2536</v>
      </c>
      <c r="L35" s="220">
        <f t="shared" si="5"/>
        <v>2394</v>
      </c>
      <c r="M35" s="220">
        <f t="shared" si="5"/>
        <v>2378</v>
      </c>
      <c r="N35" s="220">
        <f t="shared" si="5"/>
        <v>2401</v>
      </c>
      <c r="O35" s="220">
        <f t="shared" si="5"/>
        <v>2436</v>
      </c>
      <c r="P35" s="220">
        <f t="shared" si="27"/>
        <v>2000</v>
      </c>
      <c r="Q35" s="220">
        <f t="shared" si="27"/>
        <v>2000</v>
      </c>
      <c r="R35" s="220">
        <f t="shared" si="27"/>
        <v>2000</v>
      </c>
      <c r="S35" s="220">
        <f t="shared" si="27"/>
        <v>2000</v>
      </c>
      <c r="T35" s="220">
        <f t="shared" si="27"/>
        <v>2000</v>
      </c>
      <c r="U35" s="220">
        <f t="shared" si="28"/>
        <v>536</v>
      </c>
      <c r="V35" s="220">
        <f t="shared" si="28"/>
        <v>394</v>
      </c>
      <c r="W35" s="220">
        <f t="shared" si="28"/>
        <v>378</v>
      </c>
      <c r="X35" s="220">
        <f t="shared" si="28"/>
        <v>401</v>
      </c>
      <c r="Y35" s="220">
        <f t="shared" si="28"/>
        <v>436</v>
      </c>
      <c r="Z35" s="220">
        <v>6</v>
      </c>
      <c r="AA35" s="220">
        <v>7</v>
      </c>
      <c r="AB35" s="220">
        <v>8</v>
      </c>
      <c r="AC35" s="220">
        <v>5</v>
      </c>
      <c r="AD35" s="220">
        <v>5</v>
      </c>
      <c r="AE35" s="220">
        <f t="shared" si="29"/>
        <v>-113</v>
      </c>
      <c r="AF35" s="220">
        <f t="shared" si="29"/>
        <v>-175</v>
      </c>
      <c r="AG35" s="220">
        <f t="shared" si="29"/>
        <v>-171</v>
      </c>
      <c r="AH35" s="220">
        <f t="shared" si="29"/>
        <v>-158</v>
      </c>
      <c r="AI35" s="220">
        <f t="shared" si="29"/>
        <v>-123</v>
      </c>
      <c r="AJ35" s="50">
        <f t="shared" si="12"/>
        <v>1.5780000000000003</v>
      </c>
      <c r="AK35" s="257"/>
      <c r="AL35" s="257">
        <f t="shared" si="13"/>
        <v>1.2</v>
      </c>
      <c r="AM35" s="52"/>
      <c r="AN35" s="88"/>
    </row>
    <row r="36" spans="1:40" s="29" customFormat="1" ht="17.25" customHeight="1">
      <c r="A36" s="48">
        <v>26</v>
      </c>
      <c r="B36" s="49">
        <f t="shared" si="6"/>
        <v>45601</v>
      </c>
      <c r="C36" s="220">
        <f t="shared" si="7"/>
        <v>1049</v>
      </c>
      <c r="D36" s="220">
        <f t="shared" ref="D36" si="36">D35-26</f>
        <v>2245</v>
      </c>
      <c r="E36" s="220">
        <f t="shared" si="8"/>
        <v>3294</v>
      </c>
      <c r="F36" s="220">
        <f t="shared" si="0"/>
        <v>762</v>
      </c>
      <c r="G36" s="220">
        <f t="shared" si="1"/>
        <v>907</v>
      </c>
      <c r="H36" s="220">
        <f t="shared" si="2"/>
        <v>924</v>
      </c>
      <c r="I36" s="220">
        <f t="shared" si="3"/>
        <v>898</v>
      </c>
      <c r="J36" s="220">
        <f t="shared" si="4"/>
        <v>863</v>
      </c>
      <c r="K36" s="220">
        <f t="shared" si="5"/>
        <v>2532</v>
      </c>
      <c r="L36" s="220">
        <f t="shared" si="5"/>
        <v>2387</v>
      </c>
      <c r="M36" s="220">
        <f t="shared" si="5"/>
        <v>2370</v>
      </c>
      <c r="N36" s="220">
        <f t="shared" si="5"/>
        <v>2396</v>
      </c>
      <c r="O36" s="220">
        <f t="shared" si="5"/>
        <v>2431</v>
      </c>
      <c r="P36" s="220">
        <f t="shared" si="27"/>
        <v>2000</v>
      </c>
      <c r="Q36" s="220">
        <f t="shared" si="27"/>
        <v>2000</v>
      </c>
      <c r="R36" s="220">
        <f t="shared" si="27"/>
        <v>2000</v>
      </c>
      <c r="S36" s="220">
        <f t="shared" si="27"/>
        <v>2000</v>
      </c>
      <c r="T36" s="220">
        <f t="shared" si="27"/>
        <v>2000</v>
      </c>
      <c r="U36" s="220">
        <f t="shared" si="28"/>
        <v>532</v>
      </c>
      <c r="V36" s="220">
        <f t="shared" si="28"/>
        <v>387</v>
      </c>
      <c r="W36" s="220">
        <f t="shared" si="28"/>
        <v>370</v>
      </c>
      <c r="X36" s="220">
        <f t="shared" si="28"/>
        <v>396</v>
      </c>
      <c r="Y36" s="220">
        <f t="shared" si="28"/>
        <v>431</v>
      </c>
      <c r="Z36" s="220">
        <v>4</v>
      </c>
      <c r="AA36" s="220">
        <v>7</v>
      </c>
      <c r="AB36" s="220">
        <v>8</v>
      </c>
      <c r="AC36" s="220">
        <v>5</v>
      </c>
      <c r="AD36" s="220">
        <v>5</v>
      </c>
      <c r="AE36" s="220">
        <f t="shared" si="29"/>
        <v>-117</v>
      </c>
      <c r="AF36" s="220">
        <f t="shared" si="29"/>
        <v>-182</v>
      </c>
      <c r="AG36" s="220">
        <f t="shared" si="29"/>
        <v>-179</v>
      </c>
      <c r="AH36" s="220">
        <f t="shared" si="29"/>
        <v>-163</v>
      </c>
      <c r="AI36" s="220">
        <f t="shared" si="29"/>
        <v>-128</v>
      </c>
      <c r="AJ36" s="50">
        <f t="shared" si="12"/>
        <v>1.5700000000000003</v>
      </c>
      <c r="AK36" s="257"/>
      <c r="AL36" s="257">
        <f t="shared" si="13"/>
        <v>1.2</v>
      </c>
      <c r="AM36" s="52"/>
      <c r="AN36" s="88"/>
    </row>
    <row r="37" spans="1:40" s="29" customFormat="1" ht="17.25" customHeight="1">
      <c r="A37" s="48">
        <v>27</v>
      </c>
      <c r="B37" s="49">
        <f t="shared" si="6"/>
        <v>45602</v>
      </c>
      <c r="C37" s="220">
        <f t="shared" si="7"/>
        <v>1049</v>
      </c>
      <c r="D37" s="220">
        <f t="shared" ref="D37" si="37">D36+15</f>
        <v>2260</v>
      </c>
      <c r="E37" s="220">
        <f t="shared" si="8"/>
        <v>3309</v>
      </c>
      <c r="F37" s="220">
        <f t="shared" si="0"/>
        <v>780</v>
      </c>
      <c r="G37" s="220">
        <f t="shared" si="1"/>
        <v>928</v>
      </c>
      <c r="H37" s="220">
        <f t="shared" si="2"/>
        <v>946</v>
      </c>
      <c r="I37" s="220">
        <f t="shared" si="3"/>
        <v>918</v>
      </c>
      <c r="J37" s="220">
        <f t="shared" si="4"/>
        <v>883</v>
      </c>
      <c r="K37" s="220">
        <f t="shared" si="5"/>
        <v>2529</v>
      </c>
      <c r="L37" s="220">
        <f t="shared" si="5"/>
        <v>2381</v>
      </c>
      <c r="M37" s="220">
        <f t="shared" si="5"/>
        <v>2363</v>
      </c>
      <c r="N37" s="220">
        <f t="shared" si="5"/>
        <v>2391</v>
      </c>
      <c r="O37" s="220">
        <f t="shared" si="5"/>
        <v>2426</v>
      </c>
      <c r="P37" s="220">
        <f t="shared" si="27"/>
        <v>2000</v>
      </c>
      <c r="Q37" s="220">
        <f t="shared" si="27"/>
        <v>2000</v>
      </c>
      <c r="R37" s="220">
        <f t="shared" si="27"/>
        <v>2000</v>
      </c>
      <c r="S37" s="220">
        <f t="shared" si="27"/>
        <v>2000</v>
      </c>
      <c r="T37" s="220">
        <f t="shared" si="27"/>
        <v>2000</v>
      </c>
      <c r="U37" s="220">
        <f t="shared" si="28"/>
        <v>529</v>
      </c>
      <c r="V37" s="220">
        <f t="shared" si="28"/>
        <v>381</v>
      </c>
      <c r="W37" s="220">
        <f t="shared" si="28"/>
        <v>363</v>
      </c>
      <c r="X37" s="220">
        <f t="shared" si="28"/>
        <v>391</v>
      </c>
      <c r="Y37" s="220">
        <f t="shared" si="28"/>
        <v>426</v>
      </c>
      <c r="Z37" s="220">
        <v>3</v>
      </c>
      <c r="AA37" s="220">
        <v>6</v>
      </c>
      <c r="AB37" s="220">
        <v>7</v>
      </c>
      <c r="AC37" s="220">
        <v>5</v>
      </c>
      <c r="AD37" s="220">
        <v>5</v>
      </c>
      <c r="AE37" s="220">
        <f t="shared" si="29"/>
        <v>-120</v>
      </c>
      <c r="AF37" s="220">
        <f t="shared" si="29"/>
        <v>-188</v>
      </c>
      <c r="AG37" s="220">
        <f t="shared" si="29"/>
        <v>-186</v>
      </c>
      <c r="AH37" s="220">
        <f t="shared" si="29"/>
        <v>-168</v>
      </c>
      <c r="AI37" s="220">
        <f t="shared" si="29"/>
        <v>-133</v>
      </c>
      <c r="AJ37" s="50">
        <f t="shared" si="12"/>
        <v>1.5630000000000004</v>
      </c>
      <c r="AK37" s="257"/>
      <c r="AL37" s="257">
        <f t="shared" si="13"/>
        <v>1.2</v>
      </c>
      <c r="AM37" s="52"/>
      <c r="AN37" s="88"/>
    </row>
    <row r="38" spans="1:40" s="29" customFormat="1" ht="17.25" customHeight="1">
      <c r="A38" s="48">
        <v>28</v>
      </c>
      <c r="B38" s="49">
        <f t="shared" si="6"/>
        <v>45603</v>
      </c>
      <c r="C38" s="220">
        <f t="shared" si="7"/>
        <v>1049</v>
      </c>
      <c r="D38" s="220">
        <f t="shared" ref="D38" si="38">D37+26</f>
        <v>2286</v>
      </c>
      <c r="E38" s="220">
        <f t="shared" si="8"/>
        <v>3335</v>
      </c>
      <c r="F38" s="220">
        <f t="shared" si="0"/>
        <v>810</v>
      </c>
      <c r="G38" s="220">
        <f t="shared" si="1"/>
        <v>960</v>
      </c>
      <c r="H38" s="220">
        <f t="shared" si="2"/>
        <v>979</v>
      </c>
      <c r="I38" s="220">
        <f t="shared" si="3"/>
        <v>949</v>
      </c>
      <c r="J38" s="220">
        <f t="shared" si="4"/>
        <v>914</v>
      </c>
      <c r="K38" s="220">
        <f t="shared" si="5"/>
        <v>2525</v>
      </c>
      <c r="L38" s="220">
        <f t="shared" si="5"/>
        <v>2375</v>
      </c>
      <c r="M38" s="220">
        <f t="shared" si="5"/>
        <v>2356</v>
      </c>
      <c r="N38" s="220">
        <f t="shared" si="5"/>
        <v>2386</v>
      </c>
      <c r="O38" s="220">
        <f t="shared" si="5"/>
        <v>2421</v>
      </c>
      <c r="P38" s="220">
        <f t="shared" si="27"/>
        <v>2000</v>
      </c>
      <c r="Q38" s="220">
        <f t="shared" si="27"/>
        <v>2000</v>
      </c>
      <c r="R38" s="220">
        <f t="shared" si="27"/>
        <v>2000</v>
      </c>
      <c r="S38" s="220">
        <f t="shared" si="27"/>
        <v>2000</v>
      </c>
      <c r="T38" s="220">
        <f t="shared" si="27"/>
        <v>2000</v>
      </c>
      <c r="U38" s="220">
        <f t="shared" si="28"/>
        <v>525</v>
      </c>
      <c r="V38" s="220">
        <f t="shared" si="28"/>
        <v>375</v>
      </c>
      <c r="W38" s="220">
        <f t="shared" si="28"/>
        <v>356</v>
      </c>
      <c r="X38" s="220">
        <f t="shared" si="28"/>
        <v>386</v>
      </c>
      <c r="Y38" s="220">
        <f t="shared" si="28"/>
        <v>421</v>
      </c>
      <c r="Z38" s="220">
        <v>4</v>
      </c>
      <c r="AA38" s="220">
        <v>6</v>
      </c>
      <c r="AB38" s="220">
        <v>7</v>
      </c>
      <c r="AC38" s="220">
        <v>5</v>
      </c>
      <c r="AD38" s="220">
        <v>5</v>
      </c>
      <c r="AE38" s="220">
        <f t="shared" si="29"/>
        <v>-124</v>
      </c>
      <c r="AF38" s="220">
        <f t="shared" si="29"/>
        <v>-194</v>
      </c>
      <c r="AG38" s="220">
        <f t="shared" si="29"/>
        <v>-193</v>
      </c>
      <c r="AH38" s="220">
        <f t="shared" si="29"/>
        <v>-173</v>
      </c>
      <c r="AI38" s="220">
        <f t="shared" si="29"/>
        <v>-138</v>
      </c>
      <c r="AJ38" s="50">
        <f t="shared" si="12"/>
        <v>1.5560000000000005</v>
      </c>
      <c r="AK38" s="257"/>
      <c r="AL38" s="257">
        <f t="shared" si="13"/>
        <v>1.2</v>
      </c>
      <c r="AM38" s="52"/>
      <c r="AN38" s="88"/>
    </row>
    <row r="39" spans="1:40" s="29" customFormat="1" ht="17.25" customHeight="1">
      <c r="A39" s="48">
        <v>29</v>
      </c>
      <c r="B39" s="49">
        <f t="shared" si="6"/>
        <v>45604</v>
      </c>
      <c r="C39" s="220">
        <f t="shared" si="7"/>
        <v>1049</v>
      </c>
      <c r="D39" s="220">
        <f t="shared" ref="D39" si="39">D38+32</f>
        <v>2318</v>
      </c>
      <c r="E39" s="220">
        <f t="shared" si="8"/>
        <v>3367</v>
      </c>
      <c r="F39" s="220">
        <f t="shared" si="0"/>
        <v>849</v>
      </c>
      <c r="G39" s="220">
        <f t="shared" si="1"/>
        <v>998</v>
      </c>
      <c r="H39" s="220">
        <f t="shared" si="2"/>
        <v>1018</v>
      </c>
      <c r="I39" s="220">
        <f t="shared" si="3"/>
        <v>985</v>
      </c>
      <c r="J39" s="220">
        <f t="shared" si="4"/>
        <v>950</v>
      </c>
      <c r="K39" s="220">
        <f t="shared" si="5"/>
        <v>2518</v>
      </c>
      <c r="L39" s="220">
        <f t="shared" si="5"/>
        <v>2369</v>
      </c>
      <c r="M39" s="220">
        <f t="shared" si="5"/>
        <v>2349</v>
      </c>
      <c r="N39" s="220">
        <f t="shared" si="5"/>
        <v>2382</v>
      </c>
      <c r="O39" s="220">
        <f t="shared" si="5"/>
        <v>2417</v>
      </c>
      <c r="P39" s="220">
        <f t="shared" si="27"/>
        <v>2000</v>
      </c>
      <c r="Q39" s="220">
        <f t="shared" si="27"/>
        <v>2000</v>
      </c>
      <c r="R39" s="220">
        <f t="shared" si="27"/>
        <v>2000</v>
      </c>
      <c r="S39" s="220">
        <f t="shared" si="27"/>
        <v>2000</v>
      </c>
      <c r="T39" s="220">
        <f t="shared" si="27"/>
        <v>2000</v>
      </c>
      <c r="U39" s="220">
        <f t="shared" si="28"/>
        <v>518</v>
      </c>
      <c r="V39" s="220">
        <f t="shared" si="28"/>
        <v>369</v>
      </c>
      <c r="W39" s="220">
        <f t="shared" si="28"/>
        <v>349</v>
      </c>
      <c r="X39" s="220">
        <f t="shared" si="28"/>
        <v>382</v>
      </c>
      <c r="Y39" s="220">
        <f t="shared" si="28"/>
        <v>417</v>
      </c>
      <c r="Z39" s="220">
        <v>7</v>
      </c>
      <c r="AA39" s="220">
        <v>6</v>
      </c>
      <c r="AB39" s="220">
        <v>7</v>
      </c>
      <c r="AC39" s="220">
        <v>4</v>
      </c>
      <c r="AD39" s="220">
        <v>4</v>
      </c>
      <c r="AE39" s="220">
        <f t="shared" si="29"/>
        <v>-131</v>
      </c>
      <c r="AF39" s="220">
        <f t="shared" si="29"/>
        <v>-200</v>
      </c>
      <c r="AG39" s="220">
        <f t="shared" si="29"/>
        <v>-200</v>
      </c>
      <c r="AH39" s="220">
        <f t="shared" si="29"/>
        <v>-177</v>
      </c>
      <c r="AI39" s="220">
        <f t="shared" si="29"/>
        <v>-142</v>
      </c>
      <c r="AJ39" s="50">
        <f t="shared" si="12"/>
        <v>1.5490000000000006</v>
      </c>
      <c r="AK39" s="257"/>
      <c r="AL39" s="257">
        <f t="shared" si="13"/>
        <v>1.2</v>
      </c>
      <c r="AM39" s="52"/>
      <c r="AN39" s="88"/>
    </row>
    <row r="40" spans="1:40" s="29" customFormat="1" ht="17.25" customHeight="1">
      <c r="A40" s="48">
        <v>30</v>
      </c>
      <c r="B40" s="49">
        <f t="shared" si="6"/>
        <v>45605</v>
      </c>
      <c r="C40" s="220">
        <f t="shared" si="7"/>
        <v>1049</v>
      </c>
      <c r="D40" s="220">
        <f t="shared" ref="D40" si="40">D39-18</f>
        <v>2300</v>
      </c>
      <c r="E40" s="220">
        <f t="shared" si="8"/>
        <v>3349</v>
      </c>
      <c r="F40" s="220">
        <f t="shared" si="0"/>
        <v>837</v>
      </c>
      <c r="G40" s="220">
        <f t="shared" si="1"/>
        <v>987</v>
      </c>
      <c r="H40" s="220">
        <f t="shared" si="2"/>
        <v>1007</v>
      </c>
      <c r="I40" s="220">
        <f t="shared" si="3"/>
        <v>972</v>
      </c>
      <c r="J40" s="220">
        <f t="shared" si="4"/>
        <v>935</v>
      </c>
      <c r="K40" s="220">
        <f t="shared" si="5"/>
        <v>2512</v>
      </c>
      <c r="L40" s="220">
        <f t="shared" si="5"/>
        <v>2362</v>
      </c>
      <c r="M40" s="220">
        <f t="shared" si="5"/>
        <v>2342</v>
      </c>
      <c r="N40" s="220">
        <f t="shared" si="5"/>
        <v>2377</v>
      </c>
      <c r="O40" s="220">
        <f t="shared" si="5"/>
        <v>2414</v>
      </c>
      <c r="P40" s="220">
        <f t="shared" si="27"/>
        <v>2000</v>
      </c>
      <c r="Q40" s="220">
        <f t="shared" si="27"/>
        <v>2000</v>
      </c>
      <c r="R40" s="220">
        <f t="shared" si="27"/>
        <v>2000</v>
      </c>
      <c r="S40" s="220">
        <f t="shared" si="27"/>
        <v>2000</v>
      </c>
      <c r="T40" s="220">
        <f t="shared" si="27"/>
        <v>2000</v>
      </c>
      <c r="U40" s="220">
        <f t="shared" si="28"/>
        <v>512</v>
      </c>
      <c r="V40" s="220">
        <f t="shared" si="28"/>
        <v>362</v>
      </c>
      <c r="W40" s="220">
        <f t="shared" si="28"/>
        <v>342</v>
      </c>
      <c r="X40" s="220">
        <f t="shared" si="28"/>
        <v>377</v>
      </c>
      <c r="Y40" s="220">
        <f t="shared" si="28"/>
        <v>414</v>
      </c>
      <c r="Z40" s="220">
        <v>6</v>
      </c>
      <c r="AA40" s="220">
        <v>7</v>
      </c>
      <c r="AB40" s="220">
        <v>7</v>
      </c>
      <c r="AC40" s="220">
        <v>5</v>
      </c>
      <c r="AD40" s="220">
        <v>3</v>
      </c>
      <c r="AE40" s="220">
        <f t="shared" si="29"/>
        <v>-137</v>
      </c>
      <c r="AF40" s="220">
        <f t="shared" si="29"/>
        <v>-207</v>
      </c>
      <c r="AG40" s="220">
        <f t="shared" si="29"/>
        <v>-207</v>
      </c>
      <c r="AH40" s="220">
        <f t="shared" si="29"/>
        <v>-182</v>
      </c>
      <c r="AI40" s="220">
        <f t="shared" si="29"/>
        <v>-145</v>
      </c>
      <c r="AJ40" s="50">
        <f t="shared" si="12"/>
        <v>1.5420000000000007</v>
      </c>
      <c r="AK40" s="257"/>
      <c r="AL40" s="257">
        <f t="shared" si="13"/>
        <v>1.2</v>
      </c>
      <c r="AM40" s="52"/>
      <c r="AN40" s="88"/>
    </row>
    <row r="41" spans="1:40" s="29" customFormat="1" ht="17.25" customHeight="1">
      <c r="A41" s="48">
        <v>31</v>
      </c>
      <c r="B41" s="49">
        <f t="shared" si="6"/>
        <v>45606</v>
      </c>
      <c r="C41" s="220">
        <f t="shared" si="7"/>
        <v>1049</v>
      </c>
      <c r="D41" s="220">
        <f t="shared" ref="D41" si="41">D40-26</f>
        <v>2274</v>
      </c>
      <c r="E41" s="220">
        <f t="shared" si="8"/>
        <v>3323</v>
      </c>
      <c r="F41" s="220">
        <f t="shared" si="0"/>
        <v>816</v>
      </c>
      <c r="G41" s="220">
        <f t="shared" si="1"/>
        <v>967</v>
      </c>
      <c r="H41" s="220">
        <f t="shared" si="2"/>
        <v>988</v>
      </c>
      <c r="I41" s="220">
        <f t="shared" si="3"/>
        <v>952</v>
      </c>
      <c r="J41" s="220">
        <f t="shared" si="4"/>
        <v>913</v>
      </c>
      <c r="K41" s="220">
        <f t="shared" si="5"/>
        <v>2507</v>
      </c>
      <c r="L41" s="220">
        <f t="shared" si="5"/>
        <v>2356</v>
      </c>
      <c r="M41" s="220">
        <f t="shared" si="5"/>
        <v>2335</v>
      </c>
      <c r="N41" s="220">
        <f t="shared" si="5"/>
        <v>2371</v>
      </c>
      <c r="O41" s="220">
        <f t="shared" si="5"/>
        <v>2410</v>
      </c>
      <c r="P41" s="220">
        <f t="shared" si="27"/>
        <v>2000</v>
      </c>
      <c r="Q41" s="220">
        <f t="shared" si="27"/>
        <v>2000</v>
      </c>
      <c r="R41" s="220">
        <f t="shared" si="27"/>
        <v>2000</v>
      </c>
      <c r="S41" s="220">
        <f t="shared" si="27"/>
        <v>2000</v>
      </c>
      <c r="T41" s="220">
        <f t="shared" si="27"/>
        <v>2000</v>
      </c>
      <c r="U41" s="220">
        <f t="shared" si="28"/>
        <v>507</v>
      </c>
      <c r="V41" s="220">
        <f t="shared" si="28"/>
        <v>356</v>
      </c>
      <c r="W41" s="220">
        <f t="shared" si="28"/>
        <v>335</v>
      </c>
      <c r="X41" s="220">
        <f t="shared" si="28"/>
        <v>371</v>
      </c>
      <c r="Y41" s="220">
        <f t="shared" si="28"/>
        <v>410</v>
      </c>
      <c r="Z41" s="220">
        <v>5</v>
      </c>
      <c r="AA41" s="220">
        <v>6</v>
      </c>
      <c r="AB41" s="220">
        <v>7</v>
      </c>
      <c r="AC41" s="220">
        <v>6</v>
      </c>
      <c r="AD41" s="220">
        <v>4</v>
      </c>
      <c r="AE41" s="220">
        <f t="shared" si="29"/>
        <v>-142</v>
      </c>
      <c r="AF41" s="220">
        <f t="shared" si="29"/>
        <v>-213</v>
      </c>
      <c r="AG41" s="220">
        <f t="shared" si="29"/>
        <v>-214</v>
      </c>
      <c r="AH41" s="220">
        <f t="shared" si="29"/>
        <v>-188</v>
      </c>
      <c r="AI41" s="220">
        <f t="shared" si="29"/>
        <v>-149</v>
      </c>
      <c r="AJ41" s="50">
        <f t="shared" si="12"/>
        <v>1.5350000000000008</v>
      </c>
      <c r="AK41" s="257"/>
      <c r="AL41" s="257">
        <f t="shared" si="13"/>
        <v>1.2</v>
      </c>
      <c r="AM41" s="52"/>
      <c r="AN41" s="88"/>
    </row>
    <row r="42" spans="1:40" s="29" customFormat="1" ht="17.25" customHeight="1">
      <c r="A42" s="48">
        <v>32</v>
      </c>
      <c r="B42" s="49">
        <f t="shared" si="6"/>
        <v>45607</v>
      </c>
      <c r="C42" s="220">
        <f t="shared" si="7"/>
        <v>1049</v>
      </c>
      <c r="D42" s="220">
        <f t="shared" ref="D42" si="42">D41+15</f>
        <v>2289</v>
      </c>
      <c r="E42" s="220">
        <f t="shared" si="8"/>
        <v>3338</v>
      </c>
      <c r="F42" s="220">
        <f t="shared" si="0"/>
        <v>835</v>
      </c>
      <c r="G42" s="220">
        <f t="shared" si="1"/>
        <v>988</v>
      </c>
      <c r="H42" s="220">
        <f t="shared" si="2"/>
        <v>1010</v>
      </c>
      <c r="I42" s="220">
        <f t="shared" si="3"/>
        <v>972</v>
      </c>
      <c r="J42" s="220">
        <f t="shared" si="4"/>
        <v>931</v>
      </c>
      <c r="K42" s="220">
        <f t="shared" si="5"/>
        <v>2503</v>
      </c>
      <c r="L42" s="220">
        <f t="shared" si="5"/>
        <v>2350</v>
      </c>
      <c r="M42" s="220">
        <f t="shared" si="5"/>
        <v>2328</v>
      </c>
      <c r="N42" s="220">
        <f t="shared" si="5"/>
        <v>2366</v>
      </c>
      <c r="O42" s="220">
        <f t="shared" si="5"/>
        <v>2407</v>
      </c>
      <c r="P42" s="220">
        <f t="shared" si="27"/>
        <v>2000</v>
      </c>
      <c r="Q42" s="220">
        <f t="shared" si="27"/>
        <v>2000</v>
      </c>
      <c r="R42" s="220">
        <f t="shared" si="27"/>
        <v>2000</v>
      </c>
      <c r="S42" s="220">
        <f t="shared" si="27"/>
        <v>2000</v>
      </c>
      <c r="T42" s="220">
        <f t="shared" si="27"/>
        <v>2000</v>
      </c>
      <c r="U42" s="220">
        <f t="shared" si="28"/>
        <v>503</v>
      </c>
      <c r="V42" s="220">
        <f t="shared" si="28"/>
        <v>350</v>
      </c>
      <c r="W42" s="220">
        <f t="shared" si="28"/>
        <v>328</v>
      </c>
      <c r="X42" s="220">
        <f t="shared" si="28"/>
        <v>366</v>
      </c>
      <c r="Y42" s="220">
        <f t="shared" si="28"/>
        <v>407</v>
      </c>
      <c r="Z42" s="220">
        <v>4</v>
      </c>
      <c r="AA42" s="220">
        <v>6</v>
      </c>
      <c r="AB42" s="220">
        <v>7</v>
      </c>
      <c r="AC42" s="220">
        <v>5</v>
      </c>
      <c r="AD42" s="220">
        <v>3</v>
      </c>
      <c r="AE42" s="220">
        <f t="shared" si="29"/>
        <v>-146</v>
      </c>
      <c r="AF42" s="220">
        <f t="shared" si="29"/>
        <v>-219</v>
      </c>
      <c r="AG42" s="220">
        <f t="shared" si="29"/>
        <v>-221</v>
      </c>
      <c r="AH42" s="220">
        <f t="shared" si="29"/>
        <v>-193</v>
      </c>
      <c r="AI42" s="220">
        <f t="shared" si="29"/>
        <v>-152</v>
      </c>
      <c r="AJ42" s="50">
        <f t="shared" si="12"/>
        <v>1.5280000000000009</v>
      </c>
      <c r="AK42" s="257"/>
      <c r="AL42" s="257">
        <f t="shared" si="13"/>
        <v>1.2</v>
      </c>
      <c r="AM42" s="52"/>
      <c r="AN42" s="88"/>
    </row>
    <row r="43" spans="1:40" s="29" customFormat="1" ht="17.25" customHeight="1">
      <c r="A43" s="48">
        <v>33</v>
      </c>
      <c r="B43" s="49">
        <f t="shared" si="6"/>
        <v>45608</v>
      </c>
      <c r="C43" s="220">
        <f t="shared" si="7"/>
        <v>1049</v>
      </c>
      <c r="D43" s="220">
        <f t="shared" ref="D43" si="43">D42+26</f>
        <v>2315</v>
      </c>
      <c r="E43" s="220">
        <f t="shared" si="8"/>
        <v>3364</v>
      </c>
      <c r="F43" s="220">
        <f t="shared" si="0"/>
        <v>865</v>
      </c>
      <c r="G43" s="220">
        <f t="shared" si="1"/>
        <v>1019</v>
      </c>
      <c r="H43" s="220">
        <f t="shared" si="2"/>
        <v>1042</v>
      </c>
      <c r="I43" s="220">
        <f t="shared" si="3"/>
        <v>1003</v>
      </c>
      <c r="J43" s="220">
        <f t="shared" si="4"/>
        <v>959</v>
      </c>
      <c r="K43" s="220">
        <f t="shared" si="5"/>
        <v>2499</v>
      </c>
      <c r="L43" s="220">
        <f t="shared" si="5"/>
        <v>2345</v>
      </c>
      <c r="M43" s="220">
        <f t="shared" si="5"/>
        <v>2322</v>
      </c>
      <c r="N43" s="220">
        <f t="shared" si="5"/>
        <v>2361</v>
      </c>
      <c r="O43" s="220">
        <f t="shared" si="5"/>
        <v>2405</v>
      </c>
      <c r="P43" s="220">
        <f t="shared" si="27"/>
        <v>2000</v>
      </c>
      <c r="Q43" s="220">
        <f t="shared" si="27"/>
        <v>2000</v>
      </c>
      <c r="R43" s="220">
        <f t="shared" si="27"/>
        <v>2000</v>
      </c>
      <c r="S43" s="220">
        <f t="shared" si="27"/>
        <v>2000</v>
      </c>
      <c r="T43" s="220">
        <f t="shared" si="27"/>
        <v>2000</v>
      </c>
      <c r="U43" s="220">
        <f t="shared" si="28"/>
        <v>499</v>
      </c>
      <c r="V43" s="220">
        <f t="shared" si="28"/>
        <v>345</v>
      </c>
      <c r="W43" s="220">
        <f t="shared" si="28"/>
        <v>322</v>
      </c>
      <c r="X43" s="220">
        <f t="shared" si="28"/>
        <v>361</v>
      </c>
      <c r="Y43" s="220">
        <f t="shared" si="28"/>
        <v>405</v>
      </c>
      <c r="Z43" s="220">
        <v>4</v>
      </c>
      <c r="AA43" s="220">
        <v>5</v>
      </c>
      <c r="AB43" s="220">
        <v>6</v>
      </c>
      <c r="AC43" s="220">
        <v>5</v>
      </c>
      <c r="AD43" s="220">
        <v>2</v>
      </c>
      <c r="AE43" s="220">
        <f t="shared" si="29"/>
        <v>-150</v>
      </c>
      <c r="AF43" s="220">
        <f t="shared" si="29"/>
        <v>-224</v>
      </c>
      <c r="AG43" s="220">
        <f t="shared" si="29"/>
        <v>-227</v>
      </c>
      <c r="AH43" s="220">
        <f t="shared" si="29"/>
        <v>-198</v>
      </c>
      <c r="AI43" s="220">
        <f t="shared" si="29"/>
        <v>-154</v>
      </c>
      <c r="AJ43" s="50">
        <f t="shared" si="12"/>
        <v>1.5220000000000009</v>
      </c>
      <c r="AK43" s="257"/>
      <c r="AL43" s="257">
        <f t="shared" si="13"/>
        <v>1.2</v>
      </c>
      <c r="AM43" s="52"/>
      <c r="AN43" s="88"/>
    </row>
    <row r="44" spans="1:40" s="29" customFormat="1" ht="17.25" customHeight="1">
      <c r="A44" s="48">
        <v>34</v>
      </c>
      <c r="B44" s="49">
        <f t="shared" si="6"/>
        <v>45609</v>
      </c>
      <c r="C44" s="220">
        <f t="shared" si="7"/>
        <v>1049</v>
      </c>
      <c r="D44" s="220">
        <f t="shared" ref="D44" si="44">D43+32</f>
        <v>2347</v>
      </c>
      <c r="E44" s="220">
        <f t="shared" si="8"/>
        <v>3396</v>
      </c>
      <c r="F44" s="220">
        <f t="shared" si="0"/>
        <v>900</v>
      </c>
      <c r="G44" s="220">
        <f t="shared" si="1"/>
        <v>1057</v>
      </c>
      <c r="H44" s="220">
        <f t="shared" si="2"/>
        <v>1080</v>
      </c>
      <c r="I44" s="220">
        <f t="shared" si="3"/>
        <v>1039</v>
      </c>
      <c r="J44" s="220">
        <f t="shared" si="4"/>
        <v>993</v>
      </c>
      <c r="K44" s="220">
        <f t="shared" si="5"/>
        <v>2496</v>
      </c>
      <c r="L44" s="220">
        <f t="shared" si="5"/>
        <v>2339</v>
      </c>
      <c r="M44" s="220">
        <f t="shared" si="5"/>
        <v>2316</v>
      </c>
      <c r="N44" s="220">
        <f t="shared" si="5"/>
        <v>2357</v>
      </c>
      <c r="O44" s="220">
        <f t="shared" si="5"/>
        <v>2403</v>
      </c>
      <c r="P44" s="220">
        <f t="shared" si="27"/>
        <v>2000</v>
      </c>
      <c r="Q44" s="220">
        <f t="shared" si="27"/>
        <v>2000</v>
      </c>
      <c r="R44" s="220">
        <f t="shared" si="27"/>
        <v>2000</v>
      </c>
      <c r="S44" s="220">
        <f t="shared" si="27"/>
        <v>2000</v>
      </c>
      <c r="T44" s="220">
        <f t="shared" si="27"/>
        <v>2000</v>
      </c>
      <c r="U44" s="220">
        <f t="shared" si="28"/>
        <v>496</v>
      </c>
      <c r="V44" s="220">
        <f t="shared" si="28"/>
        <v>339</v>
      </c>
      <c r="W44" s="220">
        <f t="shared" si="28"/>
        <v>316</v>
      </c>
      <c r="X44" s="220">
        <f t="shared" si="28"/>
        <v>357</v>
      </c>
      <c r="Y44" s="220">
        <f t="shared" si="28"/>
        <v>403</v>
      </c>
      <c r="Z44" s="220">
        <v>3</v>
      </c>
      <c r="AA44" s="220">
        <v>6</v>
      </c>
      <c r="AB44" s="220">
        <v>6</v>
      </c>
      <c r="AC44" s="220">
        <v>4</v>
      </c>
      <c r="AD44" s="220">
        <v>2</v>
      </c>
      <c r="AE44" s="220">
        <f t="shared" si="29"/>
        <v>-153</v>
      </c>
      <c r="AF44" s="220">
        <f t="shared" si="29"/>
        <v>-230</v>
      </c>
      <c r="AG44" s="220">
        <f t="shared" si="29"/>
        <v>-233</v>
      </c>
      <c r="AH44" s="220">
        <f t="shared" si="29"/>
        <v>-202</v>
      </c>
      <c r="AI44" s="220">
        <f t="shared" si="29"/>
        <v>-156</v>
      </c>
      <c r="AJ44" s="50">
        <f t="shared" si="12"/>
        <v>1.5160000000000009</v>
      </c>
      <c r="AK44" s="257"/>
      <c r="AL44" s="257">
        <f t="shared" si="13"/>
        <v>1.2</v>
      </c>
      <c r="AM44" s="52"/>
      <c r="AN44" s="88"/>
    </row>
    <row r="45" spans="1:40" s="29" customFormat="1" ht="17.25" customHeight="1">
      <c r="A45" s="48">
        <v>35</v>
      </c>
      <c r="B45" s="49">
        <f t="shared" si="6"/>
        <v>45610</v>
      </c>
      <c r="C45" s="220">
        <f t="shared" si="7"/>
        <v>1049</v>
      </c>
      <c r="D45" s="220">
        <f t="shared" ref="D45" si="45">D44-18</f>
        <v>2329</v>
      </c>
      <c r="E45" s="220">
        <f t="shared" si="8"/>
        <v>3378</v>
      </c>
      <c r="F45" s="220">
        <f t="shared" si="0"/>
        <v>885</v>
      </c>
      <c r="G45" s="220">
        <f t="shared" si="1"/>
        <v>1044</v>
      </c>
      <c r="H45" s="220">
        <f t="shared" si="2"/>
        <v>1068</v>
      </c>
      <c r="I45" s="220">
        <f t="shared" si="3"/>
        <v>1026</v>
      </c>
      <c r="J45" s="220">
        <f t="shared" si="4"/>
        <v>977</v>
      </c>
      <c r="K45" s="220">
        <f t="shared" si="5"/>
        <v>2493</v>
      </c>
      <c r="L45" s="220">
        <f t="shared" si="5"/>
        <v>2334</v>
      </c>
      <c r="M45" s="220">
        <f t="shared" si="5"/>
        <v>2310</v>
      </c>
      <c r="N45" s="220">
        <f t="shared" si="5"/>
        <v>2352</v>
      </c>
      <c r="O45" s="220">
        <f t="shared" si="5"/>
        <v>2401</v>
      </c>
      <c r="P45" s="220">
        <f t="shared" ref="P45:T60" si="46">+P44</f>
        <v>2000</v>
      </c>
      <c r="Q45" s="220">
        <f t="shared" si="46"/>
        <v>2000</v>
      </c>
      <c r="R45" s="220">
        <f t="shared" si="46"/>
        <v>2000</v>
      </c>
      <c r="S45" s="220">
        <f t="shared" si="46"/>
        <v>2000</v>
      </c>
      <c r="T45" s="220">
        <f t="shared" si="46"/>
        <v>2000</v>
      </c>
      <c r="U45" s="220">
        <f t="shared" ref="U45:Y60" si="47">U44-Z45</f>
        <v>493</v>
      </c>
      <c r="V45" s="220">
        <f t="shared" si="47"/>
        <v>334</v>
      </c>
      <c r="W45" s="220">
        <f t="shared" si="47"/>
        <v>310</v>
      </c>
      <c r="X45" s="220">
        <f t="shared" si="47"/>
        <v>352</v>
      </c>
      <c r="Y45" s="220">
        <f t="shared" si="47"/>
        <v>401</v>
      </c>
      <c r="Z45" s="220">
        <v>3</v>
      </c>
      <c r="AA45" s="220">
        <v>5</v>
      </c>
      <c r="AB45" s="220">
        <v>6</v>
      </c>
      <c r="AC45" s="220">
        <v>5</v>
      </c>
      <c r="AD45" s="220">
        <v>2</v>
      </c>
      <c r="AE45" s="220">
        <f t="shared" ref="AE45:AI60" si="48">AE44-Z45</f>
        <v>-156</v>
      </c>
      <c r="AF45" s="220">
        <f t="shared" si="48"/>
        <v>-235</v>
      </c>
      <c r="AG45" s="220">
        <f t="shared" si="48"/>
        <v>-239</v>
      </c>
      <c r="AH45" s="220">
        <f t="shared" si="48"/>
        <v>-207</v>
      </c>
      <c r="AI45" s="220">
        <f t="shared" si="48"/>
        <v>-158</v>
      </c>
      <c r="AJ45" s="50">
        <f t="shared" si="12"/>
        <v>1.5100000000000009</v>
      </c>
      <c r="AK45" s="257"/>
      <c r="AL45" s="257">
        <f t="shared" si="13"/>
        <v>1.2</v>
      </c>
      <c r="AM45" s="52"/>
      <c r="AN45" s="88"/>
    </row>
    <row r="46" spans="1:40" s="29" customFormat="1" ht="17.25" customHeight="1">
      <c r="A46" s="48">
        <v>36</v>
      </c>
      <c r="B46" s="49">
        <f t="shared" si="6"/>
        <v>45611</v>
      </c>
      <c r="C46" s="220">
        <f t="shared" si="7"/>
        <v>1049</v>
      </c>
      <c r="D46" s="220">
        <f t="shared" ref="D46" si="49">D45-26</f>
        <v>2303</v>
      </c>
      <c r="E46" s="220">
        <f t="shared" si="8"/>
        <v>3352</v>
      </c>
      <c r="F46" s="220">
        <f t="shared" si="0"/>
        <v>862</v>
      </c>
      <c r="G46" s="220">
        <f t="shared" si="1"/>
        <v>1023</v>
      </c>
      <c r="H46" s="220">
        <f t="shared" si="2"/>
        <v>1048</v>
      </c>
      <c r="I46" s="220">
        <f t="shared" si="3"/>
        <v>1004</v>
      </c>
      <c r="J46" s="220">
        <f t="shared" si="4"/>
        <v>953</v>
      </c>
      <c r="K46" s="220">
        <f t="shared" si="5"/>
        <v>2490</v>
      </c>
      <c r="L46" s="220">
        <f t="shared" si="5"/>
        <v>2329</v>
      </c>
      <c r="M46" s="220">
        <f t="shared" si="5"/>
        <v>2304</v>
      </c>
      <c r="N46" s="220">
        <f t="shared" si="5"/>
        <v>2348</v>
      </c>
      <c r="O46" s="220">
        <f t="shared" si="5"/>
        <v>2399</v>
      </c>
      <c r="P46" s="220">
        <f t="shared" si="46"/>
        <v>2000</v>
      </c>
      <c r="Q46" s="220">
        <f t="shared" si="46"/>
        <v>2000</v>
      </c>
      <c r="R46" s="220">
        <f t="shared" si="46"/>
        <v>2000</v>
      </c>
      <c r="S46" s="220">
        <f t="shared" si="46"/>
        <v>2000</v>
      </c>
      <c r="T46" s="220">
        <f t="shared" si="46"/>
        <v>2000</v>
      </c>
      <c r="U46" s="220">
        <f t="shared" si="47"/>
        <v>490</v>
      </c>
      <c r="V46" s="220">
        <f t="shared" si="47"/>
        <v>329</v>
      </c>
      <c r="W46" s="220">
        <f t="shared" si="47"/>
        <v>304</v>
      </c>
      <c r="X46" s="220">
        <f t="shared" si="47"/>
        <v>348</v>
      </c>
      <c r="Y46" s="220">
        <f t="shared" si="47"/>
        <v>399</v>
      </c>
      <c r="Z46" s="220">
        <v>3</v>
      </c>
      <c r="AA46" s="220">
        <v>5</v>
      </c>
      <c r="AB46" s="220">
        <v>6</v>
      </c>
      <c r="AC46" s="220">
        <v>4</v>
      </c>
      <c r="AD46" s="220">
        <v>2</v>
      </c>
      <c r="AE46" s="220">
        <f t="shared" si="48"/>
        <v>-159</v>
      </c>
      <c r="AF46" s="220">
        <f t="shared" si="48"/>
        <v>-240</v>
      </c>
      <c r="AG46" s="220">
        <f t="shared" si="48"/>
        <v>-245</v>
      </c>
      <c r="AH46" s="220">
        <f t="shared" si="48"/>
        <v>-211</v>
      </c>
      <c r="AI46" s="220">
        <f t="shared" si="48"/>
        <v>-160</v>
      </c>
      <c r="AJ46" s="50">
        <f t="shared" si="12"/>
        <v>1.5040000000000009</v>
      </c>
      <c r="AK46" s="257"/>
      <c r="AL46" s="257">
        <f t="shared" si="13"/>
        <v>1.2</v>
      </c>
      <c r="AM46" s="52"/>
      <c r="AN46" s="88"/>
    </row>
    <row r="47" spans="1:40" s="29" customFormat="1" ht="17.25" customHeight="1">
      <c r="A47" s="48">
        <v>37</v>
      </c>
      <c r="B47" s="49">
        <f t="shared" si="6"/>
        <v>45612</v>
      </c>
      <c r="C47" s="220">
        <f t="shared" si="7"/>
        <v>1049</v>
      </c>
      <c r="D47" s="220">
        <f t="shared" ref="D47" si="50">D46+15</f>
        <v>2318</v>
      </c>
      <c r="E47" s="220">
        <f t="shared" si="8"/>
        <v>3367</v>
      </c>
      <c r="F47" s="220">
        <f t="shared" si="0"/>
        <v>879</v>
      </c>
      <c r="G47" s="220">
        <f t="shared" si="1"/>
        <v>1043</v>
      </c>
      <c r="H47" s="220">
        <f t="shared" si="2"/>
        <v>1069</v>
      </c>
      <c r="I47" s="220">
        <f t="shared" si="3"/>
        <v>1023</v>
      </c>
      <c r="J47" s="220">
        <f t="shared" si="4"/>
        <v>969</v>
      </c>
      <c r="K47" s="220">
        <f t="shared" si="5"/>
        <v>2488</v>
      </c>
      <c r="L47" s="220">
        <f t="shared" si="5"/>
        <v>2324</v>
      </c>
      <c r="M47" s="220">
        <f t="shared" si="5"/>
        <v>2298</v>
      </c>
      <c r="N47" s="220">
        <f t="shared" si="5"/>
        <v>2344</v>
      </c>
      <c r="O47" s="220">
        <f t="shared" si="5"/>
        <v>2398</v>
      </c>
      <c r="P47" s="220">
        <f t="shared" si="46"/>
        <v>2000</v>
      </c>
      <c r="Q47" s="220">
        <f t="shared" si="46"/>
        <v>2000</v>
      </c>
      <c r="R47" s="220">
        <f t="shared" si="46"/>
        <v>2000</v>
      </c>
      <c r="S47" s="220">
        <f t="shared" si="46"/>
        <v>2000</v>
      </c>
      <c r="T47" s="220">
        <f t="shared" si="46"/>
        <v>2000</v>
      </c>
      <c r="U47" s="220">
        <f t="shared" si="47"/>
        <v>488</v>
      </c>
      <c r="V47" s="220">
        <f t="shared" si="47"/>
        <v>324</v>
      </c>
      <c r="W47" s="220">
        <f t="shared" si="47"/>
        <v>298</v>
      </c>
      <c r="X47" s="220">
        <f t="shared" si="47"/>
        <v>344</v>
      </c>
      <c r="Y47" s="220">
        <f t="shared" si="47"/>
        <v>398</v>
      </c>
      <c r="Z47" s="220">
        <v>2</v>
      </c>
      <c r="AA47" s="220">
        <v>5</v>
      </c>
      <c r="AB47" s="220">
        <v>6</v>
      </c>
      <c r="AC47" s="220">
        <v>4</v>
      </c>
      <c r="AD47" s="220">
        <v>1</v>
      </c>
      <c r="AE47" s="220">
        <f t="shared" si="48"/>
        <v>-161</v>
      </c>
      <c r="AF47" s="220">
        <f t="shared" si="48"/>
        <v>-245</v>
      </c>
      <c r="AG47" s="220">
        <f t="shared" si="48"/>
        <v>-251</v>
      </c>
      <c r="AH47" s="220">
        <f t="shared" si="48"/>
        <v>-215</v>
      </c>
      <c r="AI47" s="220">
        <f t="shared" si="48"/>
        <v>-161</v>
      </c>
      <c r="AJ47" s="50">
        <f t="shared" si="12"/>
        <v>1.4980000000000009</v>
      </c>
      <c r="AK47" s="257"/>
      <c r="AL47" s="257">
        <f t="shared" si="13"/>
        <v>1.2</v>
      </c>
      <c r="AM47" s="52"/>
      <c r="AN47" s="88"/>
    </row>
    <row r="48" spans="1:40" s="29" customFormat="1" ht="17.25" customHeight="1">
      <c r="A48" s="48">
        <v>38</v>
      </c>
      <c r="B48" s="49">
        <f t="shared" si="6"/>
        <v>45613</v>
      </c>
      <c r="C48" s="220">
        <f t="shared" si="7"/>
        <v>1049</v>
      </c>
      <c r="D48" s="220">
        <f t="shared" ref="D48" si="51">D47+26</f>
        <v>2344</v>
      </c>
      <c r="E48" s="220">
        <f t="shared" si="8"/>
        <v>3393</v>
      </c>
      <c r="F48" s="220">
        <f t="shared" si="0"/>
        <v>907</v>
      </c>
      <c r="G48" s="220">
        <f t="shared" si="1"/>
        <v>1072</v>
      </c>
      <c r="H48" s="220">
        <f t="shared" si="2"/>
        <v>1100</v>
      </c>
      <c r="I48" s="220">
        <f t="shared" si="3"/>
        <v>1052</v>
      </c>
      <c r="J48" s="220">
        <f t="shared" si="4"/>
        <v>996</v>
      </c>
      <c r="K48" s="220">
        <f t="shared" si="5"/>
        <v>2486</v>
      </c>
      <c r="L48" s="220">
        <f t="shared" si="5"/>
        <v>2321</v>
      </c>
      <c r="M48" s="220">
        <f t="shared" si="5"/>
        <v>2293</v>
      </c>
      <c r="N48" s="220">
        <f t="shared" si="5"/>
        <v>2341</v>
      </c>
      <c r="O48" s="220">
        <f t="shared" si="5"/>
        <v>2397</v>
      </c>
      <c r="P48" s="220">
        <f t="shared" si="46"/>
        <v>2000</v>
      </c>
      <c r="Q48" s="220">
        <f t="shared" si="46"/>
        <v>2000</v>
      </c>
      <c r="R48" s="220">
        <f t="shared" si="46"/>
        <v>2000</v>
      </c>
      <c r="S48" s="220">
        <f t="shared" si="46"/>
        <v>2000</v>
      </c>
      <c r="T48" s="220">
        <f t="shared" si="46"/>
        <v>2000</v>
      </c>
      <c r="U48" s="220">
        <f t="shared" si="47"/>
        <v>486</v>
      </c>
      <c r="V48" s="220">
        <f t="shared" si="47"/>
        <v>321</v>
      </c>
      <c r="W48" s="220">
        <f t="shared" si="47"/>
        <v>293</v>
      </c>
      <c r="X48" s="220">
        <f t="shared" si="47"/>
        <v>341</v>
      </c>
      <c r="Y48" s="220">
        <f t="shared" si="47"/>
        <v>397</v>
      </c>
      <c r="Z48" s="220">
        <v>2</v>
      </c>
      <c r="AA48" s="220">
        <v>3</v>
      </c>
      <c r="AB48" s="220">
        <v>5</v>
      </c>
      <c r="AC48" s="220">
        <v>3</v>
      </c>
      <c r="AD48" s="220">
        <v>1</v>
      </c>
      <c r="AE48" s="220">
        <f t="shared" si="48"/>
        <v>-163</v>
      </c>
      <c r="AF48" s="220">
        <f t="shared" si="48"/>
        <v>-248</v>
      </c>
      <c r="AG48" s="220">
        <f t="shared" si="48"/>
        <v>-256</v>
      </c>
      <c r="AH48" s="220">
        <f t="shared" si="48"/>
        <v>-218</v>
      </c>
      <c r="AI48" s="220">
        <f t="shared" si="48"/>
        <v>-162</v>
      </c>
      <c r="AJ48" s="50">
        <f t="shared" si="12"/>
        <v>1.493000000000001</v>
      </c>
      <c r="AK48" s="257"/>
      <c r="AL48" s="257">
        <f t="shared" si="13"/>
        <v>1.2</v>
      </c>
      <c r="AM48" s="52"/>
      <c r="AN48" s="88"/>
    </row>
    <row r="49" spans="1:40" s="29" customFormat="1" ht="17.25" customHeight="1">
      <c r="A49" s="48">
        <v>39</v>
      </c>
      <c r="B49" s="49">
        <f t="shared" si="6"/>
        <v>45614</v>
      </c>
      <c r="C49" s="220">
        <f t="shared" si="7"/>
        <v>1049</v>
      </c>
      <c r="D49" s="220">
        <f t="shared" ref="D49" si="52">D48+32</f>
        <v>2376</v>
      </c>
      <c r="E49" s="220">
        <f t="shared" si="8"/>
        <v>3425</v>
      </c>
      <c r="F49" s="220">
        <f t="shared" si="0"/>
        <v>941</v>
      </c>
      <c r="G49" s="220">
        <f t="shared" si="1"/>
        <v>1110</v>
      </c>
      <c r="H49" s="220">
        <f t="shared" si="2"/>
        <v>1137</v>
      </c>
      <c r="I49" s="220">
        <f t="shared" si="3"/>
        <v>1087</v>
      </c>
      <c r="J49" s="220">
        <f t="shared" si="4"/>
        <v>1029</v>
      </c>
      <c r="K49" s="220">
        <f t="shared" si="5"/>
        <v>2484</v>
      </c>
      <c r="L49" s="220">
        <f t="shared" si="5"/>
        <v>2315</v>
      </c>
      <c r="M49" s="220">
        <f t="shared" si="5"/>
        <v>2288</v>
      </c>
      <c r="N49" s="220">
        <f t="shared" si="5"/>
        <v>2338</v>
      </c>
      <c r="O49" s="220">
        <f t="shared" si="5"/>
        <v>2396</v>
      </c>
      <c r="P49" s="220">
        <f t="shared" si="46"/>
        <v>2000</v>
      </c>
      <c r="Q49" s="220">
        <f t="shared" si="46"/>
        <v>2000</v>
      </c>
      <c r="R49" s="220">
        <f t="shared" si="46"/>
        <v>2000</v>
      </c>
      <c r="S49" s="220">
        <f t="shared" si="46"/>
        <v>2000</v>
      </c>
      <c r="T49" s="220">
        <f t="shared" si="46"/>
        <v>2000</v>
      </c>
      <c r="U49" s="220">
        <f t="shared" si="47"/>
        <v>484</v>
      </c>
      <c r="V49" s="220">
        <f t="shared" si="47"/>
        <v>315</v>
      </c>
      <c r="W49" s="220">
        <f t="shared" si="47"/>
        <v>288</v>
      </c>
      <c r="X49" s="220">
        <f t="shared" si="47"/>
        <v>338</v>
      </c>
      <c r="Y49" s="220">
        <f t="shared" si="47"/>
        <v>396</v>
      </c>
      <c r="Z49" s="220">
        <v>2</v>
      </c>
      <c r="AA49" s="220">
        <v>6</v>
      </c>
      <c r="AB49" s="220">
        <v>5</v>
      </c>
      <c r="AC49" s="220">
        <v>3</v>
      </c>
      <c r="AD49" s="220">
        <v>1</v>
      </c>
      <c r="AE49" s="220">
        <f t="shared" si="48"/>
        <v>-165</v>
      </c>
      <c r="AF49" s="220">
        <f t="shared" si="48"/>
        <v>-254</v>
      </c>
      <c r="AG49" s="220">
        <f t="shared" si="48"/>
        <v>-261</v>
      </c>
      <c r="AH49" s="220">
        <f t="shared" si="48"/>
        <v>-221</v>
      </c>
      <c r="AI49" s="220">
        <f t="shared" si="48"/>
        <v>-163</v>
      </c>
      <c r="AJ49" s="50">
        <f t="shared" si="12"/>
        <v>1.4880000000000011</v>
      </c>
      <c r="AK49" s="257"/>
      <c r="AL49" s="257">
        <f t="shared" si="13"/>
        <v>1.2</v>
      </c>
      <c r="AM49" s="52"/>
      <c r="AN49" s="88"/>
    </row>
    <row r="50" spans="1:40" s="29" customFormat="1" ht="17.25" customHeight="1">
      <c r="A50" s="48">
        <v>40</v>
      </c>
      <c r="B50" s="49">
        <f t="shared" si="6"/>
        <v>45615</v>
      </c>
      <c r="C50" s="220">
        <f t="shared" si="7"/>
        <v>1049</v>
      </c>
      <c r="D50" s="220">
        <f t="shared" ref="D50" si="53">D49-18</f>
        <v>2358</v>
      </c>
      <c r="E50" s="220">
        <f t="shared" si="8"/>
        <v>3407</v>
      </c>
      <c r="F50" s="220">
        <f t="shared" si="0"/>
        <v>925</v>
      </c>
      <c r="G50" s="220">
        <f t="shared" si="1"/>
        <v>1095</v>
      </c>
      <c r="H50" s="220">
        <f t="shared" si="2"/>
        <v>1124</v>
      </c>
      <c r="I50" s="220">
        <f t="shared" si="3"/>
        <v>1072</v>
      </c>
      <c r="J50" s="220">
        <f t="shared" si="4"/>
        <v>1012</v>
      </c>
      <c r="K50" s="220">
        <f t="shared" si="5"/>
        <v>2482</v>
      </c>
      <c r="L50" s="220">
        <f t="shared" si="5"/>
        <v>2312</v>
      </c>
      <c r="M50" s="220">
        <f t="shared" si="5"/>
        <v>2283</v>
      </c>
      <c r="N50" s="220">
        <f t="shared" si="5"/>
        <v>2335</v>
      </c>
      <c r="O50" s="220">
        <f t="shared" si="5"/>
        <v>2395</v>
      </c>
      <c r="P50" s="220">
        <f t="shared" si="46"/>
        <v>2000</v>
      </c>
      <c r="Q50" s="220">
        <f t="shared" si="46"/>
        <v>2000</v>
      </c>
      <c r="R50" s="220">
        <f t="shared" si="46"/>
        <v>2000</v>
      </c>
      <c r="S50" s="220">
        <f t="shared" si="46"/>
        <v>2000</v>
      </c>
      <c r="T50" s="220">
        <f t="shared" si="46"/>
        <v>2000</v>
      </c>
      <c r="U50" s="220">
        <f t="shared" si="47"/>
        <v>482</v>
      </c>
      <c r="V50" s="220">
        <f t="shared" si="47"/>
        <v>312</v>
      </c>
      <c r="W50" s="220">
        <f t="shared" si="47"/>
        <v>283</v>
      </c>
      <c r="X50" s="220">
        <f t="shared" si="47"/>
        <v>335</v>
      </c>
      <c r="Y50" s="220">
        <f t="shared" si="47"/>
        <v>395</v>
      </c>
      <c r="Z50" s="220">
        <v>2</v>
      </c>
      <c r="AA50" s="220">
        <v>3</v>
      </c>
      <c r="AB50" s="220">
        <v>5</v>
      </c>
      <c r="AC50" s="220">
        <v>3</v>
      </c>
      <c r="AD50" s="220">
        <v>1</v>
      </c>
      <c r="AE50" s="220">
        <f t="shared" si="48"/>
        <v>-167</v>
      </c>
      <c r="AF50" s="220">
        <f t="shared" si="48"/>
        <v>-257</v>
      </c>
      <c r="AG50" s="220">
        <f t="shared" si="48"/>
        <v>-266</v>
      </c>
      <c r="AH50" s="220">
        <f t="shared" si="48"/>
        <v>-224</v>
      </c>
      <c r="AI50" s="220">
        <f t="shared" si="48"/>
        <v>-164</v>
      </c>
      <c r="AJ50" s="50">
        <f t="shared" si="12"/>
        <v>1.4830000000000012</v>
      </c>
      <c r="AK50" s="257"/>
      <c r="AL50" s="257">
        <f t="shared" si="13"/>
        <v>1.2</v>
      </c>
      <c r="AM50" s="52"/>
      <c r="AN50" s="88"/>
    </row>
    <row r="51" spans="1:40" s="29" customFormat="1" ht="17.25" customHeight="1">
      <c r="A51" s="48">
        <v>41</v>
      </c>
      <c r="B51" s="49">
        <f t="shared" si="6"/>
        <v>45616</v>
      </c>
      <c r="C51" s="220">
        <f t="shared" si="7"/>
        <v>1049</v>
      </c>
      <c r="D51" s="220">
        <f t="shared" ref="D51" si="54">D50-26</f>
        <v>2332</v>
      </c>
      <c r="E51" s="220">
        <f t="shared" si="8"/>
        <v>3381</v>
      </c>
      <c r="F51" s="220">
        <f t="shared" si="0"/>
        <v>900</v>
      </c>
      <c r="G51" s="220">
        <f t="shared" si="1"/>
        <v>1072</v>
      </c>
      <c r="H51" s="220">
        <f t="shared" si="2"/>
        <v>1103</v>
      </c>
      <c r="I51" s="220">
        <f t="shared" si="3"/>
        <v>1048</v>
      </c>
      <c r="J51" s="220">
        <f t="shared" si="4"/>
        <v>987</v>
      </c>
      <c r="K51" s="220">
        <f t="shared" si="5"/>
        <v>2481</v>
      </c>
      <c r="L51" s="220">
        <f t="shared" si="5"/>
        <v>2309</v>
      </c>
      <c r="M51" s="220">
        <f t="shared" si="5"/>
        <v>2278</v>
      </c>
      <c r="N51" s="220">
        <f t="shared" si="5"/>
        <v>2333</v>
      </c>
      <c r="O51" s="220">
        <f t="shared" si="5"/>
        <v>2394</v>
      </c>
      <c r="P51" s="220">
        <f t="shared" si="46"/>
        <v>2000</v>
      </c>
      <c r="Q51" s="220">
        <f t="shared" si="46"/>
        <v>2000</v>
      </c>
      <c r="R51" s="220">
        <f t="shared" si="46"/>
        <v>2000</v>
      </c>
      <c r="S51" s="220">
        <f t="shared" si="46"/>
        <v>2000</v>
      </c>
      <c r="T51" s="220">
        <f t="shared" si="46"/>
        <v>2000</v>
      </c>
      <c r="U51" s="220">
        <f t="shared" si="47"/>
        <v>481</v>
      </c>
      <c r="V51" s="220">
        <f t="shared" si="47"/>
        <v>309</v>
      </c>
      <c r="W51" s="220">
        <f t="shared" si="47"/>
        <v>278</v>
      </c>
      <c r="X51" s="220">
        <f t="shared" si="47"/>
        <v>333</v>
      </c>
      <c r="Y51" s="220">
        <f t="shared" si="47"/>
        <v>394</v>
      </c>
      <c r="Z51" s="220">
        <v>1</v>
      </c>
      <c r="AA51" s="220">
        <v>3</v>
      </c>
      <c r="AB51" s="220">
        <v>5</v>
      </c>
      <c r="AC51" s="220">
        <v>2</v>
      </c>
      <c r="AD51" s="220">
        <v>1</v>
      </c>
      <c r="AE51" s="220">
        <f t="shared" si="48"/>
        <v>-168</v>
      </c>
      <c r="AF51" s="220">
        <f t="shared" si="48"/>
        <v>-260</v>
      </c>
      <c r="AG51" s="220">
        <f t="shared" si="48"/>
        <v>-271</v>
      </c>
      <c r="AH51" s="220">
        <f t="shared" si="48"/>
        <v>-226</v>
      </c>
      <c r="AI51" s="220">
        <f t="shared" si="48"/>
        <v>-165</v>
      </c>
      <c r="AJ51" s="50">
        <f t="shared" si="12"/>
        <v>1.4780000000000013</v>
      </c>
      <c r="AK51" s="257"/>
      <c r="AL51" s="257">
        <f t="shared" si="13"/>
        <v>1.2</v>
      </c>
      <c r="AM51" s="52"/>
      <c r="AN51" s="88"/>
    </row>
    <row r="52" spans="1:40" s="29" customFormat="1" ht="17.25" customHeight="1">
      <c r="A52" s="48">
        <v>42</v>
      </c>
      <c r="B52" s="49">
        <f t="shared" si="6"/>
        <v>45617</v>
      </c>
      <c r="C52" s="220">
        <f t="shared" si="7"/>
        <v>1049</v>
      </c>
      <c r="D52" s="220">
        <f t="shared" ref="D52" si="55">D51+15</f>
        <v>2347</v>
      </c>
      <c r="E52" s="220">
        <f t="shared" si="8"/>
        <v>3396</v>
      </c>
      <c r="F52" s="220">
        <f t="shared" si="0"/>
        <v>916</v>
      </c>
      <c r="G52" s="220">
        <f t="shared" si="1"/>
        <v>1090</v>
      </c>
      <c r="H52" s="220">
        <f t="shared" si="2"/>
        <v>1123</v>
      </c>
      <c r="I52" s="220">
        <f t="shared" si="3"/>
        <v>1065</v>
      </c>
      <c r="J52" s="220">
        <f t="shared" si="4"/>
        <v>1003</v>
      </c>
      <c r="K52" s="220">
        <f t="shared" si="5"/>
        <v>2480</v>
      </c>
      <c r="L52" s="220">
        <f t="shared" si="5"/>
        <v>2306</v>
      </c>
      <c r="M52" s="220">
        <f t="shared" si="5"/>
        <v>2273</v>
      </c>
      <c r="N52" s="220">
        <f t="shared" si="5"/>
        <v>2331</v>
      </c>
      <c r="O52" s="220">
        <f t="shared" si="5"/>
        <v>2393</v>
      </c>
      <c r="P52" s="220">
        <f t="shared" si="46"/>
        <v>2000</v>
      </c>
      <c r="Q52" s="220">
        <f t="shared" si="46"/>
        <v>2000</v>
      </c>
      <c r="R52" s="220">
        <f t="shared" si="46"/>
        <v>2000</v>
      </c>
      <c r="S52" s="220">
        <f t="shared" si="46"/>
        <v>2000</v>
      </c>
      <c r="T52" s="220">
        <f t="shared" si="46"/>
        <v>2000</v>
      </c>
      <c r="U52" s="220">
        <f t="shared" si="47"/>
        <v>480</v>
      </c>
      <c r="V52" s="220">
        <f t="shared" si="47"/>
        <v>306</v>
      </c>
      <c r="W52" s="220">
        <f t="shared" si="47"/>
        <v>273</v>
      </c>
      <c r="X52" s="220">
        <f t="shared" si="47"/>
        <v>331</v>
      </c>
      <c r="Y52" s="220">
        <f t="shared" si="47"/>
        <v>393</v>
      </c>
      <c r="Z52" s="220">
        <v>1</v>
      </c>
      <c r="AA52" s="220">
        <v>3</v>
      </c>
      <c r="AB52" s="220">
        <v>5</v>
      </c>
      <c r="AC52" s="220">
        <v>2</v>
      </c>
      <c r="AD52" s="220">
        <v>1</v>
      </c>
      <c r="AE52" s="220">
        <f t="shared" si="48"/>
        <v>-169</v>
      </c>
      <c r="AF52" s="220">
        <f t="shared" si="48"/>
        <v>-263</v>
      </c>
      <c r="AG52" s="220">
        <f t="shared" si="48"/>
        <v>-276</v>
      </c>
      <c r="AH52" s="220">
        <f t="shared" si="48"/>
        <v>-228</v>
      </c>
      <c r="AI52" s="220">
        <f t="shared" si="48"/>
        <v>-166</v>
      </c>
      <c r="AJ52" s="50">
        <f t="shared" si="12"/>
        <v>1.4730000000000014</v>
      </c>
      <c r="AK52" s="257"/>
      <c r="AL52" s="257">
        <f t="shared" si="13"/>
        <v>1.2</v>
      </c>
      <c r="AM52" s="52"/>
      <c r="AN52" s="88"/>
    </row>
    <row r="53" spans="1:40" s="29" customFormat="1" ht="17.25" customHeight="1">
      <c r="A53" s="48">
        <v>43</v>
      </c>
      <c r="B53" s="49">
        <f t="shared" si="6"/>
        <v>45618</v>
      </c>
      <c r="C53" s="220">
        <f t="shared" si="7"/>
        <v>1049</v>
      </c>
      <c r="D53" s="220">
        <f t="shared" ref="D53" si="56">D52+26</f>
        <v>2373</v>
      </c>
      <c r="E53" s="220">
        <f t="shared" si="8"/>
        <v>3422</v>
      </c>
      <c r="F53" s="220">
        <f t="shared" si="0"/>
        <v>943</v>
      </c>
      <c r="G53" s="220">
        <f t="shared" si="1"/>
        <v>1119</v>
      </c>
      <c r="H53" s="220">
        <f t="shared" si="2"/>
        <v>1154</v>
      </c>
      <c r="I53" s="220">
        <f t="shared" si="3"/>
        <v>1093</v>
      </c>
      <c r="J53" s="220">
        <f t="shared" si="4"/>
        <v>1030</v>
      </c>
      <c r="K53" s="220">
        <f t="shared" si="5"/>
        <v>2479</v>
      </c>
      <c r="L53" s="220">
        <f t="shared" si="5"/>
        <v>2303</v>
      </c>
      <c r="M53" s="220">
        <f t="shared" si="5"/>
        <v>2268</v>
      </c>
      <c r="N53" s="220">
        <f t="shared" si="5"/>
        <v>2329</v>
      </c>
      <c r="O53" s="220">
        <f t="shared" si="5"/>
        <v>2392</v>
      </c>
      <c r="P53" s="220">
        <f t="shared" si="46"/>
        <v>2000</v>
      </c>
      <c r="Q53" s="220">
        <f t="shared" si="46"/>
        <v>2000</v>
      </c>
      <c r="R53" s="220">
        <f t="shared" si="46"/>
        <v>2000</v>
      </c>
      <c r="S53" s="220">
        <f t="shared" si="46"/>
        <v>2000</v>
      </c>
      <c r="T53" s="220">
        <f t="shared" si="46"/>
        <v>2000</v>
      </c>
      <c r="U53" s="220">
        <f t="shared" si="47"/>
        <v>479</v>
      </c>
      <c r="V53" s="220">
        <f t="shared" si="47"/>
        <v>303</v>
      </c>
      <c r="W53" s="220">
        <f t="shared" si="47"/>
        <v>268</v>
      </c>
      <c r="X53" s="220">
        <f t="shared" si="47"/>
        <v>329</v>
      </c>
      <c r="Y53" s="220">
        <f t="shared" si="47"/>
        <v>392</v>
      </c>
      <c r="Z53" s="220">
        <v>1</v>
      </c>
      <c r="AA53" s="220">
        <v>3</v>
      </c>
      <c r="AB53" s="220">
        <v>5</v>
      </c>
      <c r="AC53" s="220">
        <v>2</v>
      </c>
      <c r="AD53" s="220">
        <v>1</v>
      </c>
      <c r="AE53" s="220">
        <f t="shared" si="48"/>
        <v>-170</v>
      </c>
      <c r="AF53" s="220">
        <f t="shared" si="48"/>
        <v>-266</v>
      </c>
      <c r="AG53" s="220">
        <f t="shared" si="48"/>
        <v>-281</v>
      </c>
      <c r="AH53" s="220">
        <f t="shared" si="48"/>
        <v>-230</v>
      </c>
      <c r="AI53" s="220">
        <f t="shared" si="48"/>
        <v>-167</v>
      </c>
      <c r="AJ53" s="50">
        <f t="shared" si="12"/>
        <v>1.4680000000000015</v>
      </c>
      <c r="AK53" s="257"/>
      <c r="AL53" s="257">
        <f t="shared" si="13"/>
        <v>1.2</v>
      </c>
      <c r="AM53" s="52"/>
      <c r="AN53" s="88"/>
    </row>
    <row r="54" spans="1:40" s="29" customFormat="1" ht="17.25" customHeight="1">
      <c r="A54" s="48">
        <v>44</v>
      </c>
      <c r="B54" s="49">
        <f t="shared" si="6"/>
        <v>45619</v>
      </c>
      <c r="C54" s="220">
        <f t="shared" si="7"/>
        <v>1049</v>
      </c>
      <c r="D54" s="220">
        <f t="shared" ref="D54" si="57">D53+32</f>
        <v>2405</v>
      </c>
      <c r="E54" s="220">
        <f t="shared" si="8"/>
        <v>3454</v>
      </c>
      <c r="F54" s="220">
        <f t="shared" si="0"/>
        <v>976</v>
      </c>
      <c r="G54" s="220">
        <f t="shared" si="1"/>
        <v>1153</v>
      </c>
      <c r="H54" s="220">
        <f t="shared" si="2"/>
        <v>1191</v>
      </c>
      <c r="I54" s="220">
        <f t="shared" si="3"/>
        <v>1127</v>
      </c>
      <c r="J54" s="220">
        <f t="shared" si="4"/>
        <v>1062</v>
      </c>
      <c r="K54" s="220">
        <f t="shared" si="5"/>
        <v>2478</v>
      </c>
      <c r="L54" s="220">
        <f t="shared" si="5"/>
        <v>2301</v>
      </c>
      <c r="M54" s="220">
        <f t="shared" si="5"/>
        <v>2263</v>
      </c>
      <c r="N54" s="220">
        <f t="shared" si="5"/>
        <v>2327</v>
      </c>
      <c r="O54" s="220">
        <f t="shared" si="5"/>
        <v>2392</v>
      </c>
      <c r="P54" s="220">
        <f t="shared" si="46"/>
        <v>2000</v>
      </c>
      <c r="Q54" s="220">
        <f t="shared" si="46"/>
        <v>2000</v>
      </c>
      <c r="R54" s="220">
        <f t="shared" si="46"/>
        <v>2000</v>
      </c>
      <c r="S54" s="220">
        <f t="shared" si="46"/>
        <v>2000</v>
      </c>
      <c r="T54" s="220">
        <f t="shared" si="46"/>
        <v>2000</v>
      </c>
      <c r="U54" s="220">
        <f t="shared" si="47"/>
        <v>478</v>
      </c>
      <c r="V54" s="220">
        <f t="shared" si="47"/>
        <v>301</v>
      </c>
      <c r="W54" s="220">
        <f t="shared" si="47"/>
        <v>263</v>
      </c>
      <c r="X54" s="220">
        <f t="shared" si="47"/>
        <v>327</v>
      </c>
      <c r="Y54" s="220">
        <f t="shared" si="47"/>
        <v>392</v>
      </c>
      <c r="Z54" s="220">
        <v>1</v>
      </c>
      <c r="AA54" s="220">
        <v>2</v>
      </c>
      <c r="AB54" s="220">
        <v>5</v>
      </c>
      <c r="AC54" s="220">
        <v>2</v>
      </c>
      <c r="AD54" s="220">
        <v>0</v>
      </c>
      <c r="AE54" s="220">
        <f t="shared" si="48"/>
        <v>-171</v>
      </c>
      <c r="AF54" s="220">
        <f t="shared" si="48"/>
        <v>-268</v>
      </c>
      <c r="AG54" s="220">
        <f t="shared" si="48"/>
        <v>-286</v>
      </c>
      <c r="AH54" s="220">
        <f t="shared" si="48"/>
        <v>-232</v>
      </c>
      <c r="AI54" s="220">
        <f t="shared" si="48"/>
        <v>-167</v>
      </c>
      <c r="AJ54" s="50">
        <f t="shared" si="12"/>
        <v>1.4630000000000016</v>
      </c>
      <c r="AK54" s="257"/>
      <c r="AL54" s="257">
        <f t="shared" si="13"/>
        <v>1.2</v>
      </c>
      <c r="AM54" s="52"/>
      <c r="AN54" s="88"/>
    </row>
    <row r="55" spans="1:40" s="29" customFormat="1" ht="17.25" customHeight="1">
      <c r="A55" s="48">
        <v>45</v>
      </c>
      <c r="B55" s="49">
        <f t="shared" si="6"/>
        <v>45620</v>
      </c>
      <c r="C55" s="220">
        <f t="shared" si="7"/>
        <v>1049</v>
      </c>
      <c r="D55" s="220">
        <f t="shared" ref="D55" si="58">D54-18</f>
        <v>2387</v>
      </c>
      <c r="E55" s="220">
        <f t="shared" si="8"/>
        <v>3436</v>
      </c>
      <c r="F55" s="220">
        <f t="shared" si="0"/>
        <v>959</v>
      </c>
      <c r="G55" s="220">
        <f t="shared" si="1"/>
        <v>1137</v>
      </c>
      <c r="H55" s="220">
        <f t="shared" si="2"/>
        <v>1177</v>
      </c>
      <c r="I55" s="220">
        <f t="shared" si="3"/>
        <v>1110</v>
      </c>
      <c r="J55" s="220">
        <f t="shared" si="4"/>
        <v>1044</v>
      </c>
      <c r="K55" s="220">
        <f t="shared" si="5"/>
        <v>2477</v>
      </c>
      <c r="L55" s="220">
        <f t="shared" si="5"/>
        <v>2299</v>
      </c>
      <c r="M55" s="220">
        <f t="shared" si="5"/>
        <v>2259</v>
      </c>
      <c r="N55" s="220">
        <f t="shared" si="5"/>
        <v>2326</v>
      </c>
      <c r="O55" s="220">
        <f t="shared" si="5"/>
        <v>2392</v>
      </c>
      <c r="P55" s="220">
        <f t="shared" si="46"/>
        <v>2000</v>
      </c>
      <c r="Q55" s="220">
        <f t="shared" si="46"/>
        <v>2000</v>
      </c>
      <c r="R55" s="220">
        <f t="shared" si="46"/>
        <v>2000</v>
      </c>
      <c r="S55" s="220">
        <f t="shared" si="46"/>
        <v>2000</v>
      </c>
      <c r="T55" s="220">
        <f t="shared" si="46"/>
        <v>2000</v>
      </c>
      <c r="U55" s="220">
        <f t="shared" si="47"/>
        <v>477</v>
      </c>
      <c r="V55" s="220">
        <f t="shared" si="47"/>
        <v>299</v>
      </c>
      <c r="W55" s="220">
        <f t="shared" si="47"/>
        <v>259</v>
      </c>
      <c r="X55" s="220">
        <f t="shared" si="47"/>
        <v>326</v>
      </c>
      <c r="Y55" s="220">
        <f t="shared" si="47"/>
        <v>392</v>
      </c>
      <c r="Z55" s="220">
        <v>1</v>
      </c>
      <c r="AA55" s="220">
        <v>2</v>
      </c>
      <c r="AB55" s="220">
        <v>4</v>
      </c>
      <c r="AC55" s="220">
        <v>1</v>
      </c>
      <c r="AD55" s="220">
        <v>0</v>
      </c>
      <c r="AE55" s="220">
        <f t="shared" si="48"/>
        <v>-172</v>
      </c>
      <c r="AF55" s="220">
        <f t="shared" si="48"/>
        <v>-270</v>
      </c>
      <c r="AG55" s="220">
        <f t="shared" si="48"/>
        <v>-290</v>
      </c>
      <c r="AH55" s="220">
        <f t="shared" si="48"/>
        <v>-233</v>
      </c>
      <c r="AI55" s="220">
        <f t="shared" si="48"/>
        <v>-167</v>
      </c>
      <c r="AJ55" s="50">
        <f t="shared" si="12"/>
        <v>1.4590000000000016</v>
      </c>
      <c r="AK55" s="257"/>
      <c r="AL55" s="257">
        <f t="shared" si="13"/>
        <v>1.2</v>
      </c>
      <c r="AM55" s="52"/>
      <c r="AN55" s="88"/>
    </row>
    <row r="56" spans="1:40" s="29" customFormat="1" ht="17.25" customHeight="1">
      <c r="A56" s="48">
        <v>46</v>
      </c>
      <c r="B56" s="49">
        <f t="shared" si="6"/>
        <v>45621</v>
      </c>
      <c r="C56" s="220">
        <f t="shared" si="7"/>
        <v>1049</v>
      </c>
      <c r="D56" s="220">
        <v>1986</v>
      </c>
      <c r="E56" s="220">
        <f t="shared" si="8"/>
        <v>3035</v>
      </c>
      <c r="F56" s="220">
        <f t="shared" si="0"/>
        <v>559</v>
      </c>
      <c r="G56" s="220">
        <f t="shared" si="1"/>
        <v>738</v>
      </c>
      <c r="H56" s="220">
        <f t="shared" si="2"/>
        <v>780</v>
      </c>
      <c r="I56" s="220">
        <f t="shared" si="3"/>
        <v>710</v>
      </c>
      <c r="J56" s="220">
        <f t="shared" si="4"/>
        <v>645</v>
      </c>
      <c r="K56" s="220">
        <f t="shared" si="5"/>
        <v>2476</v>
      </c>
      <c r="L56" s="220">
        <f t="shared" si="5"/>
        <v>2297</v>
      </c>
      <c r="M56" s="220">
        <f t="shared" si="5"/>
        <v>2255</v>
      </c>
      <c r="N56" s="220">
        <f t="shared" si="5"/>
        <v>2325</v>
      </c>
      <c r="O56" s="220">
        <f t="shared" si="5"/>
        <v>2390</v>
      </c>
      <c r="P56" s="220">
        <f t="shared" si="46"/>
        <v>2000</v>
      </c>
      <c r="Q56" s="220">
        <f t="shared" si="46"/>
        <v>2000</v>
      </c>
      <c r="R56" s="220">
        <f t="shared" si="46"/>
        <v>2000</v>
      </c>
      <c r="S56" s="220">
        <f t="shared" si="46"/>
        <v>2000</v>
      </c>
      <c r="T56" s="220">
        <f t="shared" si="46"/>
        <v>2000</v>
      </c>
      <c r="U56" s="220">
        <f t="shared" si="47"/>
        <v>476</v>
      </c>
      <c r="V56" s="220">
        <f t="shared" si="47"/>
        <v>297</v>
      </c>
      <c r="W56" s="220">
        <f t="shared" si="47"/>
        <v>255</v>
      </c>
      <c r="X56" s="220">
        <f t="shared" si="47"/>
        <v>325</v>
      </c>
      <c r="Y56" s="220">
        <f t="shared" si="47"/>
        <v>390</v>
      </c>
      <c r="Z56" s="220">
        <v>1</v>
      </c>
      <c r="AA56" s="220">
        <v>2</v>
      </c>
      <c r="AB56" s="220">
        <v>4</v>
      </c>
      <c r="AC56" s="220">
        <v>1</v>
      </c>
      <c r="AD56" s="220">
        <v>2</v>
      </c>
      <c r="AE56" s="220">
        <f t="shared" si="48"/>
        <v>-173</v>
      </c>
      <c r="AF56" s="220">
        <f t="shared" si="48"/>
        <v>-272</v>
      </c>
      <c r="AG56" s="220">
        <f t="shared" si="48"/>
        <v>-294</v>
      </c>
      <c r="AH56" s="220">
        <f t="shared" si="48"/>
        <v>-234</v>
      </c>
      <c r="AI56" s="220">
        <f t="shared" si="48"/>
        <v>-169</v>
      </c>
      <c r="AJ56" s="50">
        <f t="shared" si="12"/>
        <v>1.4550000000000016</v>
      </c>
      <c r="AK56" s="257"/>
      <c r="AL56" s="257">
        <f t="shared" si="13"/>
        <v>1.2</v>
      </c>
      <c r="AM56" s="52"/>
      <c r="AN56" s="88"/>
    </row>
    <row r="57" spans="1:40" s="29" customFormat="1" ht="17.25" customHeight="1">
      <c r="A57" s="48">
        <v>47</v>
      </c>
      <c r="B57" s="49">
        <f t="shared" si="6"/>
        <v>45622</v>
      </c>
      <c r="C57" s="220">
        <f t="shared" si="7"/>
        <v>1049</v>
      </c>
      <c r="D57" s="220">
        <f t="shared" ref="D57" si="59">D56+15</f>
        <v>2001</v>
      </c>
      <c r="E57" s="220">
        <f t="shared" si="8"/>
        <v>3050</v>
      </c>
      <c r="F57" s="220">
        <f t="shared" si="0"/>
        <v>575</v>
      </c>
      <c r="G57" s="220">
        <f t="shared" si="1"/>
        <v>755</v>
      </c>
      <c r="H57" s="220">
        <f t="shared" si="2"/>
        <v>799</v>
      </c>
      <c r="I57" s="220">
        <f t="shared" si="3"/>
        <v>726</v>
      </c>
      <c r="J57" s="220">
        <f t="shared" si="4"/>
        <v>660</v>
      </c>
      <c r="K57" s="220">
        <f t="shared" si="5"/>
        <v>2475</v>
      </c>
      <c r="L57" s="220">
        <f t="shared" si="5"/>
        <v>2295</v>
      </c>
      <c r="M57" s="220">
        <f t="shared" si="5"/>
        <v>2251</v>
      </c>
      <c r="N57" s="220">
        <f t="shared" si="5"/>
        <v>2324</v>
      </c>
      <c r="O57" s="220">
        <f t="shared" si="5"/>
        <v>2390</v>
      </c>
      <c r="P57" s="220">
        <f t="shared" si="46"/>
        <v>2000</v>
      </c>
      <c r="Q57" s="220">
        <f t="shared" si="46"/>
        <v>2000</v>
      </c>
      <c r="R57" s="220">
        <f t="shared" si="46"/>
        <v>2000</v>
      </c>
      <c r="S57" s="220">
        <f t="shared" si="46"/>
        <v>2000</v>
      </c>
      <c r="T57" s="220">
        <f t="shared" si="46"/>
        <v>2000</v>
      </c>
      <c r="U57" s="220">
        <f t="shared" si="47"/>
        <v>475</v>
      </c>
      <c r="V57" s="220">
        <f t="shared" si="47"/>
        <v>295</v>
      </c>
      <c r="W57" s="220">
        <f t="shared" si="47"/>
        <v>251</v>
      </c>
      <c r="X57" s="220">
        <f t="shared" si="47"/>
        <v>324</v>
      </c>
      <c r="Y57" s="220">
        <f t="shared" si="47"/>
        <v>390</v>
      </c>
      <c r="Z57" s="220">
        <v>1</v>
      </c>
      <c r="AA57" s="220">
        <v>2</v>
      </c>
      <c r="AB57" s="220">
        <v>4</v>
      </c>
      <c r="AC57" s="220">
        <v>1</v>
      </c>
      <c r="AD57" s="220">
        <v>0</v>
      </c>
      <c r="AE57" s="220">
        <f t="shared" si="48"/>
        <v>-174</v>
      </c>
      <c r="AF57" s="220">
        <f t="shared" si="48"/>
        <v>-274</v>
      </c>
      <c r="AG57" s="220">
        <f t="shared" si="48"/>
        <v>-298</v>
      </c>
      <c r="AH57" s="220">
        <f t="shared" si="48"/>
        <v>-235</v>
      </c>
      <c r="AI57" s="220">
        <f t="shared" si="48"/>
        <v>-169</v>
      </c>
      <c r="AJ57" s="50">
        <f t="shared" si="12"/>
        <v>1.4510000000000016</v>
      </c>
      <c r="AK57" s="257"/>
      <c r="AL57" s="257">
        <f t="shared" si="13"/>
        <v>1.2</v>
      </c>
      <c r="AM57" s="52"/>
      <c r="AN57" s="88"/>
    </row>
    <row r="58" spans="1:40" s="29" customFormat="1" ht="17.25" customHeight="1">
      <c r="A58" s="48">
        <v>48</v>
      </c>
      <c r="B58" s="49">
        <f t="shared" si="6"/>
        <v>45623</v>
      </c>
      <c r="C58" s="220">
        <f t="shared" si="7"/>
        <v>1049</v>
      </c>
      <c r="D58" s="220">
        <f t="shared" ref="D58" si="60">D57+26</f>
        <v>2027</v>
      </c>
      <c r="E58" s="220">
        <f t="shared" si="8"/>
        <v>3076</v>
      </c>
      <c r="F58" s="220">
        <f t="shared" si="0"/>
        <v>601</v>
      </c>
      <c r="G58" s="220">
        <f t="shared" si="1"/>
        <v>784</v>
      </c>
      <c r="H58" s="220">
        <f t="shared" si="2"/>
        <v>829</v>
      </c>
      <c r="I58" s="220">
        <f t="shared" si="3"/>
        <v>753</v>
      </c>
      <c r="J58" s="220">
        <f t="shared" si="4"/>
        <v>686</v>
      </c>
      <c r="K58" s="220">
        <f t="shared" si="5"/>
        <v>2475</v>
      </c>
      <c r="L58" s="220">
        <f t="shared" si="5"/>
        <v>2292</v>
      </c>
      <c r="M58" s="220">
        <f t="shared" si="5"/>
        <v>2247</v>
      </c>
      <c r="N58" s="220">
        <f t="shared" si="5"/>
        <v>2323</v>
      </c>
      <c r="O58" s="220">
        <f t="shared" si="5"/>
        <v>2390</v>
      </c>
      <c r="P58" s="220">
        <f t="shared" si="46"/>
        <v>2000</v>
      </c>
      <c r="Q58" s="220">
        <f t="shared" si="46"/>
        <v>2000</v>
      </c>
      <c r="R58" s="220">
        <f t="shared" si="46"/>
        <v>2000</v>
      </c>
      <c r="S58" s="220">
        <f t="shared" si="46"/>
        <v>2000</v>
      </c>
      <c r="T58" s="220">
        <f t="shared" si="46"/>
        <v>2000</v>
      </c>
      <c r="U58" s="220">
        <f t="shared" si="47"/>
        <v>475</v>
      </c>
      <c r="V58" s="220">
        <f t="shared" si="47"/>
        <v>292</v>
      </c>
      <c r="W58" s="220">
        <f t="shared" si="47"/>
        <v>247</v>
      </c>
      <c r="X58" s="220">
        <f t="shared" si="47"/>
        <v>323</v>
      </c>
      <c r="Y58" s="220">
        <f t="shared" si="47"/>
        <v>390</v>
      </c>
      <c r="Z58" s="220">
        <v>0</v>
      </c>
      <c r="AA58" s="220">
        <v>3</v>
      </c>
      <c r="AB58" s="220">
        <v>4</v>
      </c>
      <c r="AC58" s="220">
        <v>1</v>
      </c>
      <c r="AD58" s="220">
        <v>0</v>
      </c>
      <c r="AE58" s="220">
        <f t="shared" si="48"/>
        <v>-174</v>
      </c>
      <c r="AF58" s="220">
        <f t="shared" si="48"/>
        <v>-277</v>
      </c>
      <c r="AG58" s="220">
        <f t="shared" si="48"/>
        <v>-302</v>
      </c>
      <c r="AH58" s="220">
        <f t="shared" si="48"/>
        <v>-236</v>
      </c>
      <c r="AI58" s="220">
        <f t="shared" si="48"/>
        <v>-169</v>
      </c>
      <c r="AJ58" s="50">
        <f t="shared" si="12"/>
        <v>1.4470000000000016</v>
      </c>
      <c r="AK58" s="257"/>
      <c r="AL58" s="257">
        <f t="shared" si="13"/>
        <v>1.2</v>
      </c>
      <c r="AM58" s="52"/>
      <c r="AN58" s="88"/>
    </row>
    <row r="59" spans="1:40" s="29" customFormat="1" ht="17.25" customHeight="1">
      <c r="A59" s="48">
        <v>49</v>
      </c>
      <c r="B59" s="49">
        <f t="shared" si="6"/>
        <v>45624</v>
      </c>
      <c r="C59" s="220">
        <f t="shared" si="7"/>
        <v>1049</v>
      </c>
      <c r="D59" s="220">
        <f t="shared" ref="D59" si="61">D58+32</f>
        <v>2059</v>
      </c>
      <c r="E59" s="220">
        <f t="shared" si="8"/>
        <v>3108</v>
      </c>
      <c r="F59" s="220">
        <f t="shared" si="0"/>
        <v>633</v>
      </c>
      <c r="G59" s="220">
        <f t="shared" si="1"/>
        <v>819</v>
      </c>
      <c r="H59" s="220">
        <f t="shared" si="2"/>
        <v>864</v>
      </c>
      <c r="I59" s="220">
        <f t="shared" si="3"/>
        <v>786</v>
      </c>
      <c r="J59" s="220">
        <f t="shared" si="4"/>
        <v>718</v>
      </c>
      <c r="K59" s="220">
        <f t="shared" si="5"/>
        <v>2475</v>
      </c>
      <c r="L59" s="220">
        <f t="shared" si="5"/>
        <v>2289</v>
      </c>
      <c r="M59" s="220">
        <f t="shared" si="5"/>
        <v>2244</v>
      </c>
      <c r="N59" s="220">
        <f t="shared" si="5"/>
        <v>2322</v>
      </c>
      <c r="O59" s="220">
        <f t="shared" si="5"/>
        <v>2390</v>
      </c>
      <c r="P59" s="220">
        <f t="shared" si="46"/>
        <v>2000</v>
      </c>
      <c r="Q59" s="220">
        <f t="shared" si="46"/>
        <v>2000</v>
      </c>
      <c r="R59" s="220">
        <f t="shared" si="46"/>
        <v>2000</v>
      </c>
      <c r="S59" s="220">
        <f t="shared" si="46"/>
        <v>2000</v>
      </c>
      <c r="T59" s="220">
        <f t="shared" si="46"/>
        <v>2000</v>
      </c>
      <c r="U59" s="220">
        <f t="shared" si="47"/>
        <v>475</v>
      </c>
      <c r="V59" s="220">
        <f t="shared" si="47"/>
        <v>289</v>
      </c>
      <c r="W59" s="220">
        <f t="shared" si="47"/>
        <v>244</v>
      </c>
      <c r="X59" s="220">
        <f t="shared" si="47"/>
        <v>322</v>
      </c>
      <c r="Y59" s="220">
        <f t="shared" si="47"/>
        <v>390</v>
      </c>
      <c r="Z59" s="220">
        <v>0</v>
      </c>
      <c r="AA59" s="220">
        <v>3</v>
      </c>
      <c r="AB59" s="220">
        <v>3</v>
      </c>
      <c r="AC59" s="220">
        <v>1</v>
      </c>
      <c r="AD59" s="220">
        <v>0</v>
      </c>
      <c r="AE59" s="220">
        <f t="shared" si="48"/>
        <v>-174</v>
      </c>
      <c r="AF59" s="220">
        <f t="shared" si="48"/>
        <v>-280</v>
      </c>
      <c r="AG59" s="220">
        <f t="shared" si="48"/>
        <v>-305</v>
      </c>
      <c r="AH59" s="220">
        <f t="shared" si="48"/>
        <v>-237</v>
      </c>
      <c r="AI59" s="220">
        <f t="shared" si="48"/>
        <v>-169</v>
      </c>
      <c r="AJ59" s="50">
        <f t="shared" si="12"/>
        <v>1.4440000000000017</v>
      </c>
      <c r="AK59" s="257"/>
      <c r="AL59" s="257">
        <f t="shared" si="13"/>
        <v>1.2</v>
      </c>
      <c r="AM59" s="52"/>
      <c r="AN59" s="88"/>
    </row>
    <row r="60" spans="1:40" s="29" customFormat="1" ht="17.25" customHeight="1">
      <c r="A60" s="48">
        <v>50</v>
      </c>
      <c r="B60" s="49">
        <f t="shared" si="6"/>
        <v>45625</v>
      </c>
      <c r="C60" s="220">
        <f t="shared" si="7"/>
        <v>1049</v>
      </c>
      <c r="D60" s="220">
        <f t="shared" ref="D60" si="62">D59-18</f>
        <v>2041</v>
      </c>
      <c r="E60" s="220">
        <f t="shared" si="8"/>
        <v>3090</v>
      </c>
      <c r="F60" s="220">
        <f t="shared" si="0"/>
        <v>617</v>
      </c>
      <c r="G60" s="220">
        <f t="shared" si="1"/>
        <v>804</v>
      </c>
      <c r="H60" s="220">
        <f t="shared" si="2"/>
        <v>849</v>
      </c>
      <c r="I60" s="220">
        <f t="shared" si="3"/>
        <v>769</v>
      </c>
      <c r="J60" s="220">
        <f t="shared" si="4"/>
        <v>700</v>
      </c>
      <c r="K60" s="220">
        <f t="shared" si="5"/>
        <v>2473</v>
      </c>
      <c r="L60" s="220">
        <f t="shared" si="5"/>
        <v>2286</v>
      </c>
      <c r="M60" s="220">
        <f t="shared" si="5"/>
        <v>2241</v>
      </c>
      <c r="N60" s="220">
        <f t="shared" si="5"/>
        <v>2321</v>
      </c>
      <c r="O60" s="220">
        <f t="shared" si="5"/>
        <v>2390</v>
      </c>
      <c r="P60" s="220">
        <f t="shared" si="46"/>
        <v>2000</v>
      </c>
      <c r="Q60" s="220">
        <f t="shared" si="46"/>
        <v>2000</v>
      </c>
      <c r="R60" s="220">
        <f t="shared" si="46"/>
        <v>2000</v>
      </c>
      <c r="S60" s="220">
        <f t="shared" si="46"/>
        <v>2000</v>
      </c>
      <c r="T60" s="220">
        <f t="shared" si="46"/>
        <v>2000</v>
      </c>
      <c r="U60" s="220">
        <f t="shared" si="47"/>
        <v>473</v>
      </c>
      <c r="V60" s="220">
        <f t="shared" si="47"/>
        <v>286</v>
      </c>
      <c r="W60" s="220">
        <f t="shared" si="47"/>
        <v>241</v>
      </c>
      <c r="X60" s="220">
        <f t="shared" si="47"/>
        <v>321</v>
      </c>
      <c r="Y60" s="220">
        <f t="shared" si="47"/>
        <v>390</v>
      </c>
      <c r="Z60" s="220">
        <v>2</v>
      </c>
      <c r="AA60" s="220">
        <v>3</v>
      </c>
      <c r="AB60" s="220">
        <v>3</v>
      </c>
      <c r="AC60" s="220">
        <v>1</v>
      </c>
      <c r="AD60" s="220">
        <v>0</v>
      </c>
      <c r="AE60" s="220">
        <f t="shared" si="48"/>
        <v>-176</v>
      </c>
      <c r="AF60" s="220">
        <f t="shared" si="48"/>
        <v>-283</v>
      </c>
      <c r="AG60" s="220">
        <f t="shared" si="48"/>
        <v>-308</v>
      </c>
      <c r="AH60" s="220">
        <f t="shared" si="48"/>
        <v>-238</v>
      </c>
      <c r="AI60" s="220">
        <f t="shared" si="48"/>
        <v>-169</v>
      </c>
      <c r="AJ60" s="50">
        <f t="shared" si="12"/>
        <v>1.4410000000000018</v>
      </c>
      <c r="AK60" s="257"/>
      <c r="AL60" s="257">
        <f t="shared" si="13"/>
        <v>1.2</v>
      </c>
      <c r="AM60" s="52"/>
      <c r="AN60" s="88"/>
    </row>
    <row r="61" spans="1:40" s="29" customFormat="1" ht="17.25" customHeight="1">
      <c r="A61" s="48">
        <v>51</v>
      </c>
      <c r="B61" s="49">
        <f t="shared" si="6"/>
        <v>45626</v>
      </c>
      <c r="C61" s="220">
        <f t="shared" si="7"/>
        <v>1049</v>
      </c>
      <c r="D61" s="220">
        <f t="shared" ref="D61" si="63">D60-26</f>
        <v>2015</v>
      </c>
      <c r="E61" s="220">
        <f t="shared" si="8"/>
        <v>3064</v>
      </c>
      <c r="F61" s="220">
        <f t="shared" si="0"/>
        <v>591</v>
      </c>
      <c r="G61" s="220">
        <f t="shared" si="1"/>
        <v>779</v>
      </c>
      <c r="H61" s="220">
        <f t="shared" si="2"/>
        <v>826</v>
      </c>
      <c r="I61" s="220">
        <f t="shared" si="3"/>
        <v>744</v>
      </c>
      <c r="J61" s="220">
        <f t="shared" si="4"/>
        <v>674</v>
      </c>
      <c r="K61" s="220">
        <f t="shared" si="5"/>
        <v>2473</v>
      </c>
      <c r="L61" s="220">
        <f t="shared" si="5"/>
        <v>2285</v>
      </c>
      <c r="M61" s="220">
        <f t="shared" si="5"/>
        <v>2238</v>
      </c>
      <c r="N61" s="220">
        <f t="shared" si="5"/>
        <v>2320</v>
      </c>
      <c r="O61" s="220">
        <f t="shared" si="5"/>
        <v>2390</v>
      </c>
      <c r="P61" s="220">
        <f t="shared" ref="P61:T76" si="64">+P60</f>
        <v>2000</v>
      </c>
      <c r="Q61" s="220">
        <f t="shared" si="64"/>
        <v>2000</v>
      </c>
      <c r="R61" s="220">
        <f t="shared" si="64"/>
        <v>2000</v>
      </c>
      <c r="S61" s="220">
        <f t="shared" si="64"/>
        <v>2000</v>
      </c>
      <c r="T61" s="220">
        <f t="shared" si="64"/>
        <v>2000</v>
      </c>
      <c r="U61" s="220">
        <f t="shared" ref="U61:Y76" si="65">U60-Z61</f>
        <v>473</v>
      </c>
      <c r="V61" s="220">
        <f t="shared" si="65"/>
        <v>285</v>
      </c>
      <c r="W61" s="220">
        <f t="shared" si="65"/>
        <v>238</v>
      </c>
      <c r="X61" s="220">
        <f t="shared" si="65"/>
        <v>320</v>
      </c>
      <c r="Y61" s="220">
        <f t="shared" si="65"/>
        <v>390</v>
      </c>
      <c r="Z61" s="220">
        <v>0</v>
      </c>
      <c r="AA61" s="220">
        <v>1</v>
      </c>
      <c r="AB61" s="220">
        <v>3</v>
      </c>
      <c r="AC61" s="220">
        <v>1</v>
      </c>
      <c r="AD61" s="220">
        <v>0</v>
      </c>
      <c r="AE61" s="220">
        <f t="shared" ref="AE61:AI76" si="66">AE60-Z61</f>
        <v>-176</v>
      </c>
      <c r="AF61" s="220">
        <f t="shared" si="66"/>
        <v>-284</v>
      </c>
      <c r="AG61" s="220">
        <f t="shared" si="66"/>
        <v>-311</v>
      </c>
      <c r="AH61" s="220">
        <f t="shared" si="66"/>
        <v>-239</v>
      </c>
      <c r="AI61" s="220">
        <f t="shared" si="66"/>
        <v>-169</v>
      </c>
      <c r="AJ61" s="50">
        <f t="shared" si="12"/>
        <v>1.4380000000000019</v>
      </c>
      <c r="AK61" s="257"/>
      <c r="AL61" s="257">
        <f t="shared" si="13"/>
        <v>1.2</v>
      </c>
      <c r="AM61" s="52"/>
      <c r="AN61" s="88"/>
    </row>
    <row r="62" spans="1:40" s="29" customFormat="1" ht="17.25" customHeight="1">
      <c r="A62" s="48">
        <v>52</v>
      </c>
      <c r="B62" s="49">
        <f t="shared" si="6"/>
        <v>45627</v>
      </c>
      <c r="C62" s="220">
        <f t="shared" si="7"/>
        <v>1049</v>
      </c>
      <c r="D62" s="220">
        <f t="shared" ref="D62" si="67">D61+15</f>
        <v>2030</v>
      </c>
      <c r="E62" s="220">
        <f t="shared" si="8"/>
        <v>3079</v>
      </c>
      <c r="F62" s="220">
        <f t="shared" si="0"/>
        <v>606</v>
      </c>
      <c r="G62" s="220">
        <f t="shared" si="1"/>
        <v>795</v>
      </c>
      <c r="H62" s="220">
        <f t="shared" si="2"/>
        <v>843</v>
      </c>
      <c r="I62" s="220">
        <f t="shared" si="3"/>
        <v>759</v>
      </c>
      <c r="J62" s="220">
        <f t="shared" si="4"/>
        <v>689</v>
      </c>
      <c r="K62" s="220">
        <f t="shared" si="5"/>
        <v>2473</v>
      </c>
      <c r="L62" s="220">
        <f t="shared" si="5"/>
        <v>2284</v>
      </c>
      <c r="M62" s="220">
        <f t="shared" si="5"/>
        <v>2236</v>
      </c>
      <c r="N62" s="220">
        <f t="shared" si="5"/>
        <v>2320</v>
      </c>
      <c r="O62" s="220">
        <f t="shared" si="5"/>
        <v>2390</v>
      </c>
      <c r="P62" s="220">
        <f t="shared" si="64"/>
        <v>2000</v>
      </c>
      <c r="Q62" s="220">
        <f t="shared" si="64"/>
        <v>2000</v>
      </c>
      <c r="R62" s="220">
        <f t="shared" si="64"/>
        <v>2000</v>
      </c>
      <c r="S62" s="220">
        <f t="shared" si="64"/>
        <v>2000</v>
      </c>
      <c r="T62" s="220">
        <f t="shared" si="64"/>
        <v>2000</v>
      </c>
      <c r="U62" s="220">
        <f t="shared" si="65"/>
        <v>473</v>
      </c>
      <c r="V62" s="220">
        <f t="shared" si="65"/>
        <v>284</v>
      </c>
      <c r="W62" s="220">
        <f t="shared" si="65"/>
        <v>236</v>
      </c>
      <c r="X62" s="220">
        <f t="shared" si="65"/>
        <v>320</v>
      </c>
      <c r="Y62" s="220">
        <f t="shared" si="65"/>
        <v>390</v>
      </c>
      <c r="Z62" s="220">
        <v>0</v>
      </c>
      <c r="AA62" s="220">
        <v>1</v>
      </c>
      <c r="AB62" s="220">
        <v>2</v>
      </c>
      <c r="AC62" s="220">
        <v>0</v>
      </c>
      <c r="AD62" s="220">
        <v>0</v>
      </c>
      <c r="AE62" s="220">
        <f t="shared" si="66"/>
        <v>-176</v>
      </c>
      <c r="AF62" s="220">
        <f t="shared" si="66"/>
        <v>-285</v>
      </c>
      <c r="AG62" s="220">
        <f t="shared" si="66"/>
        <v>-313</v>
      </c>
      <c r="AH62" s="220">
        <f t="shared" si="66"/>
        <v>-239</v>
      </c>
      <c r="AI62" s="220">
        <f t="shared" si="66"/>
        <v>-169</v>
      </c>
      <c r="AJ62" s="50">
        <f t="shared" si="12"/>
        <v>1.4360000000000019</v>
      </c>
      <c r="AK62" s="257"/>
      <c r="AL62" s="257">
        <f t="shared" si="13"/>
        <v>1.2</v>
      </c>
      <c r="AM62" s="52"/>
      <c r="AN62" s="88"/>
    </row>
    <row r="63" spans="1:40" s="29" customFormat="1" ht="17.25" customHeight="1">
      <c r="A63" s="48">
        <v>53</v>
      </c>
      <c r="B63" s="49">
        <f t="shared" si="6"/>
        <v>45628</v>
      </c>
      <c r="C63" s="220">
        <f t="shared" si="7"/>
        <v>1049</v>
      </c>
      <c r="D63" s="220">
        <f t="shared" ref="D63" si="68">D62+26</f>
        <v>2056</v>
      </c>
      <c r="E63" s="220">
        <f t="shared" si="8"/>
        <v>3105</v>
      </c>
      <c r="F63" s="220">
        <f t="shared" si="0"/>
        <v>634</v>
      </c>
      <c r="G63" s="220">
        <f t="shared" si="1"/>
        <v>822</v>
      </c>
      <c r="H63" s="220">
        <f t="shared" si="2"/>
        <v>871</v>
      </c>
      <c r="I63" s="220">
        <f t="shared" si="3"/>
        <v>785</v>
      </c>
      <c r="J63" s="220">
        <f t="shared" si="4"/>
        <v>717</v>
      </c>
      <c r="K63" s="220">
        <f t="shared" ref="K63:O113" si="69">P63+U63</f>
        <v>2471</v>
      </c>
      <c r="L63" s="220">
        <f t="shared" si="69"/>
        <v>2283</v>
      </c>
      <c r="M63" s="220">
        <f t="shared" si="69"/>
        <v>2234</v>
      </c>
      <c r="N63" s="220">
        <f t="shared" si="69"/>
        <v>2320</v>
      </c>
      <c r="O63" s="220">
        <f t="shared" si="69"/>
        <v>2388</v>
      </c>
      <c r="P63" s="220">
        <f t="shared" si="64"/>
        <v>2000</v>
      </c>
      <c r="Q63" s="220">
        <f t="shared" si="64"/>
        <v>2000</v>
      </c>
      <c r="R63" s="220">
        <f t="shared" si="64"/>
        <v>2000</v>
      </c>
      <c r="S63" s="220">
        <f t="shared" si="64"/>
        <v>2000</v>
      </c>
      <c r="T63" s="220">
        <f t="shared" si="64"/>
        <v>2000</v>
      </c>
      <c r="U63" s="220">
        <f t="shared" si="65"/>
        <v>471</v>
      </c>
      <c r="V63" s="220">
        <f t="shared" si="65"/>
        <v>283</v>
      </c>
      <c r="W63" s="220">
        <f t="shared" si="65"/>
        <v>234</v>
      </c>
      <c r="X63" s="220">
        <f t="shared" si="65"/>
        <v>320</v>
      </c>
      <c r="Y63" s="220">
        <f t="shared" si="65"/>
        <v>388</v>
      </c>
      <c r="Z63" s="220">
        <v>2</v>
      </c>
      <c r="AA63" s="220">
        <v>1</v>
      </c>
      <c r="AB63" s="220">
        <v>2</v>
      </c>
      <c r="AC63" s="220">
        <v>0</v>
      </c>
      <c r="AD63" s="220">
        <v>2</v>
      </c>
      <c r="AE63" s="220">
        <f t="shared" si="66"/>
        <v>-178</v>
      </c>
      <c r="AF63" s="220">
        <f t="shared" si="66"/>
        <v>-286</v>
      </c>
      <c r="AG63" s="220">
        <f t="shared" si="66"/>
        <v>-315</v>
      </c>
      <c r="AH63" s="220">
        <f t="shared" si="66"/>
        <v>-239</v>
      </c>
      <c r="AI63" s="220">
        <f t="shared" si="66"/>
        <v>-171</v>
      </c>
      <c r="AJ63" s="50">
        <f t="shared" si="12"/>
        <v>1.4340000000000019</v>
      </c>
      <c r="AK63" s="257"/>
      <c r="AL63" s="257">
        <f t="shared" si="13"/>
        <v>1.2</v>
      </c>
      <c r="AM63" s="52"/>
      <c r="AN63" s="88"/>
    </row>
    <row r="64" spans="1:40" s="29" customFormat="1" ht="17.25" customHeight="1">
      <c r="A64" s="48">
        <v>54</v>
      </c>
      <c r="B64" s="49">
        <f t="shared" si="6"/>
        <v>45629</v>
      </c>
      <c r="C64" s="220">
        <f t="shared" si="7"/>
        <v>1049</v>
      </c>
      <c r="D64" s="220">
        <f t="shared" ref="D64" si="70">D63+32</f>
        <v>2088</v>
      </c>
      <c r="E64" s="220">
        <f t="shared" si="8"/>
        <v>3137</v>
      </c>
      <c r="F64" s="220">
        <f t="shared" si="0"/>
        <v>666</v>
      </c>
      <c r="G64" s="220">
        <f t="shared" si="1"/>
        <v>855</v>
      </c>
      <c r="H64" s="220">
        <f t="shared" si="2"/>
        <v>905</v>
      </c>
      <c r="I64" s="220">
        <f t="shared" si="3"/>
        <v>819</v>
      </c>
      <c r="J64" s="220">
        <f t="shared" si="4"/>
        <v>749</v>
      </c>
      <c r="K64" s="220">
        <f t="shared" si="69"/>
        <v>2471</v>
      </c>
      <c r="L64" s="220">
        <f t="shared" si="69"/>
        <v>2282</v>
      </c>
      <c r="M64" s="220">
        <f t="shared" si="69"/>
        <v>2232</v>
      </c>
      <c r="N64" s="220">
        <f t="shared" si="69"/>
        <v>2318</v>
      </c>
      <c r="O64" s="220">
        <f t="shared" si="69"/>
        <v>2388</v>
      </c>
      <c r="P64" s="220">
        <f t="shared" si="64"/>
        <v>2000</v>
      </c>
      <c r="Q64" s="220">
        <f t="shared" si="64"/>
        <v>2000</v>
      </c>
      <c r="R64" s="220">
        <f t="shared" si="64"/>
        <v>2000</v>
      </c>
      <c r="S64" s="220">
        <f t="shared" si="64"/>
        <v>2000</v>
      </c>
      <c r="T64" s="220">
        <f t="shared" si="64"/>
        <v>2000</v>
      </c>
      <c r="U64" s="220">
        <f t="shared" si="65"/>
        <v>471</v>
      </c>
      <c r="V64" s="220">
        <f t="shared" si="65"/>
        <v>282</v>
      </c>
      <c r="W64" s="220">
        <f t="shared" si="65"/>
        <v>232</v>
      </c>
      <c r="X64" s="220">
        <f t="shared" si="65"/>
        <v>318</v>
      </c>
      <c r="Y64" s="220">
        <f t="shared" si="65"/>
        <v>388</v>
      </c>
      <c r="Z64" s="220">
        <v>0</v>
      </c>
      <c r="AA64" s="220">
        <v>1</v>
      </c>
      <c r="AB64" s="220">
        <v>2</v>
      </c>
      <c r="AC64" s="220">
        <v>2</v>
      </c>
      <c r="AD64" s="220">
        <v>0</v>
      </c>
      <c r="AE64" s="220">
        <f t="shared" si="66"/>
        <v>-178</v>
      </c>
      <c r="AF64" s="220">
        <f t="shared" si="66"/>
        <v>-287</v>
      </c>
      <c r="AG64" s="220">
        <f t="shared" si="66"/>
        <v>-317</v>
      </c>
      <c r="AH64" s="220">
        <f t="shared" si="66"/>
        <v>-241</v>
      </c>
      <c r="AI64" s="220">
        <f t="shared" si="66"/>
        <v>-171</v>
      </c>
      <c r="AJ64" s="50">
        <f t="shared" si="12"/>
        <v>1.4320000000000019</v>
      </c>
      <c r="AK64" s="257"/>
      <c r="AL64" s="257">
        <f t="shared" si="13"/>
        <v>1.2</v>
      </c>
      <c r="AM64" s="52"/>
      <c r="AN64" s="88"/>
    </row>
    <row r="65" spans="1:40" s="29" customFormat="1" ht="17.25" customHeight="1">
      <c r="A65" s="48">
        <v>55</v>
      </c>
      <c r="B65" s="49">
        <f t="shared" si="6"/>
        <v>45630</v>
      </c>
      <c r="C65" s="220">
        <f t="shared" si="7"/>
        <v>1049</v>
      </c>
      <c r="D65" s="220">
        <f t="shared" ref="D65" si="71">D64-18</f>
        <v>2070</v>
      </c>
      <c r="E65" s="220">
        <f t="shared" si="8"/>
        <v>3119</v>
      </c>
      <c r="F65" s="220">
        <f t="shared" si="0"/>
        <v>648</v>
      </c>
      <c r="G65" s="220">
        <f t="shared" si="1"/>
        <v>838</v>
      </c>
      <c r="H65" s="220">
        <f t="shared" si="2"/>
        <v>889</v>
      </c>
      <c r="I65" s="220">
        <f t="shared" si="3"/>
        <v>801</v>
      </c>
      <c r="J65" s="220">
        <f t="shared" si="4"/>
        <v>731</v>
      </c>
      <c r="K65" s="220">
        <f t="shared" si="69"/>
        <v>2471</v>
      </c>
      <c r="L65" s="220">
        <f t="shared" si="69"/>
        <v>2281</v>
      </c>
      <c r="M65" s="220">
        <f t="shared" si="69"/>
        <v>2230</v>
      </c>
      <c r="N65" s="220">
        <f t="shared" si="69"/>
        <v>2318</v>
      </c>
      <c r="O65" s="220">
        <f t="shared" si="69"/>
        <v>2388</v>
      </c>
      <c r="P65" s="220">
        <f t="shared" si="64"/>
        <v>2000</v>
      </c>
      <c r="Q65" s="220">
        <f t="shared" si="64"/>
        <v>2000</v>
      </c>
      <c r="R65" s="220">
        <f t="shared" si="64"/>
        <v>2000</v>
      </c>
      <c r="S65" s="220">
        <f t="shared" si="64"/>
        <v>2000</v>
      </c>
      <c r="T65" s="220">
        <f t="shared" si="64"/>
        <v>2000</v>
      </c>
      <c r="U65" s="220">
        <f t="shared" si="65"/>
        <v>471</v>
      </c>
      <c r="V65" s="220">
        <f t="shared" si="65"/>
        <v>281</v>
      </c>
      <c r="W65" s="220">
        <f t="shared" si="65"/>
        <v>230</v>
      </c>
      <c r="X65" s="220">
        <f t="shared" si="65"/>
        <v>318</v>
      </c>
      <c r="Y65" s="220">
        <f t="shared" si="65"/>
        <v>388</v>
      </c>
      <c r="Z65" s="220">
        <v>0</v>
      </c>
      <c r="AA65" s="220">
        <v>1</v>
      </c>
      <c r="AB65" s="220">
        <v>2</v>
      </c>
      <c r="AC65" s="220">
        <v>0</v>
      </c>
      <c r="AD65" s="220">
        <v>0</v>
      </c>
      <c r="AE65" s="220">
        <f t="shared" si="66"/>
        <v>-178</v>
      </c>
      <c r="AF65" s="220">
        <f t="shared" si="66"/>
        <v>-288</v>
      </c>
      <c r="AG65" s="220">
        <f t="shared" si="66"/>
        <v>-319</v>
      </c>
      <c r="AH65" s="220">
        <f t="shared" si="66"/>
        <v>-241</v>
      </c>
      <c r="AI65" s="220">
        <f t="shared" si="66"/>
        <v>-171</v>
      </c>
      <c r="AJ65" s="50">
        <f t="shared" si="12"/>
        <v>1.4300000000000019</v>
      </c>
      <c r="AK65" s="257"/>
      <c r="AL65" s="257">
        <f t="shared" si="13"/>
        <v>1.2</v>
      </c>
      <c r="AM65" s="52"/>
      <c r="AN65" s="88"/>
    </row>
    <row r="66" spans="1:40" s="29" customFormat="1" ht="17.25" customHeight="1">
      <c r="A66" s="48">
        <v>56</v>
      </c>
      <c r="B66" s="49">
        <f t="shared" si="6"/>
        <v>45631</v>
      </c>
      <c r="C66" s="220">
        <f t="shared" si="7"/>
        <v>1049</v>
      </c>
      <c r="D66" s="220">
        <f t="shared" ref="D66" si="72">D65-26</f>
        <v>2044</v>
      </c>
      <c r="E66" s="220">
        <f t="shared" si="8"/>
        <v>3093</v>
      </c>
      <c r="F66" s="220">
        <f t="shared" si="0"/>
        <v>622</v>
      </c>
      <c r="G66" s="220">
        <f t="shared" si="1"/>
        <v>812</v>
      </c>
      <c r="H66" s="220">
        <f t="shared" si="2"/>
        <v>864</v>
      </c>
      <c r="I66" s="220">
        <f t="shared" si="3"/>
        <v>778</v>
      </c>
      <c r="J66" s="220">
        <f t="shared" si="4"/>
        <v>705</v>
      </c>
      <c r="K66" s="220">
        <f t="shared" si="69"/>
        <v>2471</v>
      </c>
      <c r="L66" s="220">
        <f t="shared" si="69"/>
        <v>2281</v>
      </c>
      <c r="M66" s="220">
        <f t="shared" si="69"/>
        <v>2229</v>
      </c>
      <c r="N66" s="220">
        <f t="shared" si="69"/>
        <v>2315</v>
      </c>
      <c r="O66" s="220">
        <f t="shared" si="69"/>
        <v>2388</v>
      </c>
      <c r="P66" s="220">
        <f t="shared" si="64"/>
        <v>2000</v>
      </c>
      <c r="Q66" s="220">
        <f t="shared" si="64"/>
        <v>2000</v>
      </c>
      <c r="R66" s="220">
        <f t="shared" si="64"/>
        <v>2000</v>
      </c>
      <c r="S66" s="220">
        <f t="shared" si="64"/>
        <v>2000</v>
      </c>
      <c r="T66" s="220">
        <f t="shared" si="64"/>
        <v>2000</v>
      </c>
      <c r="U66" s="220">
        <f t="shared" si="65"/>
        <v>471</v>
      </c>
      <c r="V66" s="220">
        <f t="shared" si="65"/>
        <v>281</v>
      </c>
      <c r="W66" s="220">
        <f t="shared" si="65"/>
        <v>229</v>
      </c>
      <c r="X66" s="220">
        <f t="shared" si="65"/>
        <v>315</v>
      </c>
      <c r="Y66" s="220">
        <f t="shared" si="65"/>
        <v>388</v>
      </c>
      <c r="Z66" s="220">
        <v>0</v>
      </c>
      <c r="AA66" s="220">
        <v>0</v>
      </c>
      <c r="AB66" s="220">
        <v>1</v>
      </c>
      <c r="AC66" s="220">
        <v>3</v>
      </c>
      <c r="AD66" s="220">
        <v>0</v>
      </c>
      <c r="AE66" s="220">
        <f t="shared" si="66"/>
        <v>-178</v>
      </c>
      <c r="AF66" s="220">
        <f t="shared" si="66"/>
        <v>-288</v>
      </c>
      <c r="AG66" s="220">
        <f t="shared" si="66"/>
        <v>-320</v>
      </c>
      <c r="AH66" s="220">
        <f t="shared" si="66"/>
        <v>-244</v>
      </c>
      <c r="AI66" s="220">
        <f t="shared" si="66"/>
        <v>-171</v>
      </c>
      <c r="AJ66" s="50">
        <f t="shared" si="12"/>
        <v>1.429000000000002</v>
      </c>
      <c r="AK66" s="257"/>
      <c r="AL66" s="257">
        <f t="shared" si="13"/>
        <v>1.2</v>
      </c>
      <c r="AM66" s="52"/>
      <c r="AN66" s="88"/>
    </row>
    <row r="67" spans="1:40" s="29" customFormat="1" ht="17.25" customHeight="1">
      <c r="A67" s="48">
        <v>57</v>
      </c>
      <c r="B67" s="49">
        <f t="shared" si="6"/>
        <v>45632</v>
      </c>
      <c r="C67" s="220">
        <f t="shared" si="7"/>
        <v>1049</v>
      </c>
      <c r="D67" s="220">
        <f t="shared" ref="D67" si="73">D66+15</f>
        <v>2059</v>
      </c>
      <c r="E67" s="220">
        <f t="shared" si="8"/>
        <v>3108</v>
      </c>
      <c r="F67" s="220">
        <f t="shared" si="0"/>
        <v>637</v>
      </c>
      <c r="G67" s="220">
        <f t="shared" si="1"/>
        <v>830</v>
      </c>
      <c r="H67" s="220">
        <f t="shared" si="2"/>
        <v>880</v>
      </c>
      <c r="I67" s="220">
        <f t="shared" si="3"/>
        <v>793</v>
      </c>
      <c r="J67" s="220">
        <f t="shared" si="4"/>
        <v>720</v>
      </c>
      <c r="K67" s="220">
        <f t="shared" si="69"/>
        <v>2471</v>
      </c>
      <c r="L67" s="220">
        <f t="shared" si="69"/>
        <v>2278</v>
      </c>
      <c r="M67" s="220">
        <f t="shared" si="69"/>
        <v>2228</v>
      </c>
      <c r="N67" s="220">
        <f t="shared" si="69"/>
        <v>2315</v>
      </c>
      <c r="O67" s="220">
        <f t="shared" si="69"/>
        <v>2388</v>
      </c>
      <c r="P67" s="220">
        <f t="shared" si="64"/>
        <v>2000</v>
      </c>
      <c r="Q67" s="220">
        <f t="shared" si="64"/>
        <v>2000</v>
      </c>
      <c r="R67" s="220">
        <f t="shared" si="64"/>
        <v>2000</v>
      </c>
      <c r="S67" s="220">
        <f t="shared" si="64"/>
        <v>2000</v>
      </c>
      <c r="T67" s="220">
        <f t="shared" si="64"/>
        <v>2000</v>
      </c>
      <c r="U67" s="220">
        <f t="shared" si="65"/>
        <v>471</v>
      </c>
      <c r="V67" s="220">
        <f t="shared" si="65"/>
        <v>278</v>
      </c>
      <c r="W67" s="220">
        <f t="shared" si="65"/>
        <v>228</v>
      </c>
      <c r="X67" s="220">
        <f t="shared" si="65"/>
        <v>315</v>
      </c>
      <c r="Y67" s="220">
        <f t="shared" si="65"/>
        <v>388</v>
      </c>
      <c r="Z67" s="220">
        <v>0</v>
      </c>
      <c r="AA67" s="220">
        <v>3</v>
      </c>
      <c r="AB67" s="220">
        <v>1</v>
      </c>
      <c r="AC67" s="220">
        <v>0</v>
      </c>
      <c r="AD67" s="220">
        <v>0</v>
      </c>
      <c r="AE67" s="220">
        <f t="shared" si="66"/>
        <v>-178</v>
      </c>
      <c r="AF67" s="220">
        <f t="shared" si="66"/>
        <v>-291</v>
      </c>
      <c r="AG67" s="220">
        <f t="shared" si="66"/>
        <v>-321</v>
      </c>
      <c r="AH67" s="220">
        <f t="shared" si="66"/>
        <v>-244</v>
      </c>
      <c r="AI67" s="220">
        <f t="shared" si="66"/>
        <v>-171</v>
      </c>
      <c r="AJ67" s="50">
        <f t="shared" si="12"/>
        <v>1.4280000000000022</v>
      </c>
      <c r="AK67" s="257"/>
      <c r="AL67" s="257">
        <f t="shared" si="13"/>
        <v>1.2</v>
      </c>
      <c r="AM67" s="52"/>
      <c r="AN67" s="88"/>
    </row>
    <row r="68" spans="1:40" s="29" customFormat="1" ht="17.25" customHeight="1">
      <c r="A68" s="48">
        <v>58</v>
      </c>
      <c r="B68" s="49">
        <f t="shared" si="6"/>
        <v>45633</v>
      </c>
      <c r="C68" s="220">
        <f t="shared" si="7"/>
        <v>1049</v>
      </c>
      <c r="D68" s="220">
        <f t="shared" ref="D68" si="74">D67+26</f>
        <v>2085</v>
      </c>
      <c r="E68" s="220">
        <f t="shared" si="8"/>
        <v>3134</v>
      </c>
      <c r="F68" s="220">
        <f t="shared" si="0"/>
        <v>664</v>
      </c>
      <c r="G68" s="220">
        <f t="shared" si="1"/>
        <v>856</v>
      </c>
      <c r="H68" s="220">
        <f t="shared" si="2"/>
        <v>907</v>
      </c>
      <c r="I68" s="220">
        <f t="shared" si="3"/>
        <v>822</v>
      </c>
      <c r="J68" s="220">
        <f t="shared" si="4"/>
        <v>746</v>
      </c>
      <c r="K68" s="220">
        <f t="shared" si="69"/>
        <v>2470</v>
      </c>
      <c r="L68" s="220">
        <f t="shared" si="69"/>
        <v>2278</v>
      </c>
      <c r="M68" s="220">
        <f t="shared" si="69"/>
        <v>2227</v>
      </c>
      <c r="N68" s="220">
        <f t="shared" si="69"/>
        <v>2312</v>
      </c>
      <c r="O68" s="220">
        <f t="shared" si="69"/>
        <v>2388</v>
      </c>
      <c r="P68" s="220">
        <f t="shared" si="64"/>
        <v>2000</v>
      </c>
      <c r="Q68" s="220">
        <f t="shared" si="64"/>
        <v>2000</v>
      </c>
      <c r="R68" s="220">
        <f t="shared" si="64"/>
        <v>2000</v>
      </c>
      <c r="S68" s="220">
        <f t="shared" si="64"/>
        <v>2000</v>
      </c>
      <c r="T68" s="220">
        <f t="shared" si="64"/>
        <v>2000</v>
      </c>
      <c r="U68" s="220">
        <f t="shared" si="65"/>
        <v>470</v>
      </c>
      <c r="V68" s="220">
        <f t="shared" si="65"/>
        <v>278</v>
      </c>
      <c r="W68" s="220">
        <f t="shared" si="65"/>
        <v>227</v>
      </c>
      <c r="X68" s="220">
        <f t="shared" si="65"/>
        <v>312</v>
      </c>
      <c r="Y68" s="220">
        <f t="shared" si="65"/>
        <v>388</v>
      </c>
      <c r="Z68" s="220">
        <v>1</v>
      </c>
      <c r="AA68" s="220">
        <v>0</v>
      </c>
      <c r="AB68" s="220">
        <v>1</v>
      </c>
      <c r="AC68" s="220">
        <v>3</v>
      </c>
      <c r="AD68" s="220">
        <v>0</v>
      </c>
      <c r="AE68" s="220">
        <f t="shared" si="66"/>
        <v>-179</v>
      </c>
      <c r="AF68" s="220">
        <f t="shared" si="66"/>
        <v>-291</v>
      </c>
      <c r="AG68" s="220">
        <f t="shared" si="66"/>
        <v>-322</v>
      </c>
      <c r="AH68" s="220">
        <f t="shared" si="66"/>
        <v>-247</v>
      </c>
      <c r="AI68" s="220">
        <f t="shared" si="66"/>
        <v>-171</v>
      </c>
      <c r="AJ68" s="50">
        <f t="shared" si="12"/>
        <v>1.4270000000000023</v>
      </c>
      <c r="AK68" s="257"/>
      <c r="AL68" s="257">
        <f t="shared" si="13"/>
        <v>1.2</v>
      </c>
      <c r="AM68" s="52"/>
      <c r="AN68" s="88"/>
    </row>
    <row r="69" spans="1:40" s="29" customFormat="1" ht="17.25" customHeight="1">
      <c r="A69" s="48">
        <v>59</v>
      </c>
      <c r="B69" s="49">
        <f t="shared" si="6"/>
        <v>45634</v>
      </c>
      <c r="C69" s="220">
        <f t="shared" si="7"/>
        <v>1049</v>
      </c>
      <c r="D69" s="220">
        <f t="shared" ref="D69" si="75">D68+32</f>
        <v>2117</v>
      </c>
      <c r="E69" s="220">
        <f t="shared" si="8"/>
        <v>3166</v>
      </c>
      <c r="F69" s="220">
        <f t="shared" si="0"/>
        <v>696</v>
      </c>
      <c r="G69" s="220">
        <f t="shared" si="1"/>
        <v>888</v>
      </c>
      <c r="H69" s="220">
        <f t="shared" si="2"/>
        <v>942</v>
      </c>
      <c r="I69" s="220">
        <f t="shared" si="3"/>
        <v>854</v>
      </c>
      <c r="J69" s="220">
        <f t="shared" si="4"/>
        <v>780</v>
      </c>
      <c r="K69" s="220">
        <f t="shared" si="69"/>
        <v>2470</v>
      </c>
      <c r="L69" s="220">
        <f t="shared" si="69"/>
        <v>2278</v>
      </c>
      <c r="M69" s="220">
        <f t="shared" si="69"/>
        <v>2224</v>
      </c>
      <c r="N69" s="220">
        <f t="shared" si="69"/>
        <v>2312</v>
      </c>
      <c r="O69" s="220">
        <f t="shared" si="69"/>
        <v>2386</v>
      </c>
      <c r="P69" s="220">
        <f t="shared" si="64"/>
        <v>2000</v>
      </c>
      <c r="Q69" s="220">
        <f t="shared" si="64"/>
        <v>2000</v>
      </c>
      <c r="R69" s="220">
        <f t="shared" si="64"/>
        <v>2000</v>
      </c>
      <c r="S69" s="220">
        <f t="shared" si="64"/>
        <v>2000</v>
      </c>
      <c r="T69" s="220">
        <f t="shared" si="64"/>
        <v>2000</v>
      </c>
      <c r="U69" s="220">
        <f t="shared" si="65"/>
        <v>470</v>
      </c>
      <c r="V69" s="220">
        <f t="shared" si="65"/>
        <v>278</v>
      </c>
      <c r="W69" s="220">
        <f t="shared" si="65"/>
        <v>224</v>
      </c>
      <c r="X69" s="220">
        <f t="shared" si="65"/>
        <v>312</v>
      </c>
      <c r="Y69" s="220">
        <f t="shared" si="65"/>
        <v>386</v>
      </c>
      <c r="Z69" s="220">
        <v>0</v>
      </c>
      <c r="AA69" s="220">
        <v>0</v>
      </c>
      <c r="AB69" s="220">
        <v>3</v>
      </c>
      <c r="AC69" s="220">
        <v>0</v>
      </c>
      <c r="AD69" s="220">
        <v>2</v>
      </c>
      <c r="AE69" s="220">
        <f t="shared" si="66"/>
        <v>-179</v>
      </c>
      <c r="AF69" s="220">
        <f t="shared" si="66"/>
        <v>-291</v>
      </c>
      <c r="AG69" s="220">
        <f t="shared" si="66"/>
        <v>-325</v>
      </c>
      <c r="AH69" s="220">
        <f t="shared" si="66"/>
        <v>-247</v>
      </c>
      <c r="AI69" s="220">
        <f t="shared" si="66"/>
        <v>-173</v>
      </c>
      <c r="AJ69" s="50">
        <f t="shared" si="12"/>
        <v>1.4240000000000024</v>
      </c>
      <c r="AK69" s="257"/>
      <c r="AL69" s="257">
        <f t="shared" si="13"/>
        <v>1.2</v>
      </c>
      <c r="AM69" s="52"/>
      <c r="AN69" s="88"/>
    </row>
    <row r="70" spans="1:40" s="29" customFormat="1" ht="17.25" customHeight="1">
      <c r="A70" s="48">
        <v>60</v>
      </c>
      <c r="B70" s="49">
        <f t="shared" si="6"/>
        <v>45635</v>
      </c>
      <c r="C70" s="220">
        <f t="shared" si="7"/>
        <v>1049</v>
      </c>
      <c r="D70" s="220">
        <f t="shared" ref="D70" si="76">D69-18</f>
        <v>2099</v>
      </c>
      <c r="E70" s="220">
        <f t="shared" si="8"/>
        <v>3148</v>
      </c>
      <c r="F70" s="220">
        <f t="shared" si="0"/>
        <v>679</v>
      </c>
      <c r="G70" s="220">
        <f t="shared" si="1"/>
        <v>872</v>
      </c>
      <c r="H70" s="220">
        <f t="shared" si="2"/>
        <v>926</v>
      </c>
      <c r="I70" s="220">
        <f t="shared" si="3"/>
        <v>838</v>
      </c>
      <c r="J70" s="220">
        <f t="shared" si="4"/>
        <v>762</v>
      </c>
      <c r="K70" s="220">
        <f t="shared" si="69"/>
        <v>2469</v>
      </c>
      <c r="L70" s="220">
        <f t="shared" si="69"/>
        <v>2276</v>
      </c>
      <c r="M70" s="220">
        <f t="shared" si="69"/>
        <v>2222</v>
      </c>
      <c r="N70" s="220">
        <f t="shared" si="69"/>
        <v>2310</v>
      </c>
      <c r="O70" s="220">
        <f t="shared" si="69"/>
        <v>2386</v>
      </c>
      <c r="P70" s="220">
        <f t="shared" si="64"/>
        <v>2000</v>
      </c>
      <c r="Q70" s="220">
        <f t="shared" si="64"/>
        <v>2000</v>
      </c>
      <c r="R70" s="220">
        <f t="shared" si="64"/>
        <v>2000</v>
      </c>
      <c r="S70" s="220">
        <f t="shared" si="64"/>
        <v>2000</v>
      </c>
      <c r="T70" s="220">
        <f t="shared" si="64"/>
        <v>2000</v>
      </c>
      <c r="U70" s="220">
        <f t="shared" si="65"/>
        <v>469</v>
      </c>
      <c r="V70" s="220">
        <f t="shared" si="65"/>
        <v>276</v>
      </c>
      <c r="W70" s="220">
        <f t="shared" si="65"/>
        <v>222</v>
      </c>
      <c r="X70" s="220">
        <f t="shared" si="65"/>
        <v>310</v>
      </c>
      <c r="Y70" s="220">
        <f t="shared" si="65"/>
        <v>386</v>
      </c>
      <c r="Z70" s="220">
        <v>1</v>
      </c>
      <c r="AA70" s="220">
        <v>2</v>
      </c>
      <c r="AB70" s="220">
        <v>2</v>
      </c>
      <c r="AC70" s="220">
        <v>2</v>
      </c>
      <c r="AD70" s="220">
        <v>0</v>
      </c>
      <c r="AE70" s="220">
        <f t="shared" si="66"/>
        <v>-180</v>
      </c>
      <c r="AF70" s="220">
        <f t="shared" si="66"/>
        <v>-293</v>
      </c>
      <c r="AG70" s="220">
        <f t="shared" si="66"/>
        <v>-327</v>
      </c>
      <c r="AH70" s="220">
        <f t="shared" si="66"/>
        <v>-249</v>
      </c>
      <c r="AI70" s="220">
        <f t="shared" si="66"/>
        <v>-173</v>
      </c>
      <c r="AJ70" s="50">
        <f t="shared" si="12"/>
        <v>1.4220000000000024</v>
      </c>
      <c r="AK70" s="257"/>
      <c r="AL70" s="257">
        <f t="shared" si="13"/>
        <v>1.2</v>
      </c>
      <c r="AM70" s="52"/>
      <c r="AN70" s="88"/>
    </row>
    <row r="71" spans="1:40" s="29" customFormat="1" ht="17.25" customHeight="1">
      <c r="A71" s="48">
        <v>61</v>
      </c>
      <c r="B71" s="49">
        <f t="shared" si="6"/>
        <v>45636</v>
      </c>
      <c r="C71" s="220">
        <f t="shared" si="7"/>
        <v>1049</v>
      </c>
      <c r="D71" s="220">
        <f t="shared" ref="D71" si="77">D70-26</f>
        <v>2073</v>
      </c>
      <c r="E71" s="220">
        <f t="shared" si="8"/>
        <v>3122</v>
      </c>
      <c r="F71" s="220">
        <f t="shared" si="0"/>
        <v>654</v>
      </c>
      <c r="G71" s="220">
        <f t="shared" si="1"/>
        <v>846</v>
      </c>
      <c r="H71" s="220">
        <f t="shared" si="2"/>
        <v>902</v>
      </c>
      <c r="I71" s="220">
        <f t="shared" si="3"/>
        <v>812</v>
      </c>
      <c r="J71" s="220">
        <f t="shared" si="4"/>
        <v>736</v>
      </c>
      <c r="K71" s="220">
        <f t="shared" si="69"/>
        <v>2468</v>
      </c>
      <c r="L71" s="220">
        <f t="shared" si="69"/>
        <v>2276</v>
      </c>
      <c r="M71" s="220">
        <f t="shared" si="69"/>
        <v>2220</v>
      </c>
      <c r="N71" s="220">
        <f t="shared" si="69"/>
        <v>2310</v>
      </c>
      <c r="O71" s="220">
        <f t="shared" si="69"/>
        <v>2386</v>
      </c>
      <c r="P71" s="220">
        <f t="shared" si="64"/>
        <v>2000</v>
      </c>
      <c r="Q71" s="220">
        <f t="shared" si="64"/>
        <v>2000</v>
      </c>
      <c r="R71" s="220">
        <f t="shared" si="64"/>
        <v>2000</v>
      </c>
      <c r="S71" s="220">
        <f t="shared" si="64"/>
        <v>2000</v>
      </c>
      <c r="T71" s="220">
        <f t="shared" si="64"/>
        <v>2000</v>
      </c>
      <c r="U71" s="220">
        <f t="shared" si="65"/>
        <v>468</v>
      </c>
      <c r="V71" s="220">
        <f t="shared" si="65"/>
        <v>276</v>
      </c>
      <c r="W71" s="220">
        <f t="shared" si="65"/>
        <v>220</v>
      </c>
      <c r="X71" s="220">
        <f t="shared" si="65"/>
        <v>310</v>
      </c>
      <c r="Y71" s="220">
        <f t="shared" si="65"/>
        <v>386</v>
      </c>
      <c r="Z71" s="220">
        <v>1</v>
      </c>
      <c r="AA71" s="220">
        <v>0</v>
      </c>
      <c r="AB71" s="220">
        <v>2</v>
      </c>
      <c r="AC71" s="220">
        <v>0</v>
      </c>
      <c r="AD71" s="220">
        <v>0</v>
      </c>
      <c r="AE71" s="220">
        <f t="shared" si="66"/>
        <v>-181</v>
      </c>
      <c r="AF71" s="220">
        <f t="shared" si="66"/>
        <v>-293</v>
      </c>
      <c r="AG71" s="220">
        <f t="shared" si="66"/>
        <v>-329</v>
      </c>
      <c r="AH71" s="220">
        <f t="shared" si="66"/>
        <v>-249</v>
      </c>
      <c r="AI71" s="220">
        <f t="shared" si="66"/>
        <v>-173</v>
      </c>
      <c r="AJ71" s="50">
        <f t="shared" si="12"/>
        <v>1.4200000000000024</v>
      </c>
      <c r="AK71" s="257"/>
      <c r="AL71" s="257">
        <f t="shared" si="13"/>
        <v>1.2</v>
      </c>
      <c r="AM71" s="52"/>
      <c r="AN71" s="88"/>
    </row>
    <row r="72" spans="1:40" s="29" customFormat="1" ht="17.25" customHeight="1">
      <c r="A72" s="48">
        <v>62</v>
      </c>
      <c r="B72" s="49">
        <f t="shared" si="6"/>
        <v>45637</v>
      </c>
      <c r="C72" s="220">
        <f t="shared" si="7"/>
        <v>1049</v>
      </c>
      <c r="D72" s="220">
        <f t="shared" ref="D72" si="78">D71+15</f>
        <v>2088</v>
      </c>
      <c r="E72" s="220">
        <f t="shared" si="8"/>
        <v>3137</v>
      </c>
      <c r="F72" s="220">
        <f t="shared" si="0"/>
        <v>669</v>
      </c>
      <c r="G72" s="220">
        <f t="shared" si="1"/>
        <v>862</v>
      </c>
      <c r="H72" s="220">
        <f t="shared" si="2"/>
        <v>919</v>
      </c>
      <c r="I72" s="220">
        <f t="shared" si="3"/>
        <v>830</v>
      </c>
      <c r="J72" s="220">
        <f t="shared" si="4"/>
        <v>751</v>
      </c>
      <c r="K72" s="220">
        <f t="shared" si="69"/>
        <v>2468</v>
      </c>
      <c r="L72" s="220">
        <f t="shared" si="69"/>
        <v>2275</v>
      </c>
      <c r="M72" s="220">
        <f t="shared" si="69"/>
        <v>2218</v>
      </c>
      <c r="N72" s="220">
        <f t="shared" si="69"/>
        <v>2307</v>
      </c>
      <c r="O72" s="220">
        <f t="shared" si="69"/>
        <v>2386</v>
      </c>
      <c r="P72" s="220">
        <f t="shared" si="64"/>
        <v>2000</v>
      </c>
      <c r="Q72" s="220">
        <f t="shared" si="64"/>
        <v>2000</v>
      </c>
      <c r="R72" s="220">
        <f t="shared" si="64"/>
        <v>2000</v>
      </c>
      <c r="S72" s="220">
        <f t="shared" si="64"/>
        <v>2000</v>
      </c>
      <c r="T72" s="220">
        <f t="shared" si="64"/>
        <v>2000</v>
      </c>
      <c r="U72" s="220">
        <f t="shared" si="65"/>
        <v>468</v>
      </c>
      <c r="V72" s="220">
        <f t="shared" si="65"/>
        <v>275</v>
      </c>
      <c r="W72" s="220">
        <f t="shared" si="65"/>
        <v>218</v>
      </c>
      <c r="X72" s="220">
        <f t="shared" si="65"/>
        <v>307</v>
      </c>
      <c r="Y72" s="220">
        <f t="shared" si="65"/>
        <v>386</v>
      </c>
      <c r="Z72" s="220">
        <v>0</v>
      </c>
      <c r="AA72" s="220">
        <v>1</v>
      </c>
      <c r="AB72" s="220">
        <v>2</v>
      </c>
      <c r="AC72" s="220">
        <v>3</v>
      </c>
      <c r="AD72" s="220">
        <v>0</v>
      </c>
      <c r="AE72" s="220">
        <f t="shared" si="66"/>
        <v>-181</v>
      </c>
      <c r="AF72" s="220">
        <f t="shared" si="66"/>
        <v>-294</v>
      </c>
      <c r="AG72" s="220">
        <f t="shared" si="66"/>
        <v>-331</v>
      </c>
      <c r="AH72" s="220">
        <f t="shared" si="66"/>
        <v>-252</v>
      </c>
      <c r="AI72" s="220">
        <f t="shared" si="66"/>
        <v>-173</v>
      </c>
      <c r="AJ72" s="50">
        <f t="shared" si="12"/>
        <v>1.4180000000000024</v>
      </c>
      <c r="AK72" s="257"/>
      <c r="AL72" s="257">
        <f t="shared" si="13"/>
        <v>1.2</v>
      </c>
      <c r="AM72" s="52"/>
      <c r="AN72" s="88"/>
    </row>
    <row r="73" spans="1:40" s="29" customFormat="1" ht="17.25" customHeight="1">
      <c r="A73" s="48">
        <v>63</v>
      </c>
      <c r="B73" s="49">
        <f t="shared" si="6"/>
        <v>45638</v>
      </c>
      <c r="C73" s="220">
        <f t="shared" si="7"/>
        <v>1049</v>
      </c>
      <c r="D73" s="220">
        <f t="shared" ref="D73" si="79">D72+26</f>
        <v>2114</v>
      </c>
      <c r="E73" s="220">
        <f t="shared" si="8"/>
        <v>3163</v>
      </c>
      <c r="F73" s="220">
        <f t="shared" si="0"/>
        <v>696</v>
      </c>
      <c r="G73" s="220">
        <f t="shared" si="1"/>
        <v>889</v>
      </c>
      <c r="H73" s="220">
        <f t="shared" si="2"/>
        <v>947</v>
      </c>
      <c r="I73" s="220">
        <f t="shared" si="3"/>
        <v>857</v>
      </c>
      <c r="J73" s="220">
        <f t="shared" si="4"/>
        <v>777</v>
      </c>
      <c r="K73" s="220">
        <f t="shared" si="69"/>
        <v>2467</v>
      </c>
      <c r="L73" s="220">
        <f t="shared" si="69"/>
        <v>2274</v>
      </c>
      <c r="M73" s="220">
        <f t="shared" si="69"/>
        <v>2216</v>
      </c>
      <c r="N73" s="220">
        <f t="shared" si="69"/>
        <v>2306</v>
      </c>
      <c r="O73" s="220">
        <f t="shared" si="69"/>
        <v>2386</v>
      </c>
      <c r="P73" s="220">
        <f t="shared" si="64"/>
        <v>2000</v>
      </c>
      <c r="Q73" s="220">
        <f t="shared" si="64"/>
        <v>2000</v>
      </c>
      <c r="R73" s="220">
        <f t="shared" si="64"/>
        <v>2000</v>
      </c>
      <c r="S73" s="220">
        <f t="shared" si="64"/>
        <v>2000</v>
      </c>
      <c r="T73" s="220">
        <f t="shared" si="64"/>
        <v>2000</v>
      </c>
      <c r="U73" s="220">
        <f t="shared" si="65"/>
        <v>467</v>
      </c>
      <c r="V73" s="220">
        <f t="shared" si="65"/>
        <v>274</v>
      </c>
      <c r="W73" s="220">
        <f t="shared" si="65"/>
        <v>216</v>
      </c>
      <c r="X73" s="220">
        <f t="shared" si="65"/>
        <v>306</v>
      </c>
      <c r="Y73" s="220">
        <f t="shared" si="65"/>
        <v>386</v>
      </c>
      <c r="Z73" s="220">
        <v>1</v>
      </c>
      <c r="AA73" s="220">
        <v>1</v>
      </c>
      <c r="AB73" s="220">
        <v>2</v>
      </c>
      <c r="AC73" s="220">
        <v>1</v>
      </c>
      <c r="AD73" s="220">
        <v>0</v>
      </c>
      <c r="AE73" s="220">
        <f t="shared" si="66"/>
        <v>-182</v>
      </c>
      <c r="AF73" s="220">
        <f t="shared" si="66"/>
        <v>-295</v>
      </c>
      <c r="AG73" s="220">
        <f t="shared" si="66"/>
        <v>-333</v>
      </c>
      <c r="AH73" s="220">
        <f t="shared" si="66"/>
        <v>-253</v>
      </c>
      <c r="AI73" s="220">
        <f t="shared" si="66"/>
        <v>-173</v>
      </c>
      <c r="AJ73" s="50">
        <f t="shared" si="12"/>
        <v>1.4160000000000024</v>
      </c>
      <c r="AK73" s="257"/>
      <c r="AL73" s="257">
        <f t="shared" si="13"/>
        <v>1.2</v>
      </c>
      <c r="AM73" s="52"/>
      <c r="AN73" s="88"/>
    </row>
    <row r="74" spans="1:40" s="29" customFormat="1" ht="17.25" customHeight="1">
      <c r="A74" s="48">
        <v>64</v>
      </c>
      <c r="B74" s="49">
        <f t="shared" si="6"/>
        <v>45639</v>
      </c>
      <c r="C74" s="220">
        <f t="shared" si="7"/>
        <v>1049</v>
      </c>
      <c r="D74" s="220">
        <f t="shared" ref="D74" si="80">D73+32</f>
        <v>2146</v>
      </c>
      <c r="E74" s="220">
        <f t="shared" si="8"/>
        <v>3195</v>
      </c>
      <c r="F74" s="220">
        <f t="shared" si="0"/>
        <v>728</v>
      </c>
      <c r="G74" s="220">
        <f t="shared" si="1"/>
        <v>921</v>
      </c>
      <c r="H74" s="220">
        <f t="shared" si="2"/>
        <v>980</v>
      </c>
      <c r="I74" s="220">
        <f t="shared" si="3"/>
        <v>889</v>
      </c>
      <c r="J74" s="220">
        <f t="shared" si="4"/>
        <v>809</v>
      </c>
      <c r="K74" s="220">
        <f t="shared" si="69"/>
        <v>2467</v>
      </c>
      <c r="L74" s="220">
        <f t="shared" si="69"/>
        <v>2274</v>
      </c>
      <c r="M74" s="220">
        <f t="shared" si="69"/>
        <v>2215</v>
      </c>
      <c r="N74" s="220">
        <f t="shared" si="69"/>
        <v>2306</v>
      </c>
      <c r="O74" s="220">
        <f t="shared" si="69"/>
        <v>2386</v>
      </c>
      <c r="P74" s="220">
        <f t="shared" si="64"/>
        <v>2000</v>
      </c>
      <c r="Q74" s="220">
        <f t="shared" si="64"/>
        <v>2000</v>
      </c>
      <c r="R74" s="220">
        <f t="shared" si="64"/>
        <v>2000</v>
      </c>
      <c r="S74" s="220">
        <f t="shared" si="64"/>
        <v>2000</v>
      </c>
      <c r="T74" s="220">
        <f t="shared" si="64"/>
        <v>2000</v>
      </c>
      <c r="U74" s="220">
        <f t="shared" si="65"/>
        <v>467</v>
      </c>
      <c r="V74" s="220">
        <f t="shared" si="65"/>
        <v>274</v>
      </c>
      <c r="W74" s="220">
        <f t="shared" si="65"/>
        <v>215</v>
      </c>
      <c r="X74" s="220">
        <f t="shared" si="65"/>
        <v>306</v>
      </c>
      <c r="Y74" s="220">
        <f t="shared" si="65"/>
        <v>386</v>
      </c>
      <c r="Z74" s="220">
        <v>0</v>
      </c>
      <c r="AA74" s="220">
        <v>0</v>
      </c>
      <c r="AB74" s="220">
        <v>1</v>
      </c>
      <c r="AC74" s="220">
        <v>0</v>
      </c>
      <c r="AD74" s="220">
        <v>0</v>
      </c>
      <c r="AE74" s="220">
        <f t="shared" si="66"/>
        <v>-182</v>
      </c>
      <c r="AF74" s="220">
        <f t="shared" si="66"/>
        <v>-295</v>
      </c>
      <c r="AG74" s="220">
        <f t="shared" si="66"/>
        <v>-334</v>
      </c>
      <c r="AH74" s="220">
        <f t="shared" si="66"/>
        <v>-253</v>
      </c>
      <c r="AI74" s="220">
        <f t="shared" si="66"/>
        <v>-173</v>
      </c>
      <c r="AJ74" s="50">
        <f t="shared" si="12"/>
        <v>1.4150000000000025</v>
      </c>
      <c r="AK74" s="257"/>
      <c r="AL74" s="257">
        <f t="shared" si="13"/>
        <v>1.2</v>
      </c>
      <c r="AM74" s="52"/>
      <c r="AN74" s="88"/>
    </row>
    <row r="75" spans="1:40" s="29" customFormat="1" ht="17.25" customHeight="1">
      <c r="A75" s="48">
        <v>65</v>
      </c>
      <c r="B75" s="49">
        <f t="shared" si="6"/>
        <v>45640</v>
      </c>
      <c r="C75" s="220">
        <f t="shared" si="7"/>
        <v>1049</v>
      </c>
      <c r="D75" s="220">
        <f t="shared" ref="D75" si="81">D74-18</f>
        <v>2128</v>
      </c>
      <c r="E75" s="220">
        <f t="shared" si="8"/>
        <v>3177</v>
      </c>
      <c r="F75" s="220">
        <f t="shared" si="0"/>
        <v>710</v>
      </c>
      <c r="G75" s="220">
        <f t="shared" si="1"/>
        <v>905</v>
      </c>
      <c r="H75" s="220">
        <f t="shared" si="2"/>
        <v>963</v>
      </c>
      <c r="I75" s="220">
        <f t="shared" si="3"/>
        <v>873</v>
      </c>
      <c r="J75" s="220">
        <f t="shared" si="4"/>
        <v>791</v>
      </c>
      <c r="K75" s="220">
        <f t="shared" si="69"/>
        <v>2467</v>
      </c>
      <c r="L75" s="220">
        <f t="shared" si="69"/>
        <v>2272</v>
      </c>
      <c r="M75" s="220">
        <f t="shared" si="69"/>
        <v>2214</v>
      </c>
      <c r="N75" s="220">
        <f t="shared" si="69"/>
        <v>2304</v>
      </c>
      <c r="O75" s="220">
        <f t="shared" si="69"/>
        <v>2386</v>
      </c>
      <c r="P75" s="220">
        <f t="shared" si="64"/>
        <v>2000</v>
      </c>
      <c r="Q75" s="220">
        <f t="shared" si="64"/>
        <v>2000</v>
      </c>
      <c r="R75" s="220">
        <f t="shared" si="64"/>
        <v>2000</v>
      </c>
      <c r="S75" s="220">
        <f t="shared" si="64"/>
        <v>2000</v>
      </c>
      <c r="T75" s="220">
        <f t="shared" si="64"/>
        <v>2000</v>
      </c>
      <c r="U75" s="220">
        <f t="shared" si="65"/>
        <v>467</v>
      </c>
      <c r="V75" s="220">
        <f t="shared" si="65"/>
        <v>272</v>
      </c>
      <c r="W75" s="220">
        <f t="shared" si="65"/>
        <v>214</v>
      </c>
      <c r="X75" s="220">
        <f t="shared" si="65"/>
        <v>304</v>
      </c>
      <c r="Y75" s="220">
        <f t="shared" si="65"/>
        <v>386</v>
      </c>
      <c r="Z75" s="220">
        <v>0</v>
      </c>
      <c r="AA75" s="220">
        <v>2</v>
      </c>
      <c r="AB75" s="220">
        <v>1</v>
      </c>
      <c r="AC75" s="220">
        <v>2</v>
      </c>
      <c r="AD75" s="220">
        <v>0</v>
      </c>
      <c r="AE75" s="220">
        <f t="shared" si="66"/>
        <v>-182</v>
      </c>
      <c r="AF75" s="220">
        <f t="shared" si="66"/>
        <v>-297</v>
      </c>
      <c r="AG75" s="220">
        <f t="shared" si="66"/>
        <v>-335</v>
      </c>
      <c r="AH75" s="220">
        <f t="shared" si="66"/>
        <v>-255</v>
      </c>
      <c r="AI75" s="220">
        <f t="shared" si="66"/>
        <v>-173</v>
      </c>
      <c r="AJ75" s="50">
        <f t="shared" si="12"/>
        <v>1.4140000000000026</v>
      </c>
      <c r="AK75" s="257"/>
      <c r="AL75" s="257">
        <f t="shared" si="13"/>
        <v>1.2</v>
      </c>
      <c r="AM75" s="52"/>
      <c r="AN75" s="88"/>
    </row>
    <row r="76" spans="1:40" s="29" customFormat="1" ht="17.25" customHeight="1">
      <c r="A76" s="48">
        <v>66</v>
      </c>
      <c r="B76" s="49">
        <f t="shared" si="6"/>
        <v>45641</v>
      </c>
      <c r="C76" s="220">
        <f t="shared" si="7"/>
        <v>1049</v>
      </c>
      <c r="D76" s="220">
        <f t="shared" ref="D76" si="82">D75-26</f>
        <v>2102</v>
      </c>
      <c r="E76" s="220">
        <f t="shared" si="8"/>
        <v>3151</v>
      </c>
      <c r="F76" s="220">
        <f t="shared" ref="F76:F139" si="83">E76-K76</f>
        <v>685</v>
      </c>
      <c r="G76" s="220">
        <f t="shared" ref="G76:G139" si="84">E76-L76</f>
        <v>879</v>
      </c>
      <c r="H76" s="220">
        <f t="shared" ref="H76:H139" si="85">E76-M76</f>
        <v>938</v>
      </c>
      <c r="I76" s="220">
        <f t="shared" ref="I76:I139" si="86">E76-N76</f>
        <v>847</v>
      </c>
      <c r="J76" s="220">
        <f t="shared" ref="J76:J139" si="87">E76-O76</f>
        <v>765</v>
      </c>
      <c r="K76" s="220">
        <f t="shared" si="69"/>
        <v>2466</v>
      </c>
      <c r="L76" s="220">
        <f t="shared" si="69"/>
        <v>2272</v>
      </c>
      <c r="M76" s="220">
        <f t="shared" si="69"/>
        <v>2213</v>
      </c>
      <c r="N76" s="220">
        <f t="shared" si="69"/>
        <v>2304</v>
      </c>
      <c r="O76" s="220">
        <f t="shared" si="69"/>
        <v>2386</v>
      </c>
      <c r="P76" s="220">
        <f t="shared" si="64"/>
        <v>2000</v>
      </c>
      <c r="Q76" s="220">
        <f t="shared" si="64"/>
        <v>2000</v>
      </c>
      <c r="R76" s="220">
        <f t="shared" si="64"/>
        <v>2000</v>
      </c>
      <c r="S76" s="220">
        <f t="shared" si="64"/>
        <v>2000</v>
      </c>
      <c r="T76" s="220">
        <f t="shared" si="64"/>
        <v>2000</v>
      </c>
      <c r="U76" s="220">
        <f t="shared" si="65"/>
        <v>466</v>
      </c>
      <c r="V76" s="220">
        <f t="shared" si="65"/>
        <v>272</v>
      </c>
      <c r="W76" s="220">
        <f t="shared" si="65"/>
        <v>213</v>
      </c>
      <c r="X76" s="220">
        <f t="shared" si="65"/>
        <v>304</v>
      </c>
      <c r="Y76" s="220">
        <f t="shared" si="65"/>
        <v>386</v>
      </c>
      <c r="Z76" s="220">
        <v>1</v>
      </c>
      <c r="AA76" s="220">
        <v>0</v>
      </c>
      <c r="AB76" s="220">
        <v>1</v>
      </c>
      <c r="AC76" s="220">
        <v>0</v>
      </c>
      <c r="AD76" s="220">
        <v>0</v>
      </c>
      <c r="AE76" s="220">
        <f t="shared" si="66"/>
        <v>-183</v>
      </c>
      <c r="AF76" s="220">
        <f t="shared" si="66"/>
        <v>-297</v>
      </c>
      <c r="AG76" s="220">
        <f t="shared" si="66"/>
        <v>-336</v>
      </c>
      <c r="AH76" s="220">
        <f t="shared" si="66"/>
        <v>-255</v>
      </c>
      <c r="AI76" s="220">
        <f t="shared" si="66"/>
        <v>-173</v>
      </c>
      <c r="AJ76" s="50">
        <f t="shared" si="12"/>
        <v>1.4130000000000027</v>
      </c>
      <c r="AK76" s="257"/>
      <c r="AL76" s="257">
        <f t="shared" si="13"/>
        <v>1.2</v>
      </c>
      <c r="AM76" s="52"/>
      <c r="AN76" s="88"/>
    </row>
    <row r="77" spans="1:40" s="29" customFormat="1" ht="17.25" customHeight="1">
      <c r="A77" s="48">
        <v>67</v>
      </c>
      <c r="B77" s="49">
        <f t="shared" ref="B77:B140" si="88">B76+1</f>
        <v>45642</v>
      </c>
      <c r="C77" s="220">
        <f t="shared" ref="C77:C140" si="89">+C76</f>
        <v>1049</v>
      </c>
      <c r="D77" s="220">
        <f t="shared" ref="D77" si="90">D76+15</f>
        <v>2117</v>
      </c>
      <c r="E77" s="220">
        <f t="shared" ref="E77:E140" si="91">+C77+D77</f>
        <v>3166</v>
      </c>
      <c r="F77" s="220">
        <f t="shared" si="83"/>
        <v>700</v>
      </c>
      <c r="G77" s="220">
        <f t="shared" si="84"/>
        <v>894</v>
      </c>
      <c r="H77" s="220">
        <f t="shared" si="85"/>
        <v>954</v>
      </c>
      <c r="I77" s="220">
        <f t="shared" si="86"/>
        <v>865</v>
      </c>
      <c r="J77" s="220">
        <f t="shared" si="87"/>
        <v>780</v>
      </c>
      <c r="K77" s="220">
        <f t="shared" si="69"/>
        <v>2466</v>
      </c>
      <c r="L77" s="220">
        <f t="shared" si="69"/>
        <v>2272</v>
      </c>
      <c r="M77" s="220">
        <f t="shared" si="69"/>
        <v>2212</v>
      </c>
      <c r="N77" s="220">
        <f t="shared" si="69"/>
        <v>2301</v>
      </c>
      <c r="O77" s="220">
        <f t="shared" si="69"/>
        <v>2386</v>
      </c>
      <c r="P77" s="220">
        <f t="shared" ref="P77:T92" si="92">+P76</f>
        <v>2000</v>
      </c>
      <c r="Q77" s="220">
        <f t="shared" si="92"/>
        <v>2000</v>
      </c>
      <c r="R77" s="220">
        <f t="shared" si="92"/>
        <v>2000</v>
      </c>
      <c r="S77" s="220">
        <f t="shared" si="92"/>
        <v>2000</v>
      </c>
      <c r="T77" s="220">
        <f t="shared" si="92"/>
        <v>2000</v>
      </c>
      <c r="U77" s="220">
        <f t="shared" ref="U77:Y92" si="93">U76-Z77</f>
        <v>466</v>
      </c>
      <c r="V77" s="220">
        <f t="shared" si="93"/>
        <v>272</v>
      </c>
      <c r="W77" s="220">
        <f t="shared" si="93"/>
        <v>212</v>
      </c>
      <c r="X77" s="220">
        <f t="shared" si="93"/>
        <v>301</v>
      </c>
      <c r="Y77" s="220">
        <f t="shared" si="93"/>
        <v>386</v>
      </c>
      <c r="Z77" s="220">
        <v>0</v>
      </c>
      <c r="AA77" s="220">
        <v>0</v>
      </c>
      <c r="AB77" s="220">
        <v>1</v>
      </c>
      <c r="AC77" s="220">
        <v>3</v>
      </c>
      <c r="AD77" s="220">
        <v>0</v>
      </c>
      <c r="AE77" s="220">
        <f t="shared" ref="AE77:AI92" si="94">AE76-Z77</f>
        <v>-183</v>
      </c>
      <c r="AF77" s="220">
        <f t="shared" si="94"/>
        <v>-297</v>
      </c>
      <c r="AG77" s="220">
        <f t="shared" si="94"/>
        <v>-337</v>
      </c>
      <c r="AH77" s="220">
        <f t="shared" si="94"/>
        <v>-258</v>
      </c>
      <c r="AI77" s="220">
        <f t="shared" si="94"/>
        <v>-173</v>
      </c>
      <c r="AJ77" s="50">
        <f t="shared" ref="AJ77:AJ140" si="95">AJ76-AB77/1000+AK77</f>
        <v>1.4120000000000028</v>
      </c>
      <c r="AK77" s="257"/>
      <c r="AL77" s="257">
        <f t="shared" ref="AL77:AL140" si="96">AL76+AK77</f>
        <v>1.2</v>
      </c>
      <c r="AM77" s="52"/>
      <c r="AN77" s="88"/>
    </row>
    <row r="78" spans="1:40" s="29" customFormat="1" ht="17.25" customHeight="1">
      <c r="A78" s="48">
        <v>68</v>
      </c>
      <c r="B78" s="49">
        <f t="shared" si="88"/>
        <v>45643</v>
      </c>
      <c r="C78" s="220">
        <f t="shared" si="89"/>
        <v>1049</v>
      </c>
      <c r="D78" s="220">
        <f t="shared" ref="D78" si="97">D77+26</f>
        <v>2143</v>
      </c>
      <c r="E78" s="220">
        <f t="shared" si="91"/>
        <v>3192</v>
      </c>
      <c r="F78" s="220">
        <f t="shared" si="83"/>
        <v>726</v>
      </c>
      <c r="G78" s="220">
        <f t="shared" si="84"/>
        <v>920</v>
      </c>
      <c r="H78" s="220">
        <f t="shared" si="85"/>
        <v>981</v>
      </c>
      <c r="I78" s="220">
        <f t="shared" si="86"/>
        <v>891</v>
      </c>
      <c r="J78" s="220">
        <f t="shared" si="87"/>
        <v>806</v>
      </c>
      <c r="K78" s="220">
        <f t="shared" si="69"/>
        <v>2466</v>
      </c>
      <c r="L78" s="220">
        <f t="shared" si="69"/>
        <v>2272</v>
      </c>
      <c r="M78" s="220">
        <f t="shared" si="69"/>
        <v>2211</v>
      </c>
      <c r="N78" s="220">
        <f t="shared" si="69"/>
        <v>2301</v>
      </c>
      <c r="O78" s="220">
        <f t="shared" si="69"/>
        <v>2386</v>
      </c>
      <c r="P78" s="220">
        <f t="shared" si="92"/>
        <v>2000</v>
      </c>
      <c r="Q78" s="220">
        <f t="shared" si="92"/>
        <v>2000</v>
      </c>
      <c r="R78" s="220">
        <f t="shared" si="92"/>
        <v>2000</v>
      </c>
      <c r="S78" s="220">
        <f t="shared" si="92"/>
        <v>2000</v>
      </c>
      <c r="T78" s="220">
        <f t="shared" si="92"/>
        <v>2000</v>
      </c>
      <c r="U78" s="220">
        <f t="shared" si="93"/>
        <v>466</v>
      </c>
      <c r="V78" s="220">
        <f t="shared" si="93"/>
        <v>272</v>
      </c>
      <c r="W78" s="220">
        <f t="shared" si="93"/>
        <v>211</v>
      </c>
      <c r="X78" s="220">
        <f t="shared" si="93"/>
        <v>301</v>
      </c>
      <c r="Y78" s="220">
        <f t="shared" si="93"/>
        <v>386</v>
      </c>
      <c r="Z78" s="220">
        <v>0</v>
      </c>
      <c r="AA78" s="220">
        <v>0</v>
      </c>
      <c r="AB78" s="220">
        <v>1</v>
      </c>
      <c r="AC78" s="220">
        <v>0</v>
      </c>
      <c r="AD78" s="220">
        <v>0</v>
      </c>
      <c r="AE78" s="220">
        <f t="shared" si="94"/>
        <v>-183</v>
      </c>
      <c r="AF78" s="220">
        <f t="shared" si="94"/>
        <v>-297</v>
      </c>
      <c r="AG78" s="220">
        <f t="shared" si="94"/>
        <v>-338</v>
      </c>
      <c r="AH78" s="220">
        <f t="shared" si="94"/>
        <v>-258</v>
      </c>
      <c r="AI78" s="220">
        <f t="shared" si="94"/>
        <v>-173</v>
      </c>
      <c r="AJ78" s="50">
        <f t="shared" si="95"/>
        <v>1.4110000000000029</v>
      </c>
      <c r="AK78" s="257"/>
      <c r="AL78" s="257">
        <f t="shared" si="96"/>
        <v>1.2</v>
      </c>
      <c r="AM78" s="52"/>
      <c r="AN78" s="88"/>
    </row>
    <row r="79" spans="1:40" s="29" customFormat="1" ht="17.25" customHeight="1">
      <c r="A79" s="48">
        <v>69</v>
      </c>
      <c r="B79" s="49">
        <f t="shared" si="88"/>
        <v>45644</v>
      </c>
      <c r="C79" s="220">
        <f t="shared" si="89"/>
        <v>1049</v>
      </c>
      <c r="D79" s="220">
        <f t="shared" ref="D79" si="98">D78+32</f>
        <v>2175</v>
      </c>
      <c r="E79" s="220">
        <f t="shared" si="91"/>
        <v>3224</v>
      </c>
      <c r="F79" s="220">
        <f t="shared" si="83"/>
        <v>759</v>
      </c>
      <c r="G79" s="220">
        <f t="shared" si="84"/>
        <v>956</v>
      </c>
      <c r="H79" s="220">
        <f t="shared" si="85"/>
        <v>1014</v>
      </c>
      <c r="I79" s="220">
        <f t="shared" si="86"/>
        <v>923</v>
      </c>
      <c r="J79" s="220">
        <f t="shared" si="87"/>
        <v>840</v>
      </c>
      <c r="K79" s="220">
        <f t="shared" si="69"/>
        <v>2465</v>
      </c>
      <c r="L79" s="220">
        <f t="shared" si="69"/>
        <v>2268</v>
      </c>
      <c r="M79" s="220">
        <f t="shared" si="69"/>
        <v>2210</v>
      </c>
      <c r="N79" s="220">
        <f t="shared" si="69"/>
        <v>2301</v>
      </c>
      <c r="O79" s="220">
        <f t="shared" si="69"/>
        <v>2384</v>
      </c>
      <c r="P79" s="220">
        <f t="shared" si="92"/>
        <v>2000</v>
      </c>
      <c r="Q79" s="220">
        <f t="shared" si="92"/>
        <v>2000</v>
      </c>
      <c r="R79" s="220">
        <f t="shared" si="92"/>
        <v>2000</v>
      </c>
      <c r="S79" s="220">
        <f t="shared" si="92"/>
        <v>2000</v>
      </c>
      <c r="T79" s="220">
        <f t="shared" si="92"/>
        <v>2000</v>
      </c>
      <c r="U79" s="220">
        <f t="shared" si="93"/>
        <v>465</v>
      </c>
      <c r="V79" s="220">
        <f t="shared" si="93"/>
        <v>268</v>
      </c>
      <c r="W79" s="220">
        <f t="shared" si="93"/>
        <v>210</v>
      </c>
      <c r="X79" s="220">
        <f t="shared" si="93"/>
        <v>301</v>
      </c>
      <c r="Y79" s="220">
        <f t="shared" si="93"/>
        <v>384</v>
      </c>
      <c r="Z79" s="220">
        <v>1</v>
      </c>
      <c r="AA79" s="220">
        <v>4</v>
      </c>
      <c r="AB79" s="220">
        <v>1</v>
      </c>
      <c r="AC79" s="220">
        <v>0</v>
      </c>
      <c r="AD79" s="220">
        <v>2</v>
      </c>
      <c r="AE79" s="220">
        <f t="shared" si="94"/>
        <v>-184</v>
      </c>
      <c r="AF79" s="220">
        <f t="shared" si="94"/>
        <v>-301</v>
      </c>
      <c r="AG79" s="220">
        <f t="shared" si="94"/>
        <v>-339</v>
      </c>
      <c r="AH79" s="220">
        <f t="shared" si="94"/>
        <v>-258</v>
      </c>
      <c r="AI79" s="220">
        <f t="shared" si="94"/>
        <v>-175</v>
      </c>
      <c r="AJ79" s="50">
        <f t="shared" si="95"/>
        <v>1.410000000000003</v>
      </c>
      <c r="AK79" s="257"/>
      <c r="AL79" s="257">
        <f t="shared" si="96"/>
        <v>1.2</v>
      </c>
      <c r="AM79" s="52"/>
      <c r="AN79" s="88"/>
    </row>
    <row r="80" spans="1:40" s="29" customFormat="1" ht="17.25" customHeight="1">
      <c r="A80" s="48">
        <v>70</v>
      </c>
      <c r="B80" s="49">
        <f t="shared" si="88"/>
        <v>45645</v>
      </c>
      <c r="C80" s="220">
        <f t="shared" si="89"/>
        <v>1049</v>
      </c>
      <c r="D80" s="220">
        <f t="shared" ref="D80" si="99">D79-18</f>
        <v>2157</v>
      </c>
      <c r="E80" s="220">
        <f t="shared" si="91"/>
        <v>3206</v>
      </c>
      <c r="F80" s="220">
        <f t="shared" si="83"/>
        <v>741</v>
      </c>
      <c r="G80" s="220">
        <f t="shared" si="84"/>
        <v>938</v>
      </c>
      <c r="H80" s="220">
        <f t="shared" si="85"/>
        <v>997</v>
      </c>
      <c r="I80" s="220">
        <f t="shared" si="86"/>
        <v>908</v>
      </c>
      <c r="J80" s="220">
        <f t="shared" si="87"/>
        <v>822</v>
      </c>
      <c r="K80" s="220">
        <f t="shared" si="69"/>
        <v>2465</v>
      </c>
      <c r="L80" s="220">
        <f t="shared" si="69"/>
        <v>2268</v>
      </c>
      <c r="M80" s="220">
        <f t="shared" si="69"/>
        <v>2209</v>
      </c>
      <c r="N80" s="220">
        <f t="shared" si="69"/>
        <v>2298</v>
      </c>
      <c r="O80" s="220">
        <f t="shared" si="69"/>
        <v>2384</v>
      </c>
      <c r="P80" s="220">
        <f t="shared" si="92"/>
        <v>2000</v>
      </c>
      <c r="Q80" s="220">
        <f t="shared" si="92"/>
        <v>2000</v>
      </c>
      <c r="R80" s="220">
        <f t="shared" si="92"/>
        <v>2000</v>
      </c>
      <c r="S80" s="220">
        <f t="shared" si="92"/>
        <v>2000</v>
      </c>
      <c r="T80" s="220">
        <f t="shared" si="92"/>
        <v>2000</v>
      </c>
      <c r="U80" s="220">
        <f t="shared" si="93"/>
        <v>465</v>
      </c>
      <c r="V80" s="220">
        <f t="shared" si="93"/>
        <v>268</v>
      </c>
      <c r="W80" s="220">
        <f t="shared" si="93"/>
        <v>209</v>
      </c>
      <c r="X80" s="220">
        <f t="shared" si="93"/>
        <v>298</v>
      </c>
      <c r="Y80" s="220">
        <f t="shared" si="93"/>
        <v>384</v>
      </c>
      <c r="Z80" s="220">
        <v>0</v>
      </c>
      <c r="AA80" s="220">
        <v>0</v>
      </c>
      <c r="AB80" s="220">
        <v>1</v>
      </c>
      <c r="AC80" s="220">
        <v>3</v>
      </c>
      <c r="AD80" s="220">
        <v>0</v>
      </c>
      <c r="AE80" s="220">
        <f t="shared" si="94"/>
        <v>-184</v>
      </c>
      <c r="AF80" s="220">
        <f t="shared" si="94"/>
        <v>-301</v>
      </c>
      <c r="AG80" s="220">
        <f t="shared" si="94"/>
        <v>-340</v>
      </c>
      <c r="AH80" s="220">
        <f t="shared" si="94"/>
        <v>-261</v>
      </c>
      <c r="AI80" s="220">
        <f t="shared" si="94"/>
        <v>-175</v>
      </c>
      <c r="AJ80" s="50">
        <f t="shared" si="95"/>
        <v>1.4090000000000031</v>
      </c>
      <c r="AK80" s="257"/>
      <c r="AL80" s="257">
        <f t="shared" si="96"/>
        <v>1.2</v>
      </c>
      <c r="AM80" s="52"/>
      <c r="AN80" s="88"/>
    </row>
    <row r="81" spans="1:40" s="29" customFormat="1" ht="17.25" customHeight="1">
      <c r="A81" s="48">
        <v>71</v>
      </c>
      <c r="B81" s="49">
        <f t="shared" si="88"/>
        <v>45646</v>
      </c>
      <c r="C81" s="220">
        <f t="shared" si="89"/>
        <v>1049</v>
      </c>
      <c r="D81" s="220">
        <f t="shared" ref="D81" si="100">D80-26</f>
        <v>2131</v>
      </c>
      <c r="E81" s="220">
        <f t="shared" si="91"/>
        <v>3180</v>
      </c>
      <c r="F81" s="220">
        <f t="shared" si="83"/>
        <v>716</v>
      </c>
      <c r="G81" s="220">
        <f t="shared" si="84"/>
        <v>912</v>
      </c>
      <c r="H81" s="220">
        <f t="shared" si="85"/>
        <v>971</v>
      </c>
      <c r="I81" s="220">
        <f t="shared" si="86"/>
        <v>885</v>
      </c>
      <c r="J81" s="220">
        <f t="shared" si="87"/>
        <v>796</v>
      </c>
      <c r="K81" s="220">
        <f t="shared" si="69"/>
        <v>2464</v>
      </c>
      <c r="L81" s="220">
        <f t="shared" si="69"/>
        <v>2268</v>
      </c>
      <c r="M81" s="220">
        <f t="shared" si="69"/>
        <v>2209</v>
      </c>
      <c r="N81" s="220">
        <f t="shared" si="69"/>
        <v>2295</v>
      </c>
      <c r="O81" s="220">
        <f t="shared" si="69"/>
        <v>2384</v>
      </c>
      <c r="P81" s="220">
        <f t="shared" si="92"/>
        <v>2000</v>
      </c>
      <c r="Q81" s="220">
        <f t="shared" si="92"/>
        <v>2000</v>
      </c>
      <c r="R81" s="220">
        <f t="shared" si="92"/>
        <v>2000</v>
      </c>
      <c r="S81" s="220">
        <f t="shared" si="92"/>
        <v>2000</v>
      </c>
      <c r="T81" s="220">
        <f t="shared" si="92"/>
        <v>2000</v>
      </c>
      <c r="U81" s="220">
        <f t="shared" si="93"/>
        <v>464</v>
      </c>
      <c r="V81" s="220">
        <f t="shared" si="93"/>
        <v>268</v>
      </c>
      <c r="W81" s="220">
        <f t="shared" si="93"/>
        <v>209</v>
      </c>
      <c r="X81" s="220">
        <f t="shared" si="93"/>
        <v>295</v>
      </c>
      <c r="Y81" s="220">
        <f t="shared" si="93"/>
        <v>384</v>
      </c>
      <c r="Z81" s="220">
        <v>1</v>
      </c>
      <c r="AA81" s="220">
        <v>0</v>
      </c>
      <c r="AB81" s="220">
        <v>0</v>
      </c>
      <c r="AC81" s="220">
        <v>3</v>
      </c>
      <c r="AD81" s="220">
        <v>0</v>
      </c>
      <c r="AE81" s="220">
        <f t="shared" si="94"/>
        <v>-185</v>
      </c>
      <c r="AF81" s="220">
        <f t="shared" si="94"/>
        <v>-301</v>
      </c>
      <c r="AG81" s="220">
        <f t="shared" si="94"/>
        <v>-340</v>
      </c>
      <c r="AH81" s="220">
        <f t="shared" si="94"/>
        <v>-264</v>
      </c>
      <c r="AI81" s="220">
        <f t="shared" si="94"/>
        <v>-175</v>
      </c>
      <c r="AJ81" s="50">
        <f t="shared" si="95"/>
        <v>1.4090000000000031</v>
      </c>
      <c r="AK81" s="257"/>
      <c r="AL81" s="257">
        <f t="shared" si="96"/>
        <v>1.2</v>
      </c>
      <c r="AM81" s="52"/>
      <c r="AN81" s="88"/>
    </row>
    <row r="82" spans="1:40" s="29" customFormat="1" ht="17.25" customHeight="1">
      <c r="A82" s="48">
        <v>72</v>
      </c>
      <c r="B82" s="49">
        <f t="shared" si="88"/>
        <v>45647</v>
      </c>
      <c r="C82" s="220">
        <f t="shared" si="89"/>
        <v>1049</v>
      </c>
      <c r="D82" s="220">
        <f t="shared" ref="D82" si="101">D81+15</f>
        <v>2146</v>
      </c>
      <c r="E82" s="220">
        <f t="shared" si="91"/>
        <v>3195</v>
      </c>
      <c r="F82" s="220">
        <f t="shared" si="83"/>
        <v>731</v>
      </c>
      <c r="G82" s="220">
        <f t="shared" si="84"/>
        <v>929</v>
      </c>
      <c r="H82" s="220">
        <f t="shared" si="85"/>
        <v>986</v>
      </c>
      <c r="I82" s="220">
        <f t="shared" si="86"/>
        <v>902</v>
      </c>
      <c r="J82" s="220">
        <f t="shared" si="87"/>
        <v>811</v>
      </c>
      <c r="K82" s="220">
        <f t="shared" si="69"/>
        <v>2464</v>
      </c>
      <c r="L82" s="220">
        <f t="shared" si="69"/>
        <v>2266</v>
      </c>
      <c r="M82" s="220">
        <f t="shared" si="69"/>
        <v>2209</v>
      </c>
      <c r="N82" s="220">
        <f t="shared" si="69"/>
        <v>2293</v>
      </c>
      <c r="O82" s="220">
        <f t="shared" si="69"/>
        <v>2384</v>
      </c>
      <c r="P82" s="220">
        <f t="shared" si="92"/>
        <v>2000</v>
      </c>
      <c r="Q82" s="220">
        <f t="shared" si="92"/>
        <v>2000</v>
      </c>
      <c r="R82" s="220">
        <f t="shared" si="92"/>
        <v>2000</v>
      </c>
      <c r="S82" s="220">
        <f t="shared" si="92"/>
        <v>2000</v>
      </c>
      <c r="T82" s="220">
        <f t="shared" si="92"/>
        <v>2000</v>
      </c>
      <c r="U82" s="220">
        <f t="shared" si="93"/>
        <v>464</v>
      </c>
      <c r="V82" s="220">
        <f t="shared" si="93"/>
        <v>266</v>
      </c>
      <c r="W82" s="220">
        <f t="shared" si="93"/>
        <v>209</v>
      </c>
      <c r="X82" s="220">
        <f t="shared" si="93"/>
        <v>293</v>
      </c>
      <c r="Y82" s="220">
        <f t="shared" si="93"/>
        <v>384</v>
      </c>
      <c r="Z82" s="220">
        <v>0</v>
      </c>
      <c r="AA82" s="220">
        <v>2</v>
      </c>
      <c r="AB82" s="220">
        <v>0</v>
      </c>
      <c r="AC82" s="220">
        <v>2</v>
      </c>
      <c r="AD82" s="220">
        <v>0</v>
      </c>
      <c r="AE82" s="220">
        <f t="shared" si="94"/>
        <v>-185</v>
      </c>
      <c r="AF82" s="220">
        <f t="shared" si="94"/>
        <v>-303</v>
      </c>
      <c r="AG82" s="220">
        <f t="shared" si="94"/>
        <v>-340</v>
      </c>
      <c r="AH82" s="220">
        <f t="shared" si="94"/>
        <v>-266</v>
      </c>
      <c r="AI82" s="220">
        <f t="shared" si="94"/>
        <v>-175</v>
      </c>
      <c r="AJ82" s="50">
        <f t="shared" si="95"/>
        <v>1.4090000000000031</v>
      </c>
      <c r="AK82" s="257"/>
      <c r="AL82" s="257">
        <f t="shared" si="96"/>
        <v>1.2</v>
      </c>
      <c r="AM82" s="52"/>
      <c r="AN82" s="88"/>
    </row>
    <row r="83" spans="1:40" s="29" customFormat="1" ht="17.25" customHeight="1">
      <c r="A83" s="48">
        <v>73</v>
      </c>
      <c r="B83" s="49">
        <f t="shared" si="88"/>
        <v>45648</v>
      </c>
      <c r="C83" s="220">
        <f t="shared" si="89"/>
        <v>1049</v>
      </c>
      <c r="D83" s="220">
        <f t="shared" ref="D83" si="102">D82+26</f>
        <v>2172</v>
      </c>
      <c r="E83" s="220">
        <f t="shared" si="91"/>
        <v>3221</v>
      </c>
      <c r="F83" s="220">
        <f t="shared" si="83"/>
        <v>758</v>
      </c>
      <c r="G83" s="220">
        <f t="shared" si="84"/>
        <v>958</v>
      </c>
      <c r="H83" s="220">
        <f t="shared" si="85"/>
        <v>1014</v>
      </c>
      <c r="I83" s="220">
        <f t="shared" si="86"/>
        <v>928</v>
      </c>
      <c r="J83" s="220">
        <f t="shared" si="87"/>
        <v>837</v>
      </c>
      <c r="K83" s="220">
        <f t="shared" si="69"/>
        <v>2463</v>
      </c>
      <c r="L83" s="220">
        <f t="shared" si="69"/>
        <v>2263</v>
      </c>
      <c r="M83" s="220">
        <f t="shared" si="69"/>
        <v>2207</v>
      </c>
      <c r="N83" s="220">
        <f t="shared" si="69"/>
        <v>2293</v>
      </c>
      <c r="O83" s="220">
        <f t="shared" si="69"/>
        <v>2384</v>
      </c>
      <c r="P83" s="220">
        <f t="shared" si="92"/>
        <v>2000</v>
      </c>
      <c r="Q83" s="220">
        <f t="shared" si="92"/>
        <v>2000</v>
      </c>
      <c r="R83" s="220">
        <f t="shared" si="92"/>
        <v>2000</v>
      </c>
      <c r="S83" s="220">
        <f t="shared" si="92"/>
        <v>2000</v>
      </c>
      <c r="T83" s="220">
        <f t="shared" si="92"/>
        <v>2000</v>
      </c>
      <c r="U83" s="220">
        <f t="shared" si="93"/>
        <v>463</v>
      </c>
      <c r="V83" s="220">
        <f t="shared" si="93"/>
        <v>263</v>
      </c>
      <c r="W83" s="220">
        <f t="shared" si="93"/>
        <v>207</v>
      </c>
      <c r="X83" s="220">
        <f t="shared" si="93"/>
        <v>293</v>
      </c>
      <c r="Y83" s="220">
        <f t="shared" si="93"/>
        <v>384</v>
      </c>
      <c r="Z83" s="220">
        <v>1</v>
      </c>
      <c r="AA83" s="220">
        <v>3</v>
      </c>
      <c r="AB83" s="220">
        <v>2</v>
      </c>
      <c r="AC83" s="220">
        <v>0</v>
      </c>
      <c r="AD83" s="220">
        <v>0</v>
      </c>
      <c r="AE83" s="220">
        <f t="shared" si="94"/>
        <v>-186</v>
      </c>
      <c r="AF83" s="220">
        <f t="shared" si="94"/>
        <v>-306</v>
      </c>
      <c r="AG83" s="220">
        <f t="shared" si="94"/>
        <v>-342</v>
      </c>
      <c r="AH83" s="220">
        <f t="shared" si="94"/>
        <v>-266</v>
      </c>
      <c r="AI83" s="220">
        <f t="shared" si="94"/>
        <v>-175</v>
      </c>
      <c r="AJ83" s="50">
        <f t="shared" si="95"/>
        <v>1.4070000000000031</v>
      </c>
      <c r="AK83" s="257"/>
      <c r="AL83" s="257">
        <f t="shared" si="96"/>
        <v>1.2</v>
      </c>
      <c r="AM83" s="52"/>
      <c r="AN83" s="88"/>
    </row>
    <row r="84" spans="1:40" s="29" customFormat="1" ht="17.25" customHeight="1">
      <c r="A84" s="48">
        <v>74</v>
      </c>
      <c r="B84" s="49">
        <f t="shared" si="88"/>
        <v>45649</v>
      </c>
      <c r="C84" s="220">
        <f t="shared" si="89"/>
        <v>1049</v>
      </c>
      <c r="D84" s="220">
        <f t="shared" ref="D84" si="103">D83+32</f>
        <v>2204</v>
      </c>
      <c r="E84" s="220">
        <f t="shared" si="91"/>
        <v>3253</v>
      </c>
      <c r="F84" s="220">
        <f t="shared" si="83"/>
        <v>790</v>
      </c>
      <c r="G84" s="220">
        <f t="shared" si="84"/>
        <v>990</v>
      </c>
      <c r="H84" s="220">
        <f t="shared" si="85"/>
        <v>1046</v>
      </c>
      <c r="I84" s="220">
        <f t="shared" si="86"/>
        <v>960</v>
      </c>
      <c r="J84" s="220">
        <f t="shared" si="87"/>
        <v>869</v>
      </c>
      <c r="K84" s="220">
        <f t="shared" si="69"/>
        <v>2463</v>
      </c>
      <c r="L84" s="220">
        <f t="shared" si="69"/>
        <v>2263</v>
      </c>
      <c r="M84" s="220">
        <f t="shared" si="69"/>
        <v>2207</v>
      </c>
      <c r="N84" s="220">
        <f t="shared" si="69"/>
        <v>2293</v>
      </c>
      <c r="O84" s="220">
        <f t="shared" si="69"/>
        <v>2384</v>
      </c>
      <c r="P84" s="220">
        <f t="shared" si="92"/>
        <v>2000</v>
      </c>
      <c r="Q84" s="220">
        <f t="shared" si="92"/>
        <v>2000</v>
      </c>
      <c r="R84" s="220">
        <f t="shared" si="92"/>
        <v>2000</v>
      </c>
      <c r="S84" s="220">
        <f t="shared" si="92"/>
        <v>2000</v>
      </c>
      <c r="T84" s="220">
        <f t="shared" si="92"/>
        <v>2000</v>
      </c>
      <c r="U84" s="220">
        <f t="shared" si="93"/>
        <v>463</v>
      </c>
      <c r="V84" s="220">
        <f t="shared" si="93"/>
        <v>263</v>
      </c>
      <c r="W84" s="220">
        <f t="shared" si="93"/>
        <v>207</v>
      </c>
      <c r="X84" s="220">
        <f t="shared" si="93"/>
        <v>293</v>
      </c>
      <c r="Y84" s="220">
        <f t="shared" si="93"/>
        <v>384</v>
      </c>
      <c r="Z84" s="220">
        <v>0</v>
      </c>
      <c r="AA84" s="220">
        <v>0</v>
      </c>
      <c r="AB84" s="220">
        <v>0</v>
      </c>
      <c r="AC84" s="220">
        <v>0</v>
      </c>
      <c r="AD84" s="220">
        <v>0</v>
      </c>
      <c r="AE84" s="220">
        <f t="shared" si="94"/>
        <v>-186</v>
      </c>
      <c r="AF84" s="220">
        <f t="shared" si="94"/>
        <v>-306</v>
      </c>
      <c r="AG84" s="220">
        <f t="shared" si="94"/>
        <v>-342</v>
      </c>
      <c r="AH84" s="220">
        <f t="shared" si="94"/>
        <v>-266</v>
      </c>
      <c r="AI84" s="220">
        <f t="shared" si="94"/>
        <v>-175</v>
      </c>
      <c r="AJ84" s="50">
        <f t="shared" si="95"/>
        <v>1.4070000000000031</v>
      </c>
      <c r="AK84" s="257"/>
      <c r="AL84" s="257">
        <f t="shared" si="96"/>
        <v>1.2</v>
      </c>
      <c r="AM84" s="52"/>
      <c r="AN84" s="88"/>
    </row>
    <row r="85" spans="1:40" s="29" customFormat="1" ht="17.25" customHeight="1">
      <c r="A85" s="48">
        <v>75</v>
      </c>
      <c r="B85" s="49">
        <f t="shared" si="88"/>
        <v>45650</v>
      </c>
      <c r="C85" s="220">
        <f t="shared" si="89"/>
        <v>1049</v>
      </c>
      <c r="D85" s="220">
        <f t="shared" ref="D85" si="104">D84-18</f>
        <v>2186</v>
      </c>
      <c r="E85" s="220">
        <f t="shared" si="91"/>
        <v>3235</v>
      </c>
      <c r="F85" s="220">
        <f t="shared" si="83"/>
        <v>773</v>
      </c>
      <c r="G85" s="220">
        <f t="shared" si="84"/>
        <v>973</v>
      </c>
      <c r="H85" s="220">
        <f t="shared" si="85"/>
        <v>1031</v>
      </c>
      <c r="I85" s="220">
        <f t="shared" si="86"/>
        <v>943</v>
      </c>
      <c r="J85" s="220">
        <f t="shared" si="87"/>
        <v>851</v>
      </c>
      <c r="K85" s="220">
        <f t="shared" si="69"/>
        <v>2462</v>
      </c>
      <c r="L85" s="220">
        <f t="shared" si="69"/>
        <v>2262</v>
      </c>
      <c r="M85" s="220">
        <f t="shared" si="69"/>
        <v>2204</v>
      </c>
      <c r="N85" s="220">
        <f t="shared" si="69"/>
        <v>2292</v>
      </c>
      <c r="O85" s="220">
        <f t="shared" si="69"/>
        <v>2384</v>
      </c>
      <c r="P85" s="220">
        <f t="shared" si="92"/>
        <v>2000</v>
      </c>
      <c r="Q85" s="220">
        <f t="shared" si="92"/>
        <v>2000</v>
      </c>
      <c r="R85" s="220">
        <f t="shared" si="92"/>
        <v>2000</v>
      </c>
      <c r="S85" s="220">
        <f t="shared" si="92"/>
        <v>2000</v>
      </c>
      <c r="T85" s="220">
        <f t="shared" si="92"/>
        <v>2000</v>
      </c>
      <c r="U85" s="220">
        <f t="shared" si="93"/>
        <v>462</v>
      </c>
      <c r="V85" s="220">
        <f t="shared" si="93"/>
        <v>262</v>
      </c>
      <c r="W85" s="220">
        <f t="shared" si="93"/>
        <v>204</v>
      </c>
      <c r="X85" s="220">
        <f t="shared" si="93"/>
        <v>292</v>
      </c>
      <c r="Y85" s="220">
        <f t="shared" si="93"/>
        <v>384</v>
      </c>
      <c r="Z85" s="220">
        <v>1</v>
      </c>
      <c r="AA85" s="220">
        <v>1</v>
      </c>
      <c r="AB85" s="220">
        <v>3</v>
      </c>
      <c r="AC85" s="220">
        <v>1</v>
      </c>
      <c r="AD85" s="220">
        <v>0</v>
      </c>
      <c r="AE85" s="220">
        <f t="shared" si="94"/>
        <v>-187</v>
      </c>
      <c r="AF85" s="220">
        <f t="shared" si="94"/>
        <v>-307</v>
      </c>
      <c r="AG85" s="220">
        <f t="shared" si="94"/>
        <v>-345</v>
      </c>
      <c r="AH85" s="220">
        <f t="shared" si="94"/>
        <v>-267</v>
      </c>
      <c r="AI85" s="220">
        <f t="shared" si="94"/>
        <v>-175</v>
      </c>
      <c r="AJ85" s="50">
        <f t="shared" si="95"/>
        <v>1.4040000000000032</v>
      </c>
      <c r="AK85" s="257"/>
      <c r="AL85" s="257">
        <f t="shared" si="96"/>
        <v>1.2</v>
      </c>
      <c r="AM85" s="52"/>
      <c r="AN85" s="88"/>
    </row>
    <row r="86" spans="1:40" s="29" customFormat="1" ht="17.25" customHeight="1">
      <c r="A86" s="48">
        <v>76</v>
      </c>
      <c r="B86" s="49">
        <f t="shared" si="88"/>
        <v>45651</v>
      </c>
      <c r="C86" s="220">
        <f t="shared" si="89"/>
        <v>1049</v>
      </c>
      <c r="D86" s="220">
        <f t="shared" ref="D86" si="105">D85-26</f>
        <v>2160</v>
      </c>
      <c r="E86" s="220">
        <f t="shared" si="91"/>
        <v>3209</v>
      </c>
      <c r="F86" s="220">
        <f t="shared" si="83"/>
        <v>747</v>
      </c>
      <c r="G86" s="220">
        <f t="shared" si="84"/>
        <v>948</v>
      </c>
      <c r="H86" s="220">
        <f t="shared" si="85"/>
        <v>1005</v>
      </c>
      <c r="I86" s="220">
        <f t="shared" si="86"/>
        <v>918</v>
      </c>
      <c r="J86" s="220">
        <f t="shared" si="87"/>
        <v>825</v>
      </c>
      <c r="K86" s="220">
        <f t="shared" si="69"/>
        <v>2462</v>
      </c>
      <c r="L86" s="220">
        <f t="shared" si="69"/>
        <v>2261</v>
      </c>
      <c r="M86" s="220">
        <f t="shared" si="69"/>
        <v>2204</v>
      </c>
      <c r="N86" s="220">
        <f t="shared" si="69"/>
        <v>2291</v>
      </c>
      <c r="O86" s="220">
        <f t="shared" si="69"/>
        <v>2384</v>
      </c>
      <c r="P86" s="220">
        <f t="shared" si="92"/>
        <v>2000</v>
      </c>
      <c r="Q86" s="220">
        <f t="shared" si="92"/>
        <v>2000</v>
      </c>
      <c r="R86" s="220">
        <f t="shared" si="92"/>
        <v>2000</v>
      </c>
      <c r="S86" s="220">
        <f t="shared" si="92"/>
        <v>2000</v>
      </c>
      <c r="T86" s="220">
        <f t="shared" si="92"/>
        <v>2000</v>
      </c>
      <c r="U86" s="220">
        <f t="shared" si="93"/>
        <v>462</v>
      </c>
      <c r="V86" s="220">
        <f t="shared" si="93"/>
        <v>261</v>
      </c>
      <c r="W86" s="220">
        <f t="shared" si="93"/>
        <v>204</v>
      </c>
      <c r="X86" s="220">
        <f t="shared" si="93"/>
        <v>291</v>
      </c>
      <c r="Y86" s="220">
        <f t="shared" si="93"/>
        <v>384</v>
      </c>
      <c r="Z86" s="220">
        <v>0</v>
      </c>
      <c r="AA86" s="220">
        <v>1</v>
      </c>
      <c r="AB86" s="220">
        <v>0</v>
      </c>
      <c r="AC86" s="220">
        <v>1</v>
      </c>
      <c r="AD86" s="220">
        <v>0</v>
      </c>
      <c r="AE86" s="220">
        <f t="shared" si="94"/>
        <v>-187</v>
      </c>
      <c r="AF86" s="220">
        <f t="shared" si="94"/>
        <v>-308</v>
      </c>
      <c r="AG86" s="220">
        <f t="shared" si="94"/>
        <v>-345</v>
      </c>
      <c r="AH86" s="220">
        <f t="shared" si="94"/>
        <v>-268</v>
      </c>
      <c r="AI86" s="220">
        <f t="shared" si="94"/>
        <v>-175</v>
      </c>
      <c r="AJ86" s="50">
        <f t="shared" si="95"/>
        <v>1.4040000000000032</v>
      </c>
      <c r="AK86" s="257"/>
      <c r="AL86" s="257">
        <f t="shared" si="96"/>
        <v>1.2</v>
      </c>
      <c r="AM86" s="52"/>
      <c r="AN86" s="88"/>
    </row>
    <row r="87" spans="1:40" s="29" customFormat="1" ht="17.25" customHeight="1">
      <c r="A87" s="48">
        <v>77</v>
      </c>
      <c r="B87" s="49">
        <f t="shared" si="88"/>
        <v>45652</v>
      </c>
      <c r="C87" s="220">
        <f t="shared" si="89"/>
        <v>1049</v>
      </c>
      <c r="D87" s="220">
        <f t="shared" ref="D87" si="106">D86+15</f>
        <v>2175</v>
      </c>
      <c r="E87" s="220">
        <f t="shared" si="91"/>
        <v>3224</v>
      </c>
      <c r="F87" s="220">
        <f t="shared" si="83"/>
        <v>763</v>
      </c>
      <c r="G87" s="220">
        <f t="shared" si="84"/>
        <v>966</v>
      </c>
      <c r="H87" s="220">
        <f t="shared" si="85"/>
        <v>1021</v>
      </c>
      <c r="I87" s="220">
        <f t="shared" si="86"/>
        <v>933</v>
      </c>
      <c r="J87" s="220">
        <f t="shared" si="87"/>
        <v>840</v>
      </c>
      <c r="K87" s="220">
        <f t="shared" si="69"/>
        <v>2461</v>
      </c>
      <c r="L87" s="220">
        <f t="shared" si="69"/>
        <v>2258</v>
      </c>
      <c r="M87" s="220">
        <f t="shared" si="69"/>
        <v>2203</v>
      </c>
      <c r="N87" s="220">
        <f t="shared" si="69"/>
        <v>2291</v>
      </c>
      <c r="O87" s="220">
        <f t="shared" si="69"/>
        <v>2384</v>
      </c>
      <c r="P87" s="220">
        <f t="shared" si="92"/>
        <v>2000</v>
      </c>
      <c r="Q87" s="220">
        <f t="shared" si="92"/>
        <v>2000</v>
      </c>
      <c r="R87" s="220">
        <f t="shared" si="92"/>
        <v>2000</v>
      </c>
      <c r="S87" s="220">
        <f t="shared" si="92"/>
        <v>2000</v>
      </c>
      <c r="T87" s="220">
        <f t="shared" si="92"/>
        <v>2000</v>
      </c>
      <c r="U87" s="220">
        <f t="shared" si="93"/>
        <v>461</v>
      </c>
      <c r="V87" s="220">
        <f t="shared" si="93"/>
        <v>258</v>
      </c>
      <c r="W87" s="220">
        <f t="shared" si="93"/>
        <v>203</v>
      </c>
      <c r="X87" s="220">
        <f t="shared" si="93"/>
        <v>291</v>
      </c>
      <c r="Y87" s="220">
        <f t="shared" si="93"/>
        <v>384</v>
      </c>
      <c r="Z87" s="220">
        <v>1</v>
      </c>
      <c r="AA87" s="220">
        <v>3</v>
      </c>
      <c r="AB87" s="220">
        <v>1</v>
      </c>
      <c r="AC87" s="220">
        <v>0</v>
      </c>
      <c r="AD87" s="220">
        <v>0</v>
      </c>
      <c r="AE87" s="220">
        <f t="shared" si="94"/>
        <v>-188</v>
      </c>
      <c r="AF87" s="220">
        <f t="shared" si="94"/>
        <v>-311</v>
      </c>
      <c r="AG87" s="220">
        <f t="shared" si="94"/>
        <v>-346</v>
      </c>
      <c r="AH87" s="220">
        <f t="shared" si="94"/>
        <v>-268</v>
      </c>
      <c r="AI87" s="220">
        <f t="shared" si="94"/>
        <v>-175</v>
      </c>
      <c r="AJ87" s="50">
        <f t="shared" si="95"/>
        <v>1.4030000000000034</v>
      </c>
      <c r="AK87" s="257"/>
      <c r="AL87" s="257">
        <f t="shared" si="96"/>
        <v>1.2</v>
      </c>
      <c r="AM87" s="52"/>
      <c r="AN87" s="88"/>
    </row>
    <row r="88" spans="1:40" s="29" customFormat="1" ht="17.25" customHeight="1">
      <c r="A88" s="48">
        <v>78</v>
      </c>
      <c r="B88" s="49">
        <f t="shared" si="88"/>
        <v>45653</v>
      </c>
      <c r="C88" s="220">
        <f t="shared" si="89"/>
        <v>1049</v>
      </c>
      <c r="D88" s="220">
        <f t="shared" ref="D88" si="107">D87+26</f>
        <v>2201</v>
      </c>
      <c r="E88" s="220">
        <f t="shared" si="91"/>
        <v>3250</v>
      </c>
      <c r="F88" s="220">
        <f t="shared" si="83"/>
        <v>790</v>
      </c>
      <c r="G88" s="220">
        <f t="shared" si="84"/>
        <v>993</v>
      </c>
      <c r="H88" s="220">
        <f t="shared" si="85"/>
        <v>1048</v>
      </c>
      <c r="I88" s="220">
        <f t="shared" si="86"/>
        <v>960</v>
      </c>
      <c r="J88" s="220">
        <f t="shared" si="87"/>
        <v>866</v>
      </c>
      <c r="K88" s="220">
        <f t="shared" si="69"/>
        <v>2460</v>
      </c>
      <c r="L88" s="220">
        <f t="shared" si="69"/>
        <v>2257</v>
      </c>
      <c r="M88" s="220">
        <f t="shared" si="69"/>
        <v>2202</v>
      </c>
      <c r="N88" s="220">
        <f t="shared" si="69"/>
        <v>2290</v>
      </c>
      <c r="O88" s="220">
        <f t="shared" si="69"/>
        <v>2384</v>
      </c>
      <c r="P88" s="220">
        <f t="shared" si="92"/>
        <v>2000</v>
      </c>
      <c r="Q88" s="220">
        <f t="shared" si="92"/>
        <v>2000</v>
      </c>
      <c r="R88" s="220">
        <f t="shared" si="92"/>
        <v>2000</v>
      </c>
      <c r="S88" s="220">
        <f t="shared" si="92"/>
        <v>2000</v>
      </c>
      <c r="T88" s="220">
        <f t="shared" si="92"/>
        <v>2000</v>
      </c>
      <c r="U88" s="220">
        <f t="shared" si="93"/>
        <v>460</v>
      </c>
      <c r="V88" s="220">
        <f t="shared" si="93"/>
        <v>257</v>
      </c>
      <c r="W88" s="220">
        <f t="shared" si="93"/>
        <v>202</v>
      </c>
      <c r="X88" s="220">
        <f t="shared" si="93"/>
        <v>290</v>
      </c>
      <c r="Y88" s="220">
        <f t="shared" si="93"/>
        <v>384</v>
      </c>
      <c r="Z88" s="220">
        <v>1</v>
      </c>
      <c r="AA88" s="220">
        <v>1</v>
      </c>
      <c r="AB88" s="220">
        <v>1</v>
      </c>
      <c r="AC88" s="220">
        <v>1</v>
      </c>
      <c r="AD88" s="220">
        <v>0</v>
      </c>
      <c r="AE88" s="220">
        <f t="shared" si="94"/>
        <v>-189</v>
      </c>
      <c r="AF88" s="220">
        <f t="shared" si="94"/>
        <v>-312</v>
      </c>
      <c r="AG88" s="220">
        <f t="shared" si="94"/>
        <v>-347</v>
      </c>
      <c r="AH88" s="220">
        <f t="shared" si="94"/>
        <v>-269</v>
      </c>
      <c r="AI88" s="220">
        <f t="shared" si="94"/>
        <v>-175</v>
      </c>
      <c r="AJ88" s="50">
        <f t="shared" si="95"/>
        <v>1.4020000000000035</v>
      </c>
      <c r="AK88" s="257"/>
      <c r="AL88" s="257">
        <f t="shared" si="96"/>
        <v>1.2</v>
      </c>
      <c r="AM88" s="52"/>
      <c r="AN88" s="88"/>
    </row>
    <row r="89" spans="1:40" s="29" customFormat="1" ht="17.25" customHeight="1">
      <c r="A89" s="48">
        <v>79</v>
      </c>
      <c r="B89" s="49">
        <f t="shared" si="88"/>
        <v>45654</v>
      </c>
      <c r="C89" s="220">
        <f t="shared" si="89"/>
        <v>1049</v>
      </c>
      <c r="D89" s="220">
        <f t="shared" ref="D89" si="108">D88+32</f>
        <v>2233</v>
      </c>
      <c r="E89" s="220">
        <f t="shared" si="91"/>
        <v>3282</v>
      </c>
      <c r="F89" s="220">
        <f t="shared" si="83"/>
        <v>822</v>
      </c>
      <c r="G89" s="220">
        <f t="shared" si="84"/>
        <v>1025</v>
      </c>
      <c r="H89" s="220">
        <f t="shared" si="85"/>
        <v>1080</v>
      </c>
      <c r="I89" s="220">
        <f t="shared" si="86"/>
        <v>995</v>
      </c>
      <c r="J89" s="220">
        <f t="shared" si="87"/>
        <v>899</v>
      </c>
      <c r="K89" s="220">
        <f t="shared" si="69"/>
        <v>2460</v>
      </c>
      <c r="L89" s="220">
        <f t="shared" si="69"/>
        <v>2257</v>
      </c>
      <c r="M89" s="220">
        <f t="shared" si="69"/>
        <v>2202</v>
      </c>
      <c r="N89" s="220">
        <f t="shared" si="69"/>
        <v>2287</v>
      </c>
      <c r="O89" s="220">
        <f t="shared" si="69"/>
        <v>2383</v>
      </c>
      <c r="P89" s="220">
        <f t="shared" si="92"/>
        <v>2000</v>
      </c>
      <c r="Q89" s="220">
        <f t="shared" si="92"/>
        <v>2000</v>
      </c>
      <c r="R89" s="220">
        <f t="shared" si="92"/>
        <v>2000</v>
      </c>
      <c r="S89" s="220">
        <f t="shared" si="92"/>
        <v>2000</v>
      </c>
      <c r="T89" s="220">
        <f t="shared" si="92"/>
        <v>2000</v>
      </c>
      <c r="U89" s="220">
        <f t="shared" si="93"/>
        <v>460</v>
      </c>
      <c r="V89" s="220">
        <f t="shared" si="93"/>
        <v>257</v>
      </c>
      <c r="W89" s="220">
        <f t="shared" si="93"/>
        <v>202</v>
      </c>
      <c r="X89" s="220">
        <f t="shared" si="93"/>
        <v>287</v>
      </c>
      <c r="Y89" s="220">
        <f t="shared" si="93"/>
        <v>383</v>
      </c>
      <c r="Z89" s="220">
        <v>0</v>
      </c>
      <c r="AA89" s="220">
        <v>0</v>
      </c>
      <c r="AB89" s="220">
        <v>0</v>
      </c>
      <c r="AC89" s="220">
        <v>3</v>
      </c>
      <c r="AD89" s="220">
        <v>1</v>
      </c>
      <c r="AE89" s="220">
        <f t="shared" si="94"/>
        <v>-189</v>
      </c>
      <c r="AF89" s="220">
        <f t="shared" si="94"/>
        <v>-312</v>
      </c>
      <c r="AG89" s="220">
        <f t="shared" si="94"/>
        <v>-347</v>
      </c>
      <c r="AH89" s="220">
        <f t="shared" si="94"/>
        <v>-272</v>
      </c>
      <c r="AI89" s="220">
        <f t="shared" si="94"/>
        <v>-176</v>
      </c>
      <c r="AJ89" s="50">
        <f t="shared" si="95"/>
        <v>1.4020000000000035</v>
      </c>
      <c r="AK89" s="257"/>
      <c r="AL89" s="257">
        <f t="shared" si="96"/>
        <v>1.2</v>
      </c>
      <c r="AM89" s="52"/>
      <c r="AN89" s="88"/>
    </row>
    <row r="90" spans="1:40" s="29" customFormat="1" ht="17.25" customHeight="1">
      <c r="A90" s="48">
        <v>80</v>
      </c>
      <c r="B90" s="49">
        <f t="shared" si="88"/>
        <v>45655</v>
      </c>
      <c r="C90" s="220">
        <f t="shared" si="89"/>
        <v>1049</v>
      </c>
      <c r="D90" s="220">
        <f t="shared" ref="D90" si="109">D89-18</f>
        <v>2215</v>
      </c>
      <c r="E90" s="220">
        <f t="shared" si="91"/>
        <v>3264</v>
      </c>
      <c r="F90" s="220">
        <f t="shared" si="83"/>
        <v>804</v>
      </c>
      <c r="G90" s="220">
        <f t="shared" si="84"/>
        <v>1008</v>
      </c>
      <c r="H90" s="220">
        <f t="shared" si="85"/>
        <v>1062</v>
      </c>
      <c r="I90" s="220">
        <f t="shared" si="86"/>
        <v>978</v>
      </c>
      <c r="J90" s="220">
        <f t="shared" si="87"/>
        <v>881</v>
      </c>
      <c r="K90" s="220">
        <f t="shared" si="69"/>
        <v>2460</v>
      </c>
      <c r="L90" s="220">
        <f t="shared" si="69"/>
        <v>2256</v>
      </c>
      <c r="M90" s="220">
        <f t="shared" si="69"/>
        <v>2202</v>
      </c>
      <c r="N90" s="220">
        <f t="shared" si="69"/>
        <v>2286</v>
      </c>
      <c r="O90" s="220">
        <f t="shared" si="69"/>
        <v>2383</v>
      </c>
      <c r="P90" s="220">
        <f t="shared" si="92"/>
        <v>2000</v>
      </c>
      <c r="Q90" s="220">
        <f t="shared" si="92"/>
        <v>2000</v>
      </c>
      <c r="R90" s="220">
        <f t="shared" si="92"/>
        <v>2000</v>
      </c>
      <c r="S90" s="220">
        <f t="shared" si="92"/>
        <v>2000</v>
      </c>
      <c r="T90" s="220">
        <f t="shared" si="92"/>
        <v>2000</v>
      </c>
      <c r="U90" s="220">
        <f t="shared" si="93"/>
        <v>460</v>
      </c>
      <c r="V90" s="220">
        <f t="shared" si="93"/>
        <v>256</v>
      </c>
      <c r="W90" s="220">
        <f t="shared" si="93"/>
        <v>202</v>
      </c>
      <c r="X90" s="220">
        <f t="shared" si="93"/>
        <v>286</v>
      </c>
      <c r="Y90" s="220">
        <f t="shared" si="93"/>
        <v>383</v>
      </c>
      <c r="Z90" s="220">
        <v>0</v>
      </c>
      <c r="AA90" s="220">
        <v>1</v>
      </c>
      <c r="AB90" s="220">
        <v>0</v>
      </c>
      <c r="AC90" s="220">
        <v>1</v>
      </c>
      <c r="AD90" s="220">
        <v>0</v>
      </c>
      <c r="AE90" s="220">
        <f t="shared" si="94"/>
        <v>-189</v>
      </c>
      <c r="AF90" s="220">
        <f t="shared" si="94"/>
        <v>-313</v>
      </c>
      <c r="AG90" s="220">
        <f t="shared" si="94"/>
        <v>-347</v>
      </c>
      <c r="AH90" s="220">
        <f t="shared" si="94"/>
        <v>-273</v>
      </c>
      <c r="AI90" s="220">
        <f t="shared" si="94"/>
        <v>-176</v>
      </c>
      <c r="AJ90" s="50">
        <f t="shared" si="95"/>
        <v>1.4020000000000035</v>
      </c>
      <c r="AK90" s="257"/>
      <c r="AL90" s="257">
        <f t="shared" si="96"/>
        <v>1.2</v>
      </c>
      <c r="AM90" s="52"/>
      <c r="AN90" s="88"/>
    </row>
    <row r="91" spans="1:40" s="29" customFormat="1" ht="17.25" customHeight="1">
      <c r="A91" s="48">
        <v>81</v>
      </c>
      <c r="B91" s="49">
        <f t="shared" si="88"/>
        <v>45656</v>
      </c>
      <c r="C91" s="220">
        <f t="shared" si="89"/>
        <v>1049</v>
      </c>
      <c r="D91" s="220">
        <f t="shared" ref="D91" si="110">D90-26</f>
        <v>2189</v>
      </c>
      <c r="E91" s="220">
        <f t="shared" si="91"/>
        <v>3238</v>
      </c>
      <c r="F91" s="220">
        <f t="shared" si="83"/>
        <v>779</v>
      </c>
      <c r="G91" s="220">
        <f t="shared" si="84"/>
        <v>984</v>
      </c>
      <c r="H91" s="220">
        <f t="shared" si="85"/>
        <v>1039</v>
      </c>
      <c r="I91" s="220">
        <f t="shared" si="86"/>
        <v>954</v>
      </c>
      <c r="J91" s="220">
        <f t="shared" si="87"/>
        <v>855</v>
      </c>
      <c r="K91" s="220">
        <f t="shared" si="69"/>
        <v>2459</v>
      </c>
      <c r="L91" s="220">
        <f t="shared" si="69"/>
        <v>2254</v>
      </c>
      <c r="M91" s="220">
        <f t="shared" si="69"/>
        <v>2199</v>
      </c>
      <c r="N91" s="220">
        <f t="shared" si="69"/>
        <v>2284</v>
      </c>
      <c r="O91" s="220">
        <f t="shared" si="69"/>
        <v>2383</v>
      </c>
      <c r="P91" s="220">
        <f t="shared" si="92"/>
        <v>2000</v>
      </c>
      <c r="Q91" s="220">
        <f t="shared" si="92"/>
        <v>2000</v>
      </c>
      <c r="R91" s="220">
        <f t="shared" si="92"/>
        <v>2000</v>
      </c>
      <c r="S91" s="220">
        <f t="shared" si="92"/>
        <v>2000</v>
      </c>
      <c r="T91" s="220">
        <f t="shared" si="92"/>
        <v>2000</v>
      </c>
      <c r="U91" s="220">
        <f t="shared" si="93"/>
        <v>459</v>
      </c>
      <c r="V91" s="220">
        <f t="shared" si="93"/>
        <v>254</v>
      </c>
      <c r="W91" s="220">
        <f t="shared" si="93"/>
        <v>199</v>
      </c>
      <c r="X91" s="220">
        <f t="shared" si="93"/>
        <v>284</v>
      </c>
      <c r="Y91" s="220">
        <f t="shared" si="93"/>
        <v>383</v>
      </c>
      <c r="Z91" s="220">
        <v>1</v>
      </c>
      <c r="AA91" s="220">
        <v>2</v>
      </c>
      <c r="AB91" s="220">
        <v>3</v>
      </c>
      <c r="AC91" s="220">
        <v>2</v>
      </c>
      <c r="AD91" s="220">
        <v>0</v>
      </c>
      <c r="AE91" s="220">
        <f t="shared" si="94"/>
        <v>-190</v>
      </c>
      <c r="AF91" s="220">
        <f t="shared" si="94"/>
        <v>-315</v>
      </c>
      <c r="AG91" s="220">
        <f t="shared" si="94"/>
        <v>-350</v>
      </c>
      <c r="AH91" s="220">
        <f t="shared" si="94"/>
        <v>-275</v>
      </c>
      <c r="AI91" s="220">
        <f t="shared" si="94"/>
        <v>-176</v>
      </c>
      <c r="AJ91" s="50">
        <f t="shared" si="95"/>
        <v>1.3990000000000036</v>
      </c>
      <c r="AK91" s="257"/>
      <c r="AL91" s="257">
        <f t="shared" si="96"/>
        <v>1.2</v>
      </c>
      <c r="AM91" s="52"/>
      <c r="AN91" s="88"/>
    </row>
    <row r="92" spans="1:40" s="29" customFormat="1" ht="17.25" customHeight="1">
      <c r="A92" s="48">
        <v>82</v>
      </c>
      <c r="B92" s="49">
        <f t="shared" si="88"/>
        <v>45657</v>
      </c>
      <c r="C92" s="220">
        <f t="shared" si="89"/>
        <v>1049</v>
      </c>
      <c r="D92" s="220">
        <f t="shared" ref="D92" si="111">D91+15</f>
        <v>2204</v>
      </c>
      <c r="E92" s="220">
        <f t="shared" si="91"/>
        <v>3253</v>
      </c>
      <c r="F92" s="220">
        <f t="shared" si="83"/>
        <v>795</v>
      </c>
      <c r="G92" s="220">
        <f t="shared" si="84"/>
        <v>1001</v>
      </c>
      <c r="H92" s="220">
        <f t="shared" si="85"/>
        <v>1055</v>
      </c>
      <c r="I92" s="220">
        <f t="shared" si="86"/>
        <v>971</v>
      </c>
      <c r="J92" s="220">
        <f t="shared" si="87"/>
        <v>871</v>
      </c>
      <c r="K92" s="220">
        <f t="shared" si="69"/>
        <v>2458</v>
      </c>
      <c r="L92" s="220">
        <f t="shared" si="69"/>
        <v>2252</v>
      </c>
      <c r="M92" s="220">
        <f t="shared" si="69"/>
        <v>2198</v>
      </c>
      <c r="N92" s="220">
        <f t="shared" si="69"/>
        <v>2282</v>
      </c>
      <c r="O92" s="220">
        <f t="shared" si="69"/>
        <v>2382</v>
      </c>
      <c r="P92" s="220">
        <f t="shared" si="92"/>
        <v>2000</v>
      </c>
      <c r="Q92" s="220">
        <f t="shared" si="92"/>
        <v>2000</v>
      </c>
      <c r="R92" s="220">
        <f t="shared" si="92"/>
        <v>2000</v>
      </c>
      <c r="S92" s="220">
        <f t="shared" si="92"/>
        <v>2000</v>
      </c>
      <c r="T92" s="220">
        <f t="shared" si="92"/>
        <v>2000</v>
      </c>
      <c r="U92" s="220">
        <f t="shared" si="93"/>
        <v>458</v>
      </c>
      <c r="V92" s="220">
        <f t="shared" si="93"/>
        <v>252</v>
      </c>
      <c r="W92" s="220">
        <f t="shared" si="93"/>
        <v>198</v>
      </c>
      <c r="X92" s="220">
        <f t="shared" si="93"/>
        <v>282</v>
      </c>
      <c r="Y92" s="220">
        <f t="shared" si="93"/>
        <v>382</v>
      </c>
      <c r="Z92" s="220">
        <v>1</v>
      </c>
      <c r="AA92" s="220">
        <v>2</v>
      </c>
      <c r="AB92" s="220">
        <v>1</v>
      </c>
      <c r="AC92" s="220">
        <v>2</v>
      </c>
      <c r="AD92" s="220">
        <v>1</v>
      </c>
      <c r="AE92" s="220">
        <f t="shared" si="94"/>
        <v>-191</v>
      </c>
      <c r="AF92" s="220">
        <f t="shared" si="94"/>
        <v>-317</v>
      </c>
      <c r="AG92" s="220">
        <f t="shared" si="94"/>
        <v>-351</v>
      </c>
      <c r="AH92" s="220">
        <f t="shared" si="94"/>
        <v>-277</v>
      </c>
      <c r="AI92" s="220">
        <f t="shared" si="94"/>
        <v>-177</v>
      </c>
      <c r="AJ92" s="50">
        <f t="shared" si="95"/>
        <v>1.3980000000000037</v>
      </c>
      <c r="AK92" s="257"/>
      <c r="AL92" s="257">
        <f t="shared" si="96"/>
        <v>1.2</v>
      </c>
      <c r="AM92" s="52"/>
      <c r="AN92" s="88"/>
    </row>
    <row r="93" spans="1:40" s="29" customFormat="1" ht="17.25" customHeight="1">
      <c r="A93" s="48">
        <v>83</v>
      </c>
      <c r="B93" s="49">
        <f t="shared" si="88"/>
        <v>45658</v>
      </c>
      <c r="C93" s="220">
        <f t="shared" si="89"/>
        <v>1049</v>
      </c>
      <c r="D93" s="220">
        <f t="shared" ref="D93" si="112">D92+26</f>
        <v>2230</v>
      </c>
      <c r="E93" s="220">
        <f t="shared" si="91"/>
        <v>3279</v>
      </c>
      <c r="F93" s="220">
        <f t="shared" si="83"/>
        <v>821</v>
      </c>
      <c r="G93" s="220">
        <f t="shared" si="84"/>
        <v>1028</v>
      </c>
      <c r="H93" s="220">
        <f t="shared" si="85"/>
        <v>1081</v>
      </c>
      <c r="I93" s="220">
        <f t="shared" si="86"/>
        <v>998</v>
      </c>
      <c r="J93" s="220">
        <f t="shared" si="87"/>
        <v>897</v>
      </c>
      <c r="K93" s="220">
        <f t="shared" si="69"/>
        <v>2458</v>
      </c>
      <c r="L93" s="220">
        <f t="shared" si="69"/>
        <v>2251</v>
      </c>
      <c r="M93" s="220">
        <f t="shared" si="69"/>
        <v>2198</v>
      </c>
      <c r="N93" s="220">
        <f t="shared" si="69"/>
        <v>2281</v>
      </c>
      <c r="O93" s="220">
        <f t="shared" si="69"/>
        <v>2382</v>
      </c>
      <c r="P93" s="220">
        <f t="shared" ref="P93:T108" si="113">+P92</f>
        <v>2000</v>
      </c>
      <c r="Q93" s="220">
        <f t="shared" si="113"/>
        <v>2000</v>
      </c>
      <c r="R93" s="220">
        <f t="shared" si="113"/>
        <v>2000</v>
      </c>
      <c r="S93" s="220">
        <f t="shared" si="113"/>
        <v>2000</v>
      </c>
      <c r="T93" s="220">
        <f t="shared" si="113"/>
        <v>2000</v>
      </c>
      <c r="U93" s="220">
        <f t="shared" ref="U93:Y108" si="114">U92-Z93</f>
        <v>458</v>
      </c>
      <c r="V93" s="220">
        <f t="shared" si="114"/>
        <v>251</v>
      </c>
      <c r="W93" s="220">
        <f t="shared" si="114"/>
        <v>198</v>
      </c>
      <c r="X93" s="220">
        <f t="shared" si="114"/>
        <v>281</v>
      </c>
      <c r="Y93" s="220">
        <f t="shared" si="114"/>
        <v>382</v>
      </c>
      <c r="Z93" s="220">
        <v>0</v>
      </c>
      <c r="AA93" s="220">
        <v>1</v>
      </c>
      <c r="AB93" s="220">
        <v>0</v>
      </c>
      <c r="AC93" s="220">
        <v>1</v>
      </c>
      <c r="AD93" s="220">
        <v>0</v>
      </c>
      <c r="AE93" s="220">
        <f t="shared" ref="AE93:AI108" si="115">AE92-Z93</f>
        <v>-191</v>
      </c>
      <c r="AF93" s="220">
        <f t="shared" si="115"/>
        <v>-318</v>
      </c>
      <c r="AG93" s="220">
        <f t="shared" si="115"/>
        <v>-351</v>
      </c>
      <c r="AH93" s="220">
        <f t="shared" si="115"/>
        <v>-278</v>
      </c>
      <c r="AI93" s="220">
        <f t="shared" si="115"/>
        <v>-177</v>
      </c>
      <c r="AJ93" s="50">
        <f t="shared" si="95"/>
        <v>1.3980000000000037</v>
      </c>
      <c r="AK93" s="257"/>
      <c r="AL93" s="257">
        <f t="shared" si="96"/>
        <v>1.2</v>
      </c>
      <c r="AM93" s="52"/>
      <c r="AN93" s="88"/>
    </row>
    <row r="94" spans="1:40" s="29" customFormat="1" ht="17.25" customHeight="1">
      <c r="A94" s="48">
        <v>84</v>
      </c>
      <c r="B94" s="49">
        <f t="shared" si="88"/>
        <v>45659</v>
      </c>
      <c r="C94" s="220">
        <f t="shared" si="89"/>
        <v>1049</v>
      </c>
      <c r="D94" s="220">
        <f t="shared" ref="D94" si="116">D93+32</f>
        <v>2262</v>
      </c>
      <c r="E94" s="220">
        <f t="shared" si="91"/>
        <v>3311</v>
      </c>
      <c r="F94" s="220">
        <f t="shared" si="83"/>
        <v>854</v>
      </c>
      <c r="G94" s="220">
        <f t="shared" si="84"/>
        <v>1063</v>
      </c>
      <c r="H94" s="220">
        <f t="shared" si="85"/>
        <v>1114</v>
      </c>
      <c r="I94" s="220">
        <f t="shared" si="86"/>
        <v>1030</v>
      </c>
      <c r="J94" s="220">
        <f t="shared" si="87"/>
        <v>929</v>
      </c>
      <c r="K94" s="220">
        <f t="shared" si="69"/>
        <v>2457</v>
      </c>
      <c r="L94" s="220">
        <f t="shared" si="69"/>
        <v>2248</v>
      </c>
      <c r="M94" s="220">
        <f t="shared" si="69"/>
        <v>2197</v>
      </c>
      <c r="N94" s="220">
        <f t="shared" si="69"/>
        <v>2281</v>
      </c>
      <c r="O94" s="220">
        <f t="shared" si="69"/>
        <v>2382</v>
      </c>
      <c r="P94" s="220">
        <f t="shared" si="113"/>
        <v>2000</v>
      </c>
      <c r="Q94" s="220">
        <f t="shared" si="113"/>
        <v>2000</v>
      </c>
      <c r="R94" s="220">
        <f t="shared" si="113"/>
        <v>2000</v>
      </c>
      <c r="S94" s="220">
        <f t="shared" si="113"/>
        <v>2000</v>
      </c>
      <c r="T94" s="220">
        <f t="shared" si="113"/>
        <v>2000</v>
      </c>
      <c r="U94" s="220">
        <f t="shared" si="114"/>
        <v>457</v>
      </c>
      <c r="V94" s="220">
        <f t="shared" si="114"/>
        <v>248</v>
      </c>
      <c r="W94" s="220">
        <f t="shared" si="114"/>
        <v>197</v>
      </c>
      <c r="X94" s="220">
        <f t="shared" si="114"/>
        <v>281</v>
      </c>
      <c r="Y94" s="220">
        <f t="shared" si="114"/>
        <v>382</v>
      </c>
      <c r="Z94" s="220">
        <v>1</v>
      </c>
      <c r="AA94" s="220">
        <v>3</v>
      </c>
      <c r="AB94" s="220">
        <v>1</v>
      </c>
      <c r="AC94" s="220">
        <v>0</v>
      </c>
      <c r="AD94" s="220">
        <v>0</v>
      </c>
      <c r="AE94" s="220">
        <f t="shared" si="115"/>
        <v>-192</v>
      </c>
      <c r="AF94" s="220">
        <f t="shared" si="115"/>
        <v>-321</v>
      </c>
      <c r="AG94" s="220">
        <f t="shared" si="115"/>
        <v>-352</v>
      </c>
      <c r="AH94" s="220">
        <f t="shared" si="115"/>
        <v>-278</v>
      </c>
      <c r="AI94" s="220">
        <f t="shared" si="115"/>
        <v>-177</v>
      </c>
      <c r="AJ94" s="50">
        <f t="shared" si="95"/>
        <v>1.3970000000000038</v>
      </c>
      <c r="AK94" s="257"/>
      <c r="AL94" s="257">
        <f t="shared" si="96"/>
        <v>1.2</v>
      </c>
      <c r="AM94" s="52"/>
      <c r="AN94" s="88"/>
    </row>
    <row r="95" spans="1:40" s="29" customFormat="1" ht="17.25" customHeight="1">
      <c r="A95" s="48">
        <v>85</v>
      </c>
      <c r="B95" s="49">
        <f t="shared" si="88"/>
        <v>45660</v>
      </c>
      <c r="C95" s="220">
        <f t="shared" si="89"/>
        <v>1049</v>
      </c>
      <c r="D95" s="220">
        <f t="shared" ref="D95" si="117">D94-18</f>
        <v>2244</v>
      </c>
      <c r="E95" s="220">
        <f t="shared" si="91"/>
        <v>3293</v>
      </c>
      <c r="F95" s="220">
        <f t="shared" si="83"/>
        <v>836</v>
      </c>
      <c r="G95" s="220">
        <f t="shared" si="84"/>
        <v>1045</v>
      </c>
      <c r="H95" s="220">
        <f t="shared" si="85"/>
        <v>1096</v>
      </c>
      <c r="I95" s="220">
        <f t="shared" si="86"/>
        <v>1015</v>
      </c>
      <c r="J95" s="220">
        <f t="shared" si="87"/>
        <v>911</v>
      </c>
      <c r="K95" s="220">
        <f t="shared" si="69"/>
        <v>2457</v>
      </c>
      <c r="L95" s="220">
        <f t="shared" si="69"/>
        <v>2248</v>
      </c>
      <c r="M95" s="220">
        <f t="shared" si="69"/>
        <v>2197</v>
      </c>
      <c r="N95" s="220">
        <f t="shared" si="69"/>
        <v>2278</v>
      </c>
      <c r="O95" s="220">
        <f t="shared" si="69"/>
        <v>2382</v>
      </c>
      <c r="P95" s="220">
        <f t="shared" si="113"/>
        <v>2000</v>
      </c>
      <c r="Q95" s="220">
        <f t="shared" si="113"/>
        <v>2000</v>
      </c>
      <c r="R95" s="220">
        <f t="shared" si="113"/>
        <v>2000</v>
      </c>
      <c r="S95" s="220">
        <f t="shared" si="113"/>
        <v>2000</v>
      </c>
      <c r="T95" s="220">
        <f t="shared" si="113"/>
        <v>2000</v>
      </c>
      <c r="U95" s="220">
        <f t="shared" si="114"/>
        <v>457</v>
      </c>
      <c r="V95" s="220">
        <f t="shared" si="114"/>
        <v>248</v>
      </c>
      <c r="W95" s="220">
        <f t="shared" si="114"/>
        <v>197</v>
      </c>
      <c r="X95" s="220">
        <f t="shared" si="114"/>
        <v>278</v>
      </c>
      <c r="Y95" s="220">
        <f t="shared" si="114"/>
        <v>382</v>
      </c>
      <c r="Z95" s="220">
        <v>0</v>
      </c>
      <c r="AA95" s="220">
        <v>0</v>
      </c>
      <c r="AB95" s="220">
        <v>0</v>
      </c>
      <c r="AC95" s="220">
        <v>3</v>
      </c>
      <c r="AD95" s="220">
        <v>0</v>
      </c>
      <c r="AE95" s="220">
        <f t="shared" si="115"/>
        <v>-192</v>
      </c>
      <c r="AF95" s="220">
        <f t="shared" si="115"/>
        <v>-321</v>
      </c>
      <c r="AG95" s="220">
        <f t="shared" si="115"/>
        <v>-352</v>
      </c>
      <c r="AH95" s="220">
        <f t="shared" si="115"/>
        <v>-281</v>
      </c>
      <c r="AI95" s="220">
        <f t="shared" si="115"/>
        <v>-177</v>
      </c>
      <c r="AJ95" s="50">
        <f t="shared" si="95"/>
        <v>1.3970000000000038</v>
      </c>
      <c r="AK95" s="257"/>
      <c r="AL95" s="257">
        <f t="shared" si="96"/>
        <v>1.2</v>
      </c>
      <c r="AM95" s="52"/>
      <c r="AN95" s="88"/>
    </row>
    <row r="96" spans="1:40" s="29" customFormat="1" ht="17.25" customHeight="1">
      <c r="A96" s="48">
        <v>86</v>
      </c>
      <c r="B96" s="49">
        <f t="shared" si="88"/>
        <v>45661</v>
      </c>
      <c r="C96" s="220">
        <f t="shared" si="89"/>
        <v>1049</v>
      </c>
      <c r="D96" s="220">
        <f t="shared" ref="D96" si="118">D95-26</f>
        <v>2218</v>
      </c>
      <c r="E96" s="220">
        <f t="shared" si="91"/>
        <v>3267</v>
      </c>
      <c r="F96" s="220">
        <f t="shared" si="83"/>
        <v>811</v>
      </c>
      <c r="G96" s="220">
        <f t="shared" si="84"/>
        <v>1019</v>
      </c>
      <c r="H96" s="220">
        <f t="shared" si="85"/>
        <v>1071</v>
      </c>
      <c r="I96" s="220">
        <f t="shared" si="86"/>
        <v>989</v>
      </c>
      <c r="J96" s="220">
        <f t="shared" si="87"/>
        <v>885</v>
      </c>
      <c r="K96" s="220">
        <f t="shared" si="69"/>
        <v>2456</v>
      </c>
      <c r="L96" s="220">
        <f t="shared" si="69"/>
        <v>2248</v>
      </c>
      <c r="M96" s="220">
        <f t="shared" si="69"/>
        <v>2196</v>
      </c>
      <c r="N96" s="220">
        <f t="shared" si="69"/>
        <v>2278</v>
      </c>
      <c r="O96" s="220">
        <f t="shared" si="69"/>
        <v>2382</v>
      </c>
      <c r="P96" s="220">
        <f t="shared" si="113"/>
        <v>2000</v>
      </c>
      <c r="Q96" s="220">
        <f t="shared" si="113"/>
        <v>2000</v>
      </c>
      <c r="R96" s="220">
        <f t="shared" si="113"/>
        <v>2000</v>
      </c>
      <c r="S96" s="220">
        <f t="shared" si="113"/>
        <v>2000</v>
      </c>
      <c r="T96" s="220">
        <f t="shared" si="113"/>
        <v>2000</v>
      </c>
      <c r="U96" s="220">
        <f t="shared" si="114"/>
        <v>456</v>
      </c>
      <c r="V96" s="220">
        <f t="shared" si="114"/>
        <v>248</v>
      </c>
      <c r="W96" s="220">
        <f t="shared" si="114"/>
        <v>196</v>
      </c>
      <c r="X96" s="220">
        <f t="shared" si="114"/>
        <v>278</v>
      </c>
      <c r="Y96" s="220">
        <f t="shared" si="114"/>
        <v>382</v>
      </c>
      <c r="Z96" s="220">
        <v>1</v>
      </c>
      <c r="AA96" s="220">
        <v>0</v>
      </c>
      <c r="AB96" s="220">
        <v>1</v>
      </c>
      <c r="AC96" s="220">
        <v>0</v>
      </c>
      <c r="AD96" s="220">
        <v>0</v>
      </c>
      <c r="AE96" s="220">
        <f t="shared" si="115"/>
        <v>-193</v>
      </c>
      <c r="AF96" s="220">
        <f t="shared" si="115"/>
        <v>-321</v>
      </c>
      <c r="AG96" s="220">
        <f t="shared" si="115"/>
        <v>-353</v>
      </c>
      <c r="AH96" s="220">
        <f t="shared" si="115"/>
        <v>-281</v>
      </c>
      <c r="AI96" s="220">
        <f t="shared" si="115"/>
        <v>-177</v>
      </c>
      <c r="AJ96" s="50">
        <f t="shared" si="95"/>
        <v>1.3960000000000039</v>
      </c>
      <c r="AK96" s="257"/>
      <c r="AL96" s="257">
        <f t="shared" si="96"/>
        <v>1.2</v>
      </c>
      <c r="AM96" s="52"/>
      <c r="AN96" s="88"/>
    </row>
    <row r="97" spans="1:40" s="29" customFormat="1" ht="17.25" customHeight="1">
      <c r="A97" s="48">
        <v>87</v>
      </c>
      <c r="B97" s="49">
        <f t="shared" si="88"/>
        <v>45662</v>
      </c>
      <c r="C97" s="220">
        <f t="shared" si="89"/>
        <v>1049</v>
      </c>
      <c r="D97" s="220">
        <f t="shared" ref="D97" si="119">D96+15</f>
        <v>2233</v>
      </c>
      <c r="E97" s="220">
        <f t="shared" si="91"/>
        <v>3282</v>
      </c>
      <c r="F97" s="220">
        <f t="shared" si="83"/>
        <v>827</v>
      </c>
      <c r="G97" s="220">
        <f t="shared" si="84"/>
        <v>1034</v>
      </c>
      <c r="H97" s="220">
        <f t="shared" si="85"/>
        <v>1087</v>
      </c>
      <c r="I97" s="220">
        <f t="shared" si="86"/>
        <v>1004</v>
      </c>
      <c r="J97" s="220">
        <f t="shared" si="87"/>
        <v>900</v>
      </c>
      <c r="K97" s="220">
        <f t="shared" si="69"/>
        <v>2455</v>
      </c>
      <c r="L97" s="220">
        <f t="shared" si="69"/>
        <v>2248</v>
      </c>
      <c r="M97" s="220">
        <f t="shared" si="69"/>
        <v>2195</v>
      </c>
      <c r="N97" s="220">
        <f t="shared" si="69"/>
        <v>2278</v>
      </c>
      <c r="O97" s="220">
        <f t="shared" si="69"/>
        <v>2382</v>
      </c>
      <c r="P97" s="220">
        <f t="shared" si="113"/>
        <v>2000</v>
      </c>
      <c r="Q97" s="220">
        <f t="shared" si="113"/>
        <v>2000</v>
      </c>
      <c r="R97" s="220">
        <f t="shared" si="113"/>
        <v>2000</v>
      </c>
      <c r="S97" s="220">
        <f t="shared" si="113"/>
        <v>2000</v>
      </c>
      <c r="T97" s="220">
        <f t="shared" si="113"/>
        <v>2000</v>
      </c>
      <c r="U97" s="220">
        <f t="shared" si="114"/>
        <v>455</v>
      </c>
      <c r="V97" s="220">
        <f t="shared" si="114"/>
        <v>248</v>
      </c>
      <c r="W97" s="220">
        <f t="shared" si="114"/>
        <v>195</v>
      </c>
      <c r="X97" s="220">
        <f t="shared" si="114"/>
        <v>278</v>
      </c>
      <c r="Y97" s="220">
        <f t="shared" si="114"/>
        <v>382</v>
      </c>
      <c r="Z97" s="220">
        <v>1</v>
      </c>
      <c r="AA97" s="220">
        <v>0</v>
      </c>
      <c r="AB97" s="220">
        <v>1</v>
      </c>
      <c r="AC97" s="220">
        <v>0</v>
      </c>
      <c r="AD97" s="220">
        <v>0</v>
      </c>
      <c r="AE97" s="220">
        <f t="shared" si="115"/>
        <v>-194</v>
      </c>
      <c r="AF97" s="220">
        <f t="shared" si="115"/>
        <v>-321</v>
      </c>
      <c r="AG97" s="220">
        <f t="shared" si="115"/>
        <v>-354</v>
      </c>
      <c r="AH97" s="220">
        <f t="shared" si="115"/>
        <v>-281</v>
      </c>
      <c r="AI97" s="220">
        <f t="shared" si="115"/>
        <v>-177</v>
      </c>
      <c r="AJ97" s="50">
        <f t="shared" si="95"/>
        <v>1.395000000000004</v>
      </c>
      <c r="AK97" s="257"/>
      <c r="AL97" s="257">
        <f t="shared" si="96"/>
        <v>1.2</v>
      </c>
      <c r="AM97" s="52"/>
      <c r="AN97" s="88"/>
    </row>
    <row r="98" spans="1:40" s="29" customFormat="1" ht="17.25" customHeight="1">
      <c r="A98" s="48">
        <v>88</v>
      </c>
      <c r="B98" s="49">
        <f t="shared" si="88"/>
        <v>45663</v>
      </c>
      <c r="C98" s="220">
        <f t="shared" si="89"/>
        <v>1049</v>
      </c>
      <c r="D98" s="220">
        <f t="shared" ref="D98" si="120">D97+26</f>
        <v>2259</v>
      </c>
      <c r="E98" s="220">
        <f t="shared" si="91"/>
        <v>3308</v>
      </c>
      <c r="F98" s="220">
        <f t="shared" si="83"/>
        <v>853</v>
      </c>
      <c r="G98" s="220">
        <f t="shared" si="84"/>
        <v>1060</v>
      </c>
      <c r="H98" s="220">
        <f t="shared" si="85"/>
        <v>1113</v>
      </c>
      <c r="I98" s="220">
        <f t="shared" si="86"/>
        <v>1030</v>
      </c>
      <c r="J98" s="220">
        <f t="shared" si="87"/>
        <v>927</v>
      </c>
      <c r="K98" s="220">
        <f t="shared" si="69"/>
        <v>2455</v>
      </c>
      <c r="L98" s="220">
        <f t="shared" si="69"/>
        <v>2248</v>
      </c>
      <c r="M98" s="220">
        <f t="shared" si="69"/>
        <v>2195</v>
      </c>
      <c r="N98" s="220">
        <f t="shared" si="69"/>
        <v>2278</v>
      </c>
      <c r="O98" s="220">
        <f t="shared" si="69"/>
        <v>2381</v>
      </c>
      <c r="P98" s="220">
        <f t="shared" si="113"/>
        <v>2000</v>
      </c>
      <c r="Q98" s="220">
        <f t="shared" si="113"/>
        <v>2000</v>
      </c>
      <c r="R98" s="220">
        <f t="shared" si="113"/>
        <v>2000</v>
      </c>
      <c r="S98" s="220">
        <f t="shared" si="113"/>
        <v>2000</v>
      </c>
      <c r="T98" s="220">
        <f t="shared" si="113"/>
        <v>2000</v>
      </c>
      <c r="U98" s="220">
        <f t="shared" si="114"/>
        <v>455</v>
      </c>
      <c r="V98" s="220">
        <f t="shared" si="114"/>
        <v>248</v>
      </c>
      <c r="W98" s="220">
        <f t="shared" si="114"/>
        <v>195</v>
      </c>
      <c r="X98" s="220">
        <f t="shared" si="114"/>
        <v>278</v>
      </c>
      <c r="Y98" s="220">
        <f t="shared" si="114"/>
        <v>381</v>
      </c>
      <c r="Z98" s="220">
        <v>0</v>
      </c>
      <c r="AA98" s="220">
        <v>0</v>
      </c>
      <c r="AB98" s="220">
        <v>0</v>
      </c>
      <c r="AC98" s="220">
        <v>0</v>
      </c>
      <c r="AD98" s="220">
        <v>1</v>
      </c>
      <c r="AE98" s="220">
        <f t="shared" si="115"/>
        <v>-194</v>
      </c>
      <c r="AF98" s="220">
        <f t="shared" si="115"/>
        <v>-321</v>
      </c>
      <c r="AG98" s="220">
        <f t="shared" si="115"/>
        <v>-354</v>
      </c>
      <c r="AH98" s="220">
        <f t="shared" si="115"/>
        <v>-281</v>
      </c>
      <c r="AI98" s="220">
        <f t="shared" si="115"/>
        <v>-178</v>
      </c>
      <c r="AJ98" s="50">
        <f t="shared" si="95"/>
        <v>1.395000000000004</v>
      </c>
      <c r="AK98" s="257"/>
      <c r="AL98" s="257">
        <f t="shared" si="96"/>
        <v>1.2</v>
      </c>
      <c r="AM98" s="52"/>
      <c r="AN98" s="88"/>
    </row>
    <row r="99" spans="1:40" s="29" customFormat="1" ht="17.25" customHeight="1">
      <c r="A99" s="48">
        <v>89</v>
      </c>
      <c r="B99" s="49">
        <f t="shared" si="88"/>
        <v>45664</v>
      </c>
      <c r="C99" s="220">
        <f t="shared" si="89"/>
        <v>1049</v>
      </c>
      <c r="D99" s="220">
        <f t="shared" ref="D99" si="121">D98+32</f>
        <v>2291</v>
      </c>
      <c r="E99" s="220">
        <f t="shared" si="91"/>
        <v>3340</v>
      </c>
      <c r="F99" s="220">
        <f t="shared" si="83"/>
        <v>886</v>
      </c>
      <c r="G99" s="220">
        <f t="shared" si="84"/>
        <v>1093</v>
      </c>
      <c r="H99" s="220">
        <f t="shared" si="85"/>
        <v>1146</v>
      </c>
      <c r="I99" s="220">
        <f t="shared" si="86"/>
        <v>1063</v>
      </c>
      <c r="J99" s="220">
        <f t="shared" si="87"/>
        <v>959</v>
      </c>
      <c r="K99" s="220">
        <f t="shared" si="69"/>
        <v>2454</v>
      </c>
      <c r="L99" s="220">
        <f t="shared" si="69"/>
        <v>2247</v>
      </c>
      <c r="M99" s="220">
        <f t="shared" si="69"/>
        <v>2194</v>
      </c>
      <c r="N99" s="220">
        <f t="shared" si="69"/>
        <v>2277</v>
      </c>
      <c r="O99" s="220">
        <f t="shared" si="69"/>
        <v>2381</v>
      </c>
      <c r="P99" s="220">
        <f t="shared" si="113"/>
        <v>2000</v>
      </c>
      <c r="Q99" s="220">
        <f t="shared" si="113"/>
        <v>2000</v>
      </c>
      <c r="R99" s="220">
        <f t="shared" si="113"/>
        <v>2000</v>
      </c>
      <c r="S99" s="220">
        <f t="shared" si="113"/>
        <v>2000</v>
      </c>
      <c r="T99" s="220">
        <f t="shared" si="113"/>
        <v>2000</v>
      </c>
      <c r="U99" s="220">
        <f t="shared" si="114"/>
        <v>454</v>
      </c>
      <c r="V99" s="220">
        <f t="shared" si="114"/>
        <v>247</v>
      </c>
      <c r="W99" s="220">
        <f t="shared" si="114"/>
        <v>194</v>
      </c>
      <c r="X99" s="220">
        <f t="shared" si="114"/>
        <v>277</v>
      </c>
      <c r="Y99" s="220">
        <f t="shared" si="114"/>
        <v>381</v>
      </c>
      <c r="Z99" s="220">
        <v>1</v>
      </c>
      <c r="AA99" s="220">
        <v>1</v>
      </c>
      <c r="AB99" s="220">
        <v>1</v>
      </c>
      <c r="AC99" s="220">
        <v>1</v>
      </c>
      <c r="AD99" s="220">
        <v>0</v>
      </c>
      <c r="AE99" s="220">
        <f t="shared" si="115"/>
        <v>-195</v>
      </c>
      <c r="AF99" s="220">
        <f t="shared" si="115"/>
        <v>-322</v>
      </c>
      <c r="AG99" s="220">
        <f t="shared" si="115"/>
        <v>-355</v>
      </c>
      <c r="AH99" s="220">
        <f t="shared" si="115"/>
        <v>-282</v>
      </c>
      <c r="AI99" s="220">
        <f t="shared" si="115"/>
        <v>-178</v>
      </c>
      <c r="AJ99" s="50">
        <f t="shared" si="95"/>
        <v>1.3940000000000041</v>
      </c>
      <c r="AK99" s="257"/>
      <c r="AL99" s="257">
        <f t="shared" si="96"/>
        <v>1.2</v>
      </c>
      <c r="AM99" s="52"/>
      <c r="AN99" s="88"/>
    </row>
    <row r="100" spans="1:40" s="29" customFormat="1" ht="17.25" customHeight="1">
      <c r="A100" s="48">
        <v>90</v>
      </c>
      <c r="B100" s="49">
        <f t="shared" si="88"/>
        <v>45665</v>
      </c>
      <c r="C100" s="220">
        <f t="shared" si="89"/>
        <v>1049</v>
      </c>
      <c r="D100" s="220">
        <f t="shared" ref="D100" si="122">D99-18</f>
        <v>2273</v>
      </c>
      <c r="E100" s="220">
        <f t="shared" si="91"/>
        <v>3322</v>
      </c>
      <c r="F100" s="220">
        <f t="shared" si="83"/>
        <v>869</v>
      </c>
      <c r="G100" s="220">
        <f t="shared" si="84"/>
        <v>1075</v>
      </c>
      <c r="H100" s="220">
        <f t="shared" si="85"/>
        <v>1129</v>
      </c>
      <c r="I100" s="220">
        <f t="shared" si="86"/>
        <v>1045</v>
      </c>
      <c r="J100" s="220">
        <f t="shared" si="87"/>
        <v>943</v>
      </c>
      <c r="K100" s="220">
        <f t="shared" si="69"/>
        <v>2453</v>
      </c>
      <c r="L100" s="220">
        <f t="shared" si="69"/>
        <v>2247</v>
      </c>
      <c r="M100" s="220">
        <f t="shared" si="69"/>
        <v>2193</v>
      </c>
      <c r="N100" s="220">
        <f t="shared" si="69"/>
        <v>2277</v>
      </c>
      <c r="O100" s="220">
        <f t="shared" si="69"/>
        <v>2379</v>
      </c>
      <c r="P100" s="220">
        <f t="shared" si="113"/>
        <v>2000</v>
      </c>
      <c r="Q100" s="220">
        <f t="shared" si="113"/>
        <v>2000</v>
      </c>
      <c r="R100" s="220">
        <f t="shared" si="113"/>
        <v>2000</v>
      </c>
      <c r="S100" s="220">
        <f t="shared" si="113"/>
        <v>2000</v>
      </c>
      <c r="T100" s="220">
        <f t="shared" si="113"/>
        <v>2000</v>
      </c>
      <c r="U100" s="220">
        <f t="shared" si="114"/>
        <v>453</v>
      </c>
      <c r="V100" s="220">
        <f t="shared" si="114"/>
        <v>247</v>
      </c>
      <c r="W100" s="220">
        <f t="shared" si="114"/>
        <v>193</v>
      </c>
      <c r="X100" s="220">
        <f t="shared" si="114"/>
        <v>277</v>
      </c>
      <c r="Y100" s="220">
        <f t="shared" si="114"/>
        <v>379</v>
      </c>
      <c r="Z100" s="220">
        <v>1</v>
      </c>
      <c r="AA100" s="220">
        <v>0</v>
      </c>
      <c r="AB100" s="220">
        <v>1</v>
      </c>
      <c r="AC100" s="220">
        <v>0</v>
      </c>
      <c r="AD100" s="220">
        <v>2</v>
      </c>
      <c r="AE100" s="220">
        <f t="shared" si="115"/>
        <v>-196</v>
      </c>
      <c r="AF100" s="220">
        <f t="shared" si="115"/>
        <v>-322</v>
      </c>
      <c r="AG100" s="220">
        <f t="shared" si="115"/>
        <v>-356</v>
      </c>
      <c r="AH100" s="220">
        <f t="shared" si="115"/>
        <v>-282</v>
      </c>
      <c r="AI100" s="220">
        <f t="shared" si="115"/>
        <v>-180</v>
      </c>
      <c r="AJ100" s="50">
        <f t="shared" si="95"/>
        <v>1.3930000000000042</v>
      </c>
      <c r="AK100" s="257"/>
      <c r="AL100" s="257">
        <f t="shared" si="96"/>
        <v>1.2</v>
      </c>
      <c r="AM100" s="52"/>
      <c r="AN100" s="88"/>
    </row>
    <row r="101" spans="1:40" s="29" customFormat="1" ht="17.25" customHeight="1">
      <c r="A101" s="48">
        <v>91</v>
      </c>
      <c r="B101" s="49">
        <f t="shared" si="88"/>
        <v>45666</v>
      </c>
      <c r="C101" s="220">
        <f t="shared" si="89"/>
        <v>1049</v>
      </c>
      <c r="D101" s="220">
        <f t="shared" ref="D101" si="123">D100-26</f>
        <v>2247</v>
      </c>
      <c r="E101" s="220">
        <f t="shared" si="91"/>
        <v>3296</v>
      </c>
      <c r="F101" s="220">
        <f t="shared" si="83"/>
        <v>843</v>
      </c>
      <c r="G101" s="220">
        <f t="shared" si="84"/>
        <v>1049</v>
      </c>
      <c r="H101" s="220">
        <f t="shared" si="85"/>
        <v>1103</v>
      </c>
      <c r="I101" s="220">
        <f t="shared" si="86"/>
        <v>1019</v>
      </c>
      <c r="J101" s="220">
        <f t="shared" si="87"/>
        <v>917</v>
      </c>
      <c r="K101" s="220">
        <f t="shared" si="69"/>
        <v>2453</v>
      </c>
      <c r="L101" s="220">
        <f t="shared" si="69"/>
        <v>2247</v>
      </c>
      <c r="M101" s="220">
        <f t="shared" si="69"/>
        <v>2193</v>
      </c>
      <c r="N101" s="220">
        <f t="shared" si="69"/>
        <v>2277</v>
      </c>
      <c r="O101" s="220">
        <f t="shared" si="69"/>
        <v>2379</v>
      </c>
      <c r="P101" s="220">
        <f t="shared" si="113"/>
        <v>2000</v>
      </c>
      <c r="Q101" s="220">
        <f t="shared" si="113"/>
        <v>2000</v>
      </c>
      <c r="R101" s="220">
        <f t="shared" si="113"/>
        <v>2000</v>
      </c>
      <c r="S101" s="220">
        <f t="shared" si="113"/>
        <v>2000</v>
      </c>
      <c r="T101" s="220">
        <f t="shared" si="113"/>
        <v>2000</v>
      </c>
      <c r="U101" s="220">
        <f t="shared" si="114"/>
        <v>453</v>
      </c>
      <c r="V101" s="220">
        <f t="shared" si="114"/>
        <v>247</v>
      </c>
      <c r="W101" s="220">
        <f t="shared" si="114"/>
        <v>193</v>
      </c>
      <c r="X101" s="220">
        <f t="shared" si="114"/>
        <v>277</v>
      </c>
      <c r="Y101" s="220">
        <f t="shared" si="114"/>
        <v>379</v>
      </c>
      <c r="Z101" s="220">
        <v>0</v>
      </c>
      <c r="AA101" s="220">
        <v>0</v>
      </c>
      <c r="AB101" s="220">
        <v>0</v>
      </c>
      <c r="AC101" s="220">
        <v>0</v>
      </c>
      <c r="AD101" s="220">
        <v>0</v>
      </c>
      <c r="AE101" s="220">
        <f t="shared" si="115"/>
        <v>-196</v>
      </c>
      <c r="AF101" s="220">
        <f t="shared" si="115"/>
        <v>-322</v>
      </c>
      <c r="AG101" s="220">
        <f t="shared" si="115"/>
        <v>-356</v>
      </c>
      <c r="AH101" s="220">
        <f t="shared" si="115"/>
        <v>-282</v>
      </c>
      <c r="AI101" s="220">
        <f t="shared" si="115"/>
        <v>-180</v>
      </c>
      <c r="AJ101" s="50">
        <f t="shared" si="95"/>
        <v>1.3930000000000042</v>
      </c>
      <c r="AK101" s="257"/>
      <c r="AL101" s="257">
        <f t="shared" si="96"/>
        <v>1.2</v>
      </c>
      <c r="AM101" s="52"/>
      <c r="AN101" s="88"/>
    </row>
    <row r="102" spans="1:40" s="29" customFormat="1" ht="17.25" customHeight="1">
      <c r="A102" s="48">
        <v>92</v>
      </c>
      <c r="B102" s="49">
        <f t="shared" si="88"/>
        <v>45667</v>
      </c>
      <c r="C102" s="220">
        <f t="shared" si="89"/>
        <v>1049</v>
      </c>
      <c r="D102" s="220">
        <f t="shared" ref="D102" si="124">D101+15</f>
        <v>2262</v>
      </c>
      <c r="E102" s="220">
        <f t="shared" si="91"/>
        <v>3311</v>
      </c>
      <c r="F102" s="220">
        <f t="shared" si="83"/>
        <v>859</v>
      </c>
      <c r="G102" s="220">
        <f t="shared" si="84"/>
        <v>1064</v>
      </c>
      <c r="H102" s="220">
        <f t="shared" si="85"/>
        <v>1119</v>
      </c>
      <c r="I102" s="220">
        <f t="shared" si="86"/>
        <v>1034</v>
      </c>
      <c r="J102" s="220">
        <f t="shared" si="87"/>
        <v>932</v>
      </c>
      <c r="K102" s="220">
        <f t="shared" si="69"/>
        <v>2452</v>
      </c>
      <c r="L102" s="220">
        <f t="shared" si="69"/>
        <v>2247</v>
      </c>
      <c r="M102" s="220">
        <f t="shared" si="69"/>
        <v>2192</v>
      </c>
      <c r="N102" s="220">
        <f t="shared" si="69"/>
        <v>2277</v>
      </c>
      <c r="O102" s="220">
        <f t="shared" si="69"/>
        <v>2379</v>
      </c>
      <c r="P102" s="220">
        <f t="shared" si="113"/>
        <v>2000</v>
      </c>
      <c r="Q102" s="220">
        <f t="shared" si="113"/>
        <v>2000</v>
      </c>
      <c r="R102" s="220">
        <f t="shared" si="113"/>
        <v>2000</v>
      </c>
      <c r="S102" s="220">
        <f t="shared" si="113"/>
        <v>2000</v>
      </c>
      <c r="T102" s="220">
        <f t="shared" si="113"/>
        <v>2000</v>
      </c>
      <c r="U102" s="220">
        <f t="shared" si="114"/>
        <v>452</v>
      </c>
      <c r="V102" s="220">
        <f t="shared" si="114"/>
        <v>247</v>
      </c>
      <c r="W102" s="220">
        <f t="shared" si="114"/>
        <v>192</v>
      </c>
      <c r="X102" s="220">
        <f t="shared" si="114"/>
        <v>277</v>
      </c>
      <c r="Y102" s="220">
        <f t="shared" si="114"/>
        <v>379</v>
      </c>
      <c r="Z102" s="220">
        <v>1</v>
      </c>
      <c r="AA102" s="220">
        <v>0</v>
      </c>
      <c r="AB102" s="220">
        <v>1</v>
      </c>
      <c r="AC102" s="220">
        <v>0</v>
      </c>
      <c r="AD102" s="220">
        <v>0</v>
      </c>
      <c r="AE102" s="220">
        <f t="shared" si="115"/>
        <v>-197</v>
      </c>
      <c r="AF102" s="220">
        <f t="shared" si="115"/>
        <v>-322</v>
      </c>
      <c r="AG102" s="220">
        <f t="shared" si="115"/>
        <v>-357</v>
      </c>
      <c r="AH102" s="220">
        <f t="shared" si="115"/>
        <v>-282</v>
      </c>
      <c r="AI102" s="220">
        <f t="shared" si="115"/>
        <v>-180</v>
      </c>
      <c r="AJ102" s="50">
        <f t="shared" si="95"/>
        <v>1.3920000000000043</v>
      </c>
      <c r="AK102" s="257"/>
      <c r="AL102" s="257">
        <f t="shared" si="96"/>
        <v>1.2</v>
      </c>
      <c r="AM102" s="52"/>
      <c r="AN102" s="88"/>
    </row>
    <row r="103" spans="1:40" s="29" customFormat="1" ht="17.25" customHeight="1">
      <c r="A103" s="48">
        <v>93</v>
      </c>
      <c r="B103" s="49">
        <f t="shared" si="88"/>
        <v>45668</v>
      </c>
      <c r="C103" s="220">
        <f t="shared" si="89"/>
        <v>1049</v>
      </c>
      <c r="D103" s="220">
        <f t="shared" ref="D103" si="125">D102+26</f>
        <v>2288</v>
      </c>
      <c r="E103" s="220">
        <f t="shared" si="91"/>
        <v>3337</v>
      </c>
      <c r="F103" s="220">
        <f t="shared" si="83"/>
        <v>885</v>
      </c>
      <c r="G103" s="220">
        <f t="shared" si="84"/>
        <v>1092</v>
      </c>
      <c r="H103" s="220">
        <f t="shared" si="85"/>
        <v>1145</v>
      </c>
      <c r="I103" s="220">
        <f t="shared" si="86"/>
        <v>1062</v>
      </c>
      <c r="J103" s="220">
        <f t="shared" si="87"/>
        <v>958</v>
      </c>
      <c r="K103" s="220">
        <f t="shared" si="69"/>
        <v>2452</v>
      </c>
      <c r="L103" s="220">
        <f t="shared" si="69"/>
        <v>2245</v>
      </c>
      <c r="M103" s="220">
        <f t="shared" si="69"/>
        <v>2192</v>
      </c>
      <c r="N103" s="220">
        <f t="shared" si="69"/>
        <v>2275</v>
      </c>
      <c r="O103" s="220">
        <f t="shared" si="69"/>
        <v>2379</v>
      </c>
      <c r="P103" s="220">
        <f t="shared" si="113"/>
        <v>2000</v>
      </c>
      <c r="Q103" s="220">
        <f t="shared" si="113"/>
        <v>2000</v>
      </c>
      <c r="R103" s="220">
        <f t="shared" si="113"/>
        <v>2000</v>
      </c>
      <c r="S103" s="220">
        <f t="shared" si="113"/>
        <v>2000</v>
      </c>
      <c r="T103" s="220">
        <f t="shared" si="113"/>
        <v>2000</v>
      </c>
      <c r="U103" s="220">
        <f t="shared" si="114"/>
        <v>452</v>
      </c>
      <c r="V103" s="220">
        <f t="shared" si="114"/>
        <v>245</v>
      </c>
      <c r="W103" s="220">
        <f t="shared" si="114"/>
        <v>192</v>
      </c>
      <c r="X103" s="220">
        <f t="shared" si="114"/>
        <v>275</v>
      </c>
      <c r="Y103" s="220">
        <f t="shared" si="114"/>
        <v>379</v>
      </c>
      <c r="Z103" s="220">
        <v>0</v>
      </c>
      <c r="AA103" s="220">
        <v>2</v>
      </c>
      <c r="AB103" s="220">
        <v>0</v>
      </c>
      <c r="AC103" s="220">
        <v>2</v>
      </c>
      <c r="AD103" s="220">
        <v>0</v>
      </c>
      <c r="AE103" s="220">
        <f t="shared" si="115"/>
        <v>-197</v>
      </c>
      <c r="AF103" s="220">
        <f t="shared" si="115"/>
        <v>-324</v>
      </c>
      <c r="AG103" s="220">
        <f t="shared" si="115"/>
        <v>-357</v>
      </c>
      <c r="AH103" s="220">
        <f t="shared" si="115"/>
        <v>-284</v>
      </c>
      <c r="AI103" s="220">
        <f t="shared" si="115"/>
        <v>-180</v>
      </c>
      <c r="AJ103" s="50">
        <f t="shared" si="95"/>
        <v>1.3920000000000043</v>
      </c>
      <c r="AK103" s="257"/>
      <c r="AL103" s="257">
        <f t="shared" si="96"/>
        <v>1.2</v>
      </c>
      <c r="AM103" s="52"/>
      <c r="AN103" s="88"/>
    </row>
    <row r="104" spans="1:40" s="29" customFormat="1" ht="17.25" customHeight="1">
      <c r="A104" s="48">
        <v>94</v>
      </c>
      <c r="B104" s="49">
        <f t="shared" si="88"/>
        <v>45669</v>
      </c>
      <c r="C104" s="220">
        <f t="shared" si="89"/>
        <v>1049</v>
      </c>
      <c r="D104" s="220">
        <f t="shared" ref="D104" si="126">D103+32</f>
        <v>2320</v>
      </c>
      <c r="E104" s="220">
        <f t="shared" si="91"/>
        <v>3369</v>
      </c>
      <c r="F104" s="220">
        <f t="shared" si="83"/>
        <v>917</v>
      </c>
      <c r="G104" s="220">
        <f t="shared" si="84"/>
        <v>1124</v>
      </c>
      <c r="H104" s="220">
        <f t="shared" si="85"/>
        <v>1177</v>
      </c>
      <c r="I104" s="220">
        <f t="shared" si="86"/>
        <v>1094</v>
      </c>
      <c r="J104" s="220">
        <f t="shared" si="87"/>
        <v>990</v>
      </c>
      <c r="K104" s="220">
        <f t="shared" si="69"/>
        <v>2452</v>
      </c>
      <c r="L104" s="220">
        <f t="shared" si="69"/>
        <v>2245</v>
      </c>
      <c r="M104" s="220">
        <f t="shared" si="69"/>
        <v>2192</v>
      </c>
      <c r="N104" s="220">
        <f t="shared" si="69"/>
        <v>2275</v>
      </c>
      <c r="O104" s="220">
        <f t="shared" si="69"/>
        <v>2379</v>
      </c>
      <c r="P104" s="220">
        <f t="shared" si="113"/>
        <v>2000</v>
      </c>
      <c r="Q104" s="220">
        <f t="shared" si="113"/>
        <v>2000</v>
      </c>
      <c r="R104" s="220">
        <f t="shared" si="113"/>
        <v>2000</v>
      </c>
      <c r="S104" s="220">
        <f t="shared" si="113"/>
        <v>2000</v>
      </c>
      <c r="T104" s="220">
        <f t="shared" si="113"/>
        <v>2000</v>
      </c>
      <c r="U104" s="220">
        <f t="shared" si="114"/>
        <v>452</v>
      </c>
      <c r="V104" s="220">
        <f t="shared" si="114"/>
        <v>245</v>
      </c>
      <c r="W104" s="220">
        <f t="shared" si="114"/>
        <v>192</v>
      </c>
      <c r="X104" s="220">
        <f t="shared" si="114"/>
        <v>275</v>
      </c>
      <c r="Y104" s="220">
        <f t="shared" si="114"/>
        <v>379</v>
      </c>
      <c r="Z104" s="220">
        <v>0</v>
      </c>
      <c r="AA104" s="220">
        <v>0</v>
      </c>
      <c r="AB104" s="220">
        <v>0</v>
      </c>
      <c r="AC104" s="220">
        <v>0</v>
      </c>
      <c r="AD104" s="220">
        <v>0</v>
      </c>
      <c r="AE104" s="220">
        <f t="shared" si="115"/>
        <v>-197</v>
      </c>
      <c r="AF104" s="220">
        <f t="shared" si="115"/>
        <v>-324</v>
      </c>
      <c r="AG104" s="220">
        <f t="shared" si="115"/>
        <v>-357</v>
      </c>
      <c r="AH104" s="220">
        <f t="shared" si="115"/>
        <v>-284</v>
      </c>
      <c r="AI104" s="220">
        <f t="shared" si="115"/>
        <v>-180</v>
      </c>
      <c r="AJ104" s="50">
        <f t="shared" si="95"/>
        <v>1.3920000000000043</v>
      </c>
      <c r="AK104" s="257"/>
      <c r="AL104" s="257">
        <f t="shared" si="96"/>
        <v>1.2</v>
      </c>
      <c r="AM104" s="52"/>
      <c r="AN104" s="88"/>
    </row>
    <row r="105" spans="1:40" s="29" customFormat="1" ht="17.25" customHeight="1">
      <c r="A105" s="48">
        <v>95</v>
      </c>
      <c r="B105" s="49">
        <f t="shared" si="88"/>
        <v>45670</v>
      </c>
      <c r="C105" s="220">
        <f t="shared" si="89"/>
        <v>1049</v>
      </c>
      <c r="D105" s="220">
        <f t="shared" ref="D105" si="127">D104-18</f>
        <v>2302</v>
      </c>
      <c r="E105" s="220">
        <f t="shared" si="91"/>
        <v>3351</v>
      </c>
      <c r="F105" s="220">
        <f t="shared" si="83"/>
        <v>900</v>
      </c>
      <c r="G105" s="220">
        <f t="shared" si="84"/>
        <v>1106</v>
      </c>
      <c r="H105" s="220">
        <f t="shared" si="85"/>
        <v>1160</v>
      </c>
      <c r="I105" s="220">
        <f t="shared" si="86"/>
        <v>1076</v>
      </c>
      <c r="J105" s="220">
        <f t="shared" si="87"/>
        <v>974</v>
      </c>
      <c r="K105" s="220">
        <f t="shared" si="69"/>
        <v>2451</v>
      </c>
      <c r="L105" s="220">
        <f t="shared" si="69"/>
        <v>2245</v>
      </c>
      <c r="M105" s="220">
        <f t="shared" si="69"/>
        <v>2191</v>
      </c>
      <c r="N105" s="220">
        <f t="shared" si="69"/>
        <v>2275</v>
      </c>
      <c r="O105" s="220">
        <f t="shared" si="69"/>
        <v>2377</v>
      </c>
      <c r="P105" s="220">
        <f t="shared" si="113"/>
        <v>2000</v>
      </c>
      <c r="Q105" s="220">
        <f t="shared" si="113"/>
        <v>2000</v>
      </c>
      <c r="R105" s="220">
        <f t="shared" si="113"/>
        <v>2000</v>
      </c>
      <c r="S105" s="220">
        <f t="shared" si="113"/>
        <v>2000</v>
      </c>
      <c r="T105" s="220">
        <f t="shared" si="113"/>
        <v>2000</v>
      </c>
      <c r="U105" s="220">
        <f t="shared" si="114"/>
        <v>451</v>
      </c>
      <c r="V105" s="220">
        <f t="shared" si="114"/>
        <v>245</v>
      </c>
      <c r="W105" s="220">
        <f t="shared" si="114"/>
        <v>191</v>
      </c>
      <c r="X105" s="220">
        <f t="shared" si="114"/>
        <v>275</v>
      </c>
      <c r="Y105" s="220">
        <f t="shared" si="114"/>
        <v>377</v>
      </c>
      <c r="Z105" s="220">
        <v>1</v>
      </c>
      <c r="AA105" s="220">
        <v>0</v>
      </c>
      <c r="AB105" s="220">
        <v>1</v>
      </c>
      <c r="AC105" s="220">
        <v>0</v>
      </c>
      <c r="AD105" s="220">
        <v>2</v>
      </c>
      <c r="AE105" s="220">
        <f t="shared" si="115"/>
        <v>-198</v>
      </c>
      <c r="AF105" s="220">
        <f t="shared" si="115"/>
        <v>-324</v>
      </c>
      <c r="AG105" s="220">
        <f t="shared" si="115"/>
        <v>-358</v>
      </c>
      <c r="AH105" s="220">
        <f t="shared" si="115"/>
        <v>-284</v>
      </c>
      <c r="AI105" s="220">
        <f t="shared" si="115"/>
        <v>-182</v>
      </c>
      <c r="AJ105" s="50">
        <f t="shared" si="95"/>
        <v>1.3910000000000045</v>
      </c>
      <c r="AK105" s="257"/>
      <c r="AL105" s="257">
        <f t="shared" si="96"/>
        <v>1.2</v>
      </c>
      <c r="AM105" s="52"/>
      <c r="AN105" s="88"/>
    </row>
    <row r="106" spans="1:40" s="29" customFormat="1" ht="17.25" customHeight="1">
      <c r="A106" s="48">
        <v>96</v>
      </c>
      <c r="B106" s="49">
        <f t="shared" si="88"/>
        <v>45671</v>
      </c>
      <c r="C106" s="220">
        <f t="shared" si="89"/>
        <v>1049</v>
      </c>
      <c r="D106" s="220">
        <f t="shared" ref="D106" si="128">D105-26</f>
        <v>2276</v>
      </c>
      <c r="E106" s="220">
        <f t="shared" si="91"/>
        <v>3325</v>
      </c>
      <c r="F106" s="220">
        <f t="shared" si="83"/>
        <v>874</v>
      </c>
      <c r="G106" s="220">
        <f t="shared" si="84"/>
        <v>1080</v>
      </c>
      <c r="H106" s="220">
        <f t="shared" si="85"/>
        <v>1134</v>
      </c>
      <c r="I106" s="220">
        <f t="shared" si="86"/>
        <v>1053</v>
      </c>
      <c r="J106" s="220">
        <f t="shared" si="87"/>
        <v>948</v>
      </c>
      <c r="K106" s="220">
        <f t="shared" si="69"/>
        <v>2451</v>
      </c>
      <c r="L106" s="220">
        <f t="shared" si="69"/>
        <v>2245</v>
      </c>
      <c r="M106" s="220">
        <f t="shared" si="69"/>
        <v>2191</v>
      </c>
      <c r="N106" s="220">
        <f t="shared" si="69"/>
        <v>2272</v>
      </c>
      <c r="O106" s="220">
        <f t="shared" si="69"/>
        <v>2377</v>
      </c>
      <c r="P106" s="220">
        <f t="shared" si="113"/>
        <v>2000</v>
      </c>
      <c r="Q106" s="220">
        <f t="shared" si="113"/>
        <v>2000</v>
      </c>
      <c r="R106" s="220">
        <f t="shared" si="113"/>
        <v>2000</v>
      </c>
      <c r="S106" s="220">
        <f t="shared" si="113"/>
        <v>2000</v>
      </c>
      <c r="T106" s="220">
        <f t="shared" si="113"/>
        <v>2000</v>
      </c>
      <c r="U106" s="220">
        <f t="shared" si="114"/>
        <v>451</v>
      </c>
      <c r="V106" s="220">
        <f t="shared" si="114"/>
        <v>245</v>
      </c>
      <c r="W106" s="220">
        <f t="shared" si="114"/>
        <v>191</v>
      </c>
      <c r="X106" s="220">
        <f t="shared" si="114"/>
        <v>272</v>
      </c>
      <c r="Y106" s="220">
        <f t="shared" si="114"/>
        <v>377</v>
      </c>
      <c r="Z106" s="220">
        <v>0</v>
      </c>
      <c r="AA106" s="220">
        <v>0</v>
      </c>
      <c r="AB106" s="220">
        <v>0</v>
      </c>
      <c r="AC106" s="220">
        <v>3</v>
      </c>
      <c r="AD106" s="220">
        <v>0</v>
      </c>
      <c r="AE106" s="220">
        <f t="shared" si="115"/>
        <v>-198</v>
      </c>
      <c r="AF106" s="220">
        <f t="shared" si="115"/>
        <v>-324</v>
      </c>
      <c r="AG106" s="220">
        <f t="shared" si="115"/>
        <v>-358</v>
      </c>
      <c r="AH106" s="220">
        <f t="shared" si="115"/>
        <v>-287</v>
      </c>
      <c r="AI106" s="220">
        <f t="shared" si="115"/>
        <v>-182</v>
      </c>
      <c r="AJ106" s="50">
        <f t="shared" si="95"/>
        <v>1.3910000000000045</v>
      </c>
      <c r="AK106" s="257"/>
      <c r="AL106" s="257">
        <f t="shared" si="96"/>
        <v>1.2</v>
      </c>
      <c r="AM106" s="52"/>
      <c r="AN106" s="88"/>
    </row>
    <row r="107" spans="1:40" s="29" customFormat="1" ht="17.25" customHeight="1">
      <c r="A107" s="48">
        <v>97</v>
      </c>
      <c r="B107" s="49">
        <f t="shared" si="88"/>
        <v>45672</v>
      </c>
      <c r="C107" s="220">
        <f t="shared" si="89"/>
        <v>1049</v>
      </c>
      <c r="D107" s="220">
        <f t="shared" ref="D107" si="129">D106+15</f>
        <v>2291</v>
      </c>
      <c r="E107" s="220">
        <f t="shared" si="91"/>
        <v>3340</v>
      </c>
      <c r="F107" s="220">
        <f t="shared" si="83"/>
        <v>889</v>
      </c>
      <c r="G107" s="220">
        <f t="shared" si="84"/>
        <v>1098</v>
      </c>
      <c r="H107" s="220">
        <f t="shared" si="85"/>
        <v>1149</v>
      </c>
      <c r="I107" s="220">
        <f t="shared" si="86"/>
        <v>1068</v>
      </c>
      <c r="J107" s="220">
        <f t="shared" si="87"/>
        <v>963</v>
      </c>
      <c r="K107" s="220">
        <f t="shared" si="69"/>
        <v>2451</v>
      </c>
      <c r="L107" s="220">
        <f t="shared" si="69"/>
        <v>2242</v>
      </c>
      <c r="M107" s="220">
        <f t="shared" si="69"/>
        <v>2191</v>
      </c>
      <c r="N107" s="220">
        <f t="shared" si="69"/>
        <v>2272</v>
      </c>
      <c r="O107" s="220">
        <f t="shared" si="69"/>
        <v>2377</v>
      </c>
      <c r="P107" s="220">
        <f t="shared" si="113"/>
        <v>2000</v>
      </c>
      <c r="Q107" s="220">
        <f t="shared" si="113"/>
        <v>2000</v>
      </c>
      <c r="R107" s="220">
        <f t="shared" si="113"/>
        <v>2000</v>
      </c>
      <c r="S107" s="220">
        <f t="shared" si="113"/>
        <v>2000</v>
      </c>
      <c r="T107" s="220">
        <f t="shared" si="113"/>
        <v>2000</v>
      </c>
      <c r="U107" s="220">
        <f t="shared" si="114"/>
        <v>451</v>
      </c>
      <c r="V107" s="220">
        <f t="shared" si="114"/>
        <v>242</v>
      </c>
      <c r="W107" s="220">
        <f t="shared" si="114"/>
        <v>191</v>
      </c>
      <c r="X107" s="220">
        <f t="shared" si="114"/>
        <v>272</v>
      </c>
      <c r="Y107" s="220">
        <f t="shared" si="114"/>
        <v>377</v>
      </c>
      <c r="Z107" s="220">
        <v>0</v>
      </c>
      <c r="AA107" s="220">
        <v>3</v>
      </c>
      <c r="AB107" s="220">
        <v>0</v>
      </c>
      <c r="AC107" s="220">
        <v>0</v>
      </c>
      <c r="AD107" s="220">
        <v>0</v>
      </c>
      <c r="AE107" s="220">
        <f t="shared" si="115"/>
        <v>-198</v>
      </c>
      <c r="AF107" s="220">
        <f t="shared" si="115"/>
        <v>-327</v>
      </c>
      <c r="AG107" s="220">
        <f t="shared" si="115"/>
        <v>-358</v>
      </c>
      <c r="AH107" s="220">
        <f t="shared" si="115"/>
        <v>-287</v>
      </c>
      <c r="AI107" s="220">
        <f t="shared" si="115"/>
        <v>-182</v>
      </c>
      <c r="AJ107" s="50">
        <f t="shared" si="95"/>
        <v>1.3910000000000045</v>
      </c>
      <c r="AK107" s="257"/>
      <c r="AL107" s="257">
        <f t="shared" si="96"/>
        <v>1.2</v>
      </c>
      <c r="AM107" s="52"/>
      <c r="AN107" s="88"/>
    </row>
    <row r="108" spans="1:40" s="29" customFormat="1" ht="17.25" customHeight="1">
      <c r="A108" s="48">
        <v>98</v>
      </c>
      <c r="B108" s="49">
        <f t="shared" si="88"/>
        <v>45673</v>
      </c>
      <c r="C108" s="220">
        <f t="shared" si="89"/>
        <v>1049</v>
      </c>
      <c r="D108" s="220">
        <f t="shared" ref="D108" si="130">D107+26</f>
        <v>2317</v>
      </c>
      <c r="E108" s="220">
        <f t="shared" si="91"/>
        <v>3366</v>
      </c>
      <c r="F108" s="220">
        <f t="shared" si="83"/>
        <v>916</v>
      </c>
      <c r="G108" s="220">
        <f t="shared" si="84"/>
        <v>1124</v>
      </c>
      <c r="H108" s="220">
        <f t="shared" si="85"/>
        <v>1176</v>
      </c>
      <c r="I108" s="220">
        <f t="shared" si="86"/>
        <v>1094</v>
      </c>
      <c r="J108" s="220">
        <f t="shared" si="87"/>
        <v>990</v>
      </c>
      <c r="K108" s="220">
        <f t="shared" si="69"/>
        <v>2450</v>
      </c>
      <c r="L108" s="220">
        <f t="shared" si="69"/>
        <v>2242</v>
      </c>
      <c r="M108" s="220">
        <f t="shared" si="69"/>
        <v>2190</v>
      </c>
      <c r="N108" s="220">
        <f t="shared" si="69"/>
        <v>2272</v>
      </c>
      <c r="O108" s="220">
        <f t="shared" si="69"/>
        <v>2376</v>
      </c>
      <c r="P108" s="220">
        <f t="shared" si="113"/>
        <v>2000</v>
      </c>
      <c r="Q108" s="220">
        <f t="shared" si="113"/>
        <v>2000</v>
      </c>
      <c r="R108" s="220">
        <f t="shared" si="113"/>
        <v>2000</v>
      </c>
      <c r="S108" s="220">
        <f t="shared" si="113"/>
        <v>2000</v>
      </c>
      <c r="T108" s="220">
        <f t="shared" si="113"/>
        <v>2000</v>
      </c>
      <c r="U108" s="220">
        <f t="shared" si="114"/>
        <v>450</v>
      </c>
      <c r="V108" s="220">
        <f t="shared" si="114"/>
        <v>242</v>
      </c>
      <c r="W108" s="220">
        <f t="shared" si="114"/>
        <v>190</v>
      </c>
      <c r="X108" s="220">
        <f t="shared" si="114"/>
        <v>272</v>
      </c>
      <c r="Y108" s="220">
        <f t="shared" si="114"/>
        <v>376</v>
      </c>
      <c r="Z108" s="220">
        <v>1</v>
      </c>
      <c r="AA108" s="220">
        <v>0</v>
      </c>
      <c r="AB108" s="220">
        <v>1</v>
      </c>
      <c r="AC108" s="220">
        <v>0</v>
      </c>
      <c r="AD108" s="220">
        <v>1</v>
      </c>
      <c r="AE108" s="220">
        <f t="shared" si="115"/>
        <v>-199</v>
      </c>
      <c r="AF108" s="220">
        <f t="shared" si="115"/>
        <v>-327</v>
      </c>
      <c r="AG108" s="220">
        <f t="shared" si="115"/>
        <v>-359</v>
      </c>
      <c r="AH108" s="220">
        <f t="shared" si="115"/>
        <v>-287</v>
      </c>
      <c r="AI108" s="220">
        <f t="shared" si="115"/>
        <v>-183</v>
      </c>
      <c r="AJ108" s="50">
        <f t="shared" si="95"/>
        <v>1.3900000000000046</v>
      </c>
      <c r="AK108" s="257"/>
      <c r="AL108" s="257">
        <f t="shared" si="96"/>
        <v>1.2</v>
      </c>
      <c r="AM108" s="52"/>
      <c r="AN108" s="88"/>
    </row>
    <row r="109" spans="1:40" s="29" customFormat="1" ht="17.25" customHeight="1">
      <c r="A109" s="48">
        <v>99</v>
      </c>
      <c r="B109" s="49">
        <f t="shared" si="88"/>
        <v>45674</v>
      </c>
      <c r="C109" s="220">
        <f t="shared" si="89"/>
        <v>1049</v>
      </c>
      <c r="D109" s="220">
        <f t="shared" ref="D109" si="131">D108+32</f>
        <v>2349</v>
      </c>
      <c r="E109" s="220">
        <f t="shared" si="91"/>
        <v>3398</v>
      </c>
      <c r="F109" s="220">
        <f t="shared" si="83"/>
        <v>948</v>
      </c>
      <c r="G109" s="220">
        <f t="shared" si="84"/>
        <v>1156</v>
      </c>
      <c r="H109" s="220">
        <f t="shared" si="85"/>
        <v>1208</v>
      </c>
      <c r="I109" s="220">
        <f t="shared" si="86"/>
        <v>1129</v>
      </c>
      <c r="J109" s="220">
        <f t="shared" si="87"/>
        <v>1024</v>
      </c>
      <c r="K109" s="220">
        <f t="shared" si="69"/>
        <v>2450</v>
      </c>
      <c r="L109" s="220">
        <f t="shared" si="69"/>
        <v>2242</v>
      </c>
      <c r="M109" s="220">
        <f t="shared" si="69"/>
        <v>2190</v>
      </c>
      <c r="N109" s="220">
        <f t="shared" si="69"/>
        <v>2269</v>
      </c>
      <c r="O109" s="220">
        <f t="shared" si="69"/>
        <v>2374</v>
      </c>
      <c r="P109" s="220">
        <f t="shared" ref="P109:T124" si="132">+P108</f>
        <v>2000</v>
      </c>
      <c r="Q109" s="220">
        <f t="shared" si="132"/>
        <v>2000</v>
      </c>
      <c r="R109" s="220">
        <f t="shared" si="132"/>
        <v>2000</v>
      </c>
      <c r="S109" s="220">
        <f t="shared" si="132"/>
        <v>2000</v>
      </c>
      <c r="T109" s="220">
        <f t="shared" si="132"/>
        <v>2000</v>
      </c>
      <c r="U109" s="220">
        <f t="shared" ref="U109:Y124" si="133">U108-Z109</f>
        <v>450</v>
      </c>
      <c r="V109" s="220">
        <f t="shared" si="133"/>
        <v>242</v>
      </c>
      <c r="W109" s="220">
        <f t="shared" si="133"/>
        <v>190</v>
      </c>
      <c r="X109" s="220">
        <f t="shared" si="133"/>
        <v>269</v>
      </c>
      <c r="Y109" s="220">
        <f t="shared" si="133"/>
        <v>374</v>
      </c>
      <c r="Z109" s="220">
        <v>0</v>
      </c>
      <c r="AA109" s="220">
        <v>0</v>
      </c>
      <c r="AB109" s="220">
        <v>0</v>
      </c>
      <c r="AC109" s="220">
        <v>3</v>
      </c>
      <c r="AD109" s="220">
        <v>2</v>
      </c>
      <c r="AE109" s="220">
        <f t="shared" ref="AE109:AI124" si="134">AE108-Z109</f>
        <v>-199</v>
      </c>
      <c r="AF109" s="220">
        <f t="shared" si="134"/>
        <v>-327</v>
      </c>
      <c r="AG109" s="220">
        <f t="shared" si="134"/>
        <v>-359</v>
      </c>
      <c r="AH109" s="220">
        <f t="shared" si="134"/>
        <v>-290</v>
      </c>
      <c r="AI109" s="220">
        <f t="shared" si="134"/>
        <v>-185</v>
      </c>
      <c r="AJ109" s="50">
        <f t="shared" si="95"/>
        <v>1.3900000000000046</v>
      </c>
      <c r="AK109" s="257"/>
      <c r="AL109" s="257">
        <f t="shared" si="96"/>
        <v>1.2</v>
      </c>
      <c r="AM109" s="52"/>
      <c r="AN109" s="88"/>
    </row>
    <row r="110" spans="1:40" s="29" customFormat="1" ht="17.25" customHeight="1">
      <c r="A110" s="48">
        <v>100</v>
      </c>
      <c r="B110" s="49">
        <f t="shared" si="88"/>
        <v>45675</v>
      </c>
      <c r="C110" s="220">
        <f t="shared" si="89"/>
        <v>1049</v>
      </c>
      <c r="D110" s="220">
        <f t="shared" ref="D110" si="135">D109-18</f>
        <v>2331</v>
      </c>
      <c r="E110" s="220">
        <f t="shared" si="91"/>
        <v>3380</v>
      </c>
      <c r="F110" s="220">
        <f t="shared" si="83"/>
        <v>931</v>
      </c>
      <c r="G110" s="220">
        <f t="shared" si="84"/>
        <v>1141</v>
      </c>
      <c r="H110" s="220">
        <f t="shared" si="85"/>
        <v>1191</v>
      </c>
      <c r="I110" s="220">
        <f t="shared" si="86"/>
        <v>1111</v>
      </c>
      <c r="J110" s="220">
        <f t="shared" si="87"/>
        <v>1006</v>
      </c>
      <c r="K110" s="220">
        <f t="shared" si="69"/>
        <v>2449</v>
      </c>
      <c r="L110" s="220">
        <f t="shared" si="69"/>
        <v>2239</v>
      </c>
      <c r="M110" s="220">
        <f t="shared" si="69"/>
        <v>2189</v>
      </c>
      <c r="N110" s="220">
        <f t="shared" si="69"/>
        <v>2269</v>
      </c>
      <c r="O110" s="220">
        <f t="shared" si="69"/>
        <v>2374</v>
      </c>
      <c r="P110" s="220">
        <f t="shared" si="132"/>
        <v>2000</v>
      </c>
      <c r="Q110" s="220">
        <f t="shared" si="132"/>
        <v>2000</v>
      </c>
      <c r="R110" s="220">
        <f t="shared" si="132"/>
        <v>2000</v>
      </c>
      <c r="S110" s="220">
        <f t="shared" si="132"/>
        <v>2000</v>
      </c>
      <c r="T110" s="220">
        <f t="shared" si="132"/>
        <v>2000</v>
      </c>
      <c r="U110" s="220">
        <f t="shared" si="133"/>
        <v>449</v>
      </c>
      <c r="V110" s="220">
        <f t="shared" si="133"/>
        <v>239</v>
      </c>
      <c r="W110" s="220">
        <f t="shared" si="133"/>
        <v>189</v>
      </c>
      <c r="X110" s="220">
        <f t="shared" si="133"/>
        <v>269</v>
      </c>
      <c r="Y110" s="220">
        <f t="shared" si="133"/>
        <v>374</v>
      </c>
      <c r="Z110" s="220">
        <v>1</v>
      </c>
      <c r="AA110" s="220">
        <v>3</v>
      </c>
      <c r="AB110" s="220">
        <v>1</v>
      </c>
      <c r="AC110" s="220">
        <v>0</v>
      </c>
      <c r="AD110" s="220">
        <v>0</v>
      </c>
      <c r="AE110" s="220">
        <f t="shared" si="134"/>
        <v>-200</v>
      </c>
      <c r="AF110" s="220">
        <f t="shared" si="134"/>
        <v>-330</v>
      </c>
      <c r="AG110" s="220">
        <f t="shared" si="134"/>
        <v>-360</v>
      </c>
      <c r="AH110" s="220">
        <f t="shared" si="134"/>
        <v>-290</v>
      </c>
      <c r="AI110" s="220">
        <f t="shared" si="134"/>
        <v>-185</v>
      </c>
      <c r="AJ110" s="50">
        <f t="shared" si="95"/>
        <v>1.3890000000000047</v>
      </c>
      <c r="AK110" s="257"/>
      <c r="AL110" s="257">
        <f t="shared" si="96"/>
        <v>1.2</v>
      </c>
      <c r="AM110" s="52"/>
      <c r="AN110" s="88"/>
    </row>
    <row r="111" spans="1:40" s="29" customFormat="1" ht="17.25" customHeight="1">
      <c r="A111" s="48">
        <v>101</v>
      </c>
      <c r="B111" s="49">
        <f t="shared" si="88"/>
        <v>45676</v>
      </c>
      <c r="C111" s="220">
        <f t="shared" si="89"/>
        <v>1049</v>
      </c>
      <c r="D111" s="220">
        <f t="shared" ref="D111" si="136">D110-26</f>
        <v>2305</v>
      </c>
      <c r="E111" s="220">
        <f t="shared" si="91"/>
        <v>3354</v>
      </c>
      <c r="F111" s="220">
        <f t="shared" si="83"/>
        <v>905</v>
      </c>
      <c r="G111" s="220">
        <f t="shared" si="84"/>
        <v>1116</v>
      </c>
      <c r="H111" s="220">
        <f t="shared" si="85"/>
        <v>1165</v>
      </c>
      <c r="I111" s="220">
        <f t="shared" si="86"/>
        <v>1086</v>
      </c>
      <c r="J111" s="220">
        <f t="shared" si="87"/>
        <v>980</v>
      </c>
      <c r="K111" s="220">
        <f t="shared" si="69"/>
        <v>2449</v>
      </c>
      <c r="L111" s="220">
        <f t="shared" si="69"/>
        <v>2238</v>
      </c>
      <c r="M111" s="220">
        <f t="shared" si="69"/>
        <v>2189</v>
      </c>
      <c r="N111" s="220">
        <f t="shared" si="69"/>
        <v>2268</v>
      </c>
      <c r="O111" s="220">
        <f t="shared" si="69"/>
        <v>2374</v>
      </c>
      <c r="P111" s="220">
        <f t="shared" si="132"/>
        <v>2000</v>
      </c>
      <c r="Q111" s="220">
        <f t="shared" si="132"/>
        <v>2000</v>
      </c>
      <c r="R111" s="220">
        <f t="shared" si="132"/>
        <v>2000</v>
      </c>
      <c r="S111" s="220">
        <f t="shared" si="132"/>
        <v>2000</v>
      </c>
      <c r="T111" s="220">
        <f t="shared" si="132"/>
        <v>2000</v>
      </c>
      <c r="U111" s="220">
        <f t="shared" si="133"/>
        <v>449</v>
      </c>
      <c r="V111" s="220">
        <f t="shared" si="133"/>
        <v>238</v>
      </c>
      <c r="W111" s="220">
        <f t="shared" si="133"/>
        <v>189</v>
      </c>
      <c r="X111" s="220">
        <f t="shared" si="133"/>
        <v>268</v>
      </c>
      <c r="Y111" s="220">
        <f t="shared" si="133"/>
        <v>374</v>
      </c>
      <c r="Z111" s="220">
        <v>0</v>
      </c>
      <c r="AA111" s="220">
        <v>1</v>
      </c>
      <c r="AB111" s="220">
        <v>0</v>
      </c>
      <c r="AC111" s="220">
        <v>1</v>
      </c>
      <c r="AD111" s="220">
        <v>0</v>
      </c>
      <c r="AE111" s="220">
        <f t="shared" si="134"/>
        <v>-200</v>
      </c>
      <c r="AF111" s="220">
        <f t="shared" si="134"/>
        <v>-331</v>
      </c>
      <c r="AG111" s="220">
        <f t="shared" si="134"/>
        <v>-360</v>
      </c>
      <c r="AH111" s="220">
        <f t="shared" si="134"/>
        <v>-291</v>
      </c>
      <c r="AI111" s="220">
        <f t="shared" si="134"/>
        <v>-185</v>
      </c>
      <c r="AJ111" s="50">
        <f t="shared" si="95"/>
        <v>1.3890000000000047</v>
      </c>
      <c r="AK111" s="257"/>
      <c r="AL111" s="257">
        <f t="shared" si="96"/>
        <v>1.2</v>
      </c>
      <c r="AM111" s="52"/>
      <c r="AN111" s="88"/>
    </row>
    <row r="112" spans="1:40" s="29" customFormat="1" ht="17.25" customHeight="1">
      <c r="A112" s="48">
        <v>102</v>
      </c>
      <c r="B112" s="49">
        <f t="shared" si="88"/>
        <v>45677</v>
      </c>
      <c r="C112" s="220">
        <f t="shared" si="89"/>
        <v>1049</v>
      </c>
      <c r="D112" s="220">
        <f t="shared" ref="D112" si="137">D111+15</f>
        <v>2320</v>
      </c>
      <c r="E112" s="220">
        <f t="shared" si="91"/>
        <v>3369</v>
      </c>
      <c r="F112" s="220">
        <f t="shared" si="83"/>
        <v>921</v>
      </c>
      <c r="G112" s="220">
        <f t="shared" si="84"/>
        <v>1133</v>
      </c>
      <c r="H112" s="220">
        <f t="shared" si="85"/>
        <v>1181</v>
      </c>
      <c r="I112" s="220">
        <f t="shared" si="86"/>
        <v>1103</v>
      </c>
      <c r="J112" s="220">
        <f t="shared" si="87"/>
        <v>995</v>
      </c>
      <c r="K112" s="220">
        <f t="shared" si="69"/>
        <v>2448</v>
      </c>
      <c r="L112" s="220">
        <f t="shared" si="69"/>
        <v>2236</v>
      </c>
      <c r="M112" s="220">
        <f t="shared" si="69"/>
        <v>2188</v>
      </c>
      <c r="N112" s="220">
        <f t="shared" si="69"/>
        <v>2266</v>
      </c>
      <c r="O112" s="220">
        <f t="shared" si="69"/>
        <v>2374</v>
      </c>
      <c r="P112" s="220">
        <f t="shared" si="132"/>
        <v>2000</v>
      </c>
      <c r="Q112" s="220">
        <f t="shared" si="132"/>
        <v>2000</v>
      </c>
      <c r="R112" s="220">
        <f t="shared" si="132"/>
        <v>2000</v>
      </c>
      <c r="S112" s="220">
        <f t="shared" si="132"/>
        <v>2000</v>
      </c>
      <c r="T112" s="220">
        <f t="shared" si="132"/>
        <v>2000</v>
      </c>
      <c r="U112" s="220">
        <f t="shared" si="133"/>
        <v>448</v>
      </c>
      <c r="V112" s="220">
        <f t="shared" si="133"/>
        <v>236</v>
      </c>
      <c r="W112" s="220">
        <f t="shared" si="133"/>
        <v>188</v>
      </c>
      <c r="X112" s="220">
        <f t="shared" si="133"/>
        <v>266</v>
      </c>
      <c r="Y112" s="220">
        <f t="shared" si="133"/>
        <v>374</v>
      </c>
      <c r="Z112" s="220">
        <v>1</v>
      </c>
      <c r="AA112" s="220">
        <v>2</v>
      </c>
      <c r="AB112" s="220">
        <v>1</v>
      </c>
      <c r="AC112" s="220">
        <v>2</v>
      </c>
      <c r="AD112" s="220">
        <v>0</v>
      </c>
      <c r="AE112" s="220">
        <f t="shared" si="134"/>
        <v>-201</v>
      </c>
      <c r="AF112" s="220">
        <f t="shared" si="134"/>
        <v>-333</v>
      </c>
      <c r="AG112" s="220">
        <f t="shared" si="134"/>
        <v>-361</v>
      </c>
      <c r="AH112" s="220">
        <f t="shared" si="134"/>
        <v>-293</v>
      </c>
      <c r="AI112" s="220">
        <f t="shared" si="134"/>
        <v>-185</v>
      </c>
      <c r="AJ112" s="50">
        <f t="shared" si="95"/>
        <v>1.3880000000000048</v>
      </c>
      <c r="AK112" s="257"/>
      <c r="AL112" s="257">
        <f t="shared" si="96"/>
        <v>1.2</v>
      </c>
      <c r="AM112" s="52"/>
      <c r="AN112" s="88"/>
    </row>
    <row r="113" spans="1:40" s="29" customFormat="1" ht="17.25" customHeight="1">
      <c r="A113" s="48">
        <v>103</v>
      </c>
      <c r="B113" s="49">
        <f t="shared" si="88"/>
        <v>45678</v>
      </c>
      <c r="C113" s="220">
        <f t="shared" si="89"/>
        <v>1049</v>
      </c>
      <c r="D113" s="220">
        <f t="shared" ref="D113" si="138">D112+26</f>
        <v>2346</v>
      </c>
      <c r="E113" s="220">
        <f t="shared" si="91"/>
        <v>3395</v>
      </c>
      <c r="F113" s="220">
        <f t="shared" si="83"/>
        <v>947</v>
      </c>
      <c r="G113" s="220">
        <f t="shared" si="84"/>
        <v>1159</v>
      </c>
      <c r="H113" s="220">
        <f t="shared" si="85"/>
        <v>1207</v>
      </c>
      <c r="I113" s="220">
        <f t="shared" si="86"/>
        <v>1132</v>
      </c>
      <c r="J113" s="220">
        <f t="shared" si="87"/>
        <v>1021</v>
      </c>
      <c r="K113" s="220">
        <f t="shared" si="69"/>
        <v>2448</v>
      </c>
      <c r="L113" s="220">
        <f t="shared" si="69"/>
        <v>2236</v>
      </c>
      <c r="M113" s="220">
        <f t="shared" si="69"/>
        <v>2188</v>
      </c>
      <c r="N113" s="220">
        <f t="shared" si="69"/>
        <v>2263</v>
      </c>
      <c r="O113" s="220">
        <f t="shared" si="69"/>
        <v>2374</v>
      </c>
      <c r="P113" s="220">
        <f t="shared" si="132"/>
        <v>2000</v>
      </c>
      <c r="Q113" s="220">
        <f t="shared" si="132"/>
        <v>2000</v>
      </c>
      <c r="R113" s="220">
        <f t="shared" si="132"/>
        <v>2000</v>
      </c>
      <c r="S113" s="220">
        <f t="shared" si="132"/>
        <v>2000</v>
      </c>
      <c r="T113" s="220">
        <f t="shared" si="132"/>
        <v>2000</v>
      </c>
      <c r="U113" s="220">
        <f t="shared" si="133"/>
        <v>448</v>
      </c>
      <c r="V113" s="220">
        <f t="shared" si="133"/>
        <v>236</v>
      </c>
      <c r="W113" s="220">
        <f t="shared" si="133"/>
        <v>188</v>
      </c>
      <c r="X113" s="220">
        <f t="shared" si="133"/>
        <v>263</v>
      </c>
      <c r="Y113" s="220">
        <f t="shared" si="133"/>
        <v>374</v>
      </c>
      <c r="Z113" s="220">
        <v>0</v>
      </c>
      <c r="AA113" s="220">
        <v>0</v>
      </c>
      <c r="AB113" s="220">
        <v>0</v>
      </c>
      <c r="AC113" s="220">
        <v>3</v>
      </c>
      <c r="AD113" s="220">
        <v>0</v>
      </c>
      <c r="AE113" s="220">
        <f t="shared" si="134"/>
        <v>-201</v>
      </c>
      <c r="AF113" s="220">
        <f t="shared" si="134"/>
        <v>-333</v>
      </c>
      <c r="AG113" s="220">
        <f t="shared" si="134"/>
        <v>-361</v>
      </c>
      <c r="AH113" s="220">
        <f t="shared" si="134"/>
        <v>-296</v>
      </c>
      <c r="AI113" s="220">
        <f t="shared" si="134"/>
        <v>-185</v>
      </c>
      <c r="AJ113" s="50">
        <f t="shared" si="95"/>
        <v>1.3880000000000048</v>
      </c>
      <c r="AK113" s="257"/>
      <c r="AL113" s="257">
        <f t="shared" si="96"/>
        <v>1.2</v>
      </c>
      <c r="AM113" s="52"/>
      <c r="AN113" s="88"/>
    </row>
    <row r="114" spans="1:40" s="29" customFormat="1" ht="17.25" customHeight="1">
      <c r="A114" s="48">
        <v>104</v>
      </c>
      <c r="B114" s="49">
        <f t="shared" si="88"/>
        <v>45679</v>
      </c>
      <c r="C114" s="220">
        <f t="shared" si="89"/>
        <v>1049</v>
      </c>
      <c r="D114" s="220">
        <f t="shared" ref="D114" si="139">D113+32</f>
        <v>2378</v>
      </c>
      <c r="E114" s="220">
        <f t="shared" si="91"/>
        <v>3427</v>
      </c>
      <c r="F114" s="220">
        <f t="shared" si="83"/>
        <v>980</v>
      </c>
      <c r="G114" s="220">
        <f t="shared" si="84"/>
        <v>1192</v>
      </c>
      <c r="H114" s="220">
        <f t="shared" si="85"/>
        <v>1240</v>
      </c>
      <c r="I114" s="220">
        <f t="shared" si="86"/>
        <v>1168</v>
      </c>
      <c r="J114" s="220">
        <f t="shared" si="87"/>
        <v>1053</v>
      </c>
      <c r="K114" s="220">
        <f t="shared" ref="K114:O164" si="140">P114+U114</f>
        <v>2447</v>
      </c>
      <c r="L114" s="220">
        <f t="shared" si="140"/>
        <v>2235</v>
      </c>
      <c r="M114" s="220">
        <f t="shared" si="140"/>
        <v>2187</v>
      </c>
      <c r="N114" s="220">
        <f t="shared" si="140"/>
        <v>2259</v>
      </c>
      <c r="O114" s="220">
        <f t="shared" si="140"/>
        <v>2374</v>
      </c>
      <c r="P114" s="220">
        <f t="shared" si="132"/>
        <v>2000</v>
      </c>
      <c r="Q114" s="220">
        <f t="shared" si="132"/>
        <v>2000</v>
      </c>
      <c r="R114" s="220">
        <f t="shared" si="132"/>
        <v>2000</v>
      </c>
      <c r="S114" s="220">
        <f t="shared" si="132"/>
        <v>2000</v>
      </c>
      <c r="T114" s="220">
        <f t="shared" si="132"/>
        <v>2000</v>
      </c>
      <c r="U114" s="220">
        <f t="shared" si="133"/>
        <v>447</v>
      </c>
      <c r="V114" s="220">
        <f t="shared" si="133"/>
        <v>235</v>
      </c>
      <c r="W114" s="220">
        <f t="shared" si="133"/>
        <v>187</v>
      </c>
      <c r="X114" s="220">
        <f t="shared" si="133"/>
        <v>259</v>
      </c>
      <c r="Y114" s="220">
        <f t="shared" si="133"/>
        <v>374</v>
      </c>
      <c r="Z114" s="220">
        <v>1</v>
      </c>
      <c r="AA114" s="220">
        <v>1</v>
      </c>
      <c r="AB114" s="220">
        <v>1</v>
      </c>
      <c r="AC114" s="220">
        <v>4</v>
      </c>
      <c r="AD114" s="220">
        <v>0</v>
      </c>
      <c r="AE114" s="220">
        <f t="shared" si="134"/>
        <v>-202</v>
      </c>
      <c r="AF114" s="220">
        <f t="shared" si="134"/>
        <v>-334</v>
      </c>
      <c r="AG114" s="220">
        <f t="shared" si="134"/>
        <v>-362</v>
      </c>
      <c r="AH114" s="220">
        <f t="shared" si="134"/>
        <v>-300</v>
      </c>
      <c r="AI114" s="220">
        <f t="shared" si="134"/>
        <v>-185</v>
      </c>
      <c r="AJ114" s="50">
        <f t="shared" si="95"/>
        <v>1.3870000000000049</v>
      </c>
      <c r="AK114" s="257"/>
      <c r="AL114" s="257">
        <f t="shared" si="96"/>
        <v>1.2</v>
      </c>
      <c r="AM114" s="52"/>
      <c r="AN114" s="88"/>
    </row>
    <row r="115" spans="1:40" s="29" customFormat="1" ht="17.25" customHeight="1">
      <c r="A115" s="48">
        <v>105</v>
      </c>
      <c r="B115" s="49">
        <f t="shared" si="88"/>
        <v>45680</v>
      </c>
      <c r="C115" s="220">
        <f t="shared" si="89"/>
        <v>1049</v>
      </c>
      <c r="D115" s="220">
        <f t="shared" ref="D115" si="141">D114-18</f>
        <v>2360</v>
      </c>
      <c r="E115" s="220">
        <f t="shared" si="91"/>
        <v>3409</v>
      </c>
      <c r="F115" s="220">
        <f t="shared" si="83"/>
        <v>962</v>
      </c>
      <c r="G115" s="220">
        <f t="shared" si="84"/>
        <v>1174</v>
      </c>
      <c r="H115" s="220">
        <f t="shared" si="85"/>
        <v>1225</v>
      </c>
      <c r="I115" s="220">
        <f t="shared" si="86"/>
        <v>1150</v>
      </c>
      <c r="J115" s="220">
        <f t="shared" si="87"/>
        <v>1035</v>
      </c>
      <c r="K115" s="220">
        <f t="shared" si="140"/>
        <v>2447</v>
      </c>
      <c r="L115" s="220">
        <f t="shared" si="140"/>
        <v>2235</v>
      </c>
      <c r="M115" s="220">
        <f t="shared" si="140"/>
        <v>2184</v>
      </c>
      <c r="N115" s="220">
        <f t="shared" si="140"/>
        <v>2259</v>
      </c>
      <c r="O115" s="220">
        <f t="shared" si="140"/>
        <v>2374</v>
      </c>
      <c r="P115" s="220">
        <f t="shared" si="132"/>
        <v>2000</v>
      </c>
      <c r="Q115" s="220">
        <f t="shared" si="132"/>
        <v>2000</v>
      </c>
      <c r="R115" s="220">
        <f t="shared" si="132"/>
        <v>2000</v>
      </c>
      <c r="S115" s="220">
        <f t="shared" si="132"/>
        <v>2000</v>
      </c>
      <c r="T115" s="220">
        <f t="shared" si="132"/>
        <v>2000</v>
      </c>
      <c r="U115" s="220">
        <f t="shared" si="133"/>
        <v>447</v>
      </c>
      <c r="V115" s="220">
        <f t="shared" si="133"/>
        <v>235</v>
      </c>
      <c r="W115" s="220">
        <f t="shared" si="133"/>
        <v>184</v>
      </c>
      <c r="X115" s="220">
        <f t="shared" si="133"/>
        <v>259</v>
      </c>
      <c r="Y115" s="220">
        <f t="shared" si="133"/>
        <v>374</v>
      </c>
      <c r="Z115" s="220">
        <v>0</v>
      </c>
      <c r="AA115" s="220">
        <v>0</v>
      </c>
      <c r="AB115" s="220">
        <v>3</v>
      </c>
      <c r="AC115" s="220">
        <v>0</v>
      </c>
      <c r="AD115" s="220">
        <v>0</v>
      </c>
      <c r="AE115" s="220">
        <f t="shared" si="134"/>
        <v>-202</v>
      </c>
      <c r="AF115" s="220">
        <f t="shared" si="134"/>
        <v>-334</v>
      </c>
      <c r="AG115" s="220">
        <f t="shared" si="134"/>
        <v>-365</v>
      </c>
      <c r="AH115" s="220">
        <f t="shared" si="134"/>
        <v>-300</v>
      </c>
      <c r="AI115" s="220">
        <f t="shared" si="134"/>
        <v>-185</v>
      </c>
      <c r="AJ115" s="50">
        <f t="shared" si="95"/>
        <v>1.384000000000005</v>
      </c>
      <c r="AK115" s="257"/>
      <c r="AL115" s="257">
        <f t="shared" si="96"/>
        <v>1.2</v>
      </c>
      <c r="AM115" s="52"/>
      <c r="AN115" s="88"/>
    </row>
    <row r="116" spans="1:40" s="29" customFormat="1" ht="17.25" customHeight="1">
      <c r="A116" s="48">
        <v>106</v>
      </c>
      <c r="B116" s="49">
        <f t="shared" si="88"/>
        <v>45681</v>
      </c>
      <c r="C116" s="220">
        <f t="shared" si="89"/>
        <v>1049</v>
      </c>
      <c r="D116" s="220">
        <f t="shared" ref="D116" si="142">D115-26</f>
        <v>2334</v>
      </c>
      <c r="E116" s="220">
        <f t="shared" si="91"/>
        <v>3383</v>
      </c>
      <c r="F116" s="220">
        <f t="shared" si="83"/>
        <v>937</v>
      </c>
      <c r="G116" s="220">
        <f t="shared" si="84"/>
        <v>1149</v>
      </c>
      <c r="H116" s="220">
        <f t="shared" si="85"/>
        <v>1200</v>
      </c>
      <c r="I116" s="220">
        <f t="shared" si="86"/>
        <v>1127</v>
      </c>
      <c r="J116" s="220">
        <f t="shared" si="87"/>
        <v>1009</v>
      </c>
      <c r="K116" s="220">
        <f t="shared" si="140"/>
        <v>2446</v>
      </c>
      <c r="L116" s="220">
        <f t="shared" si="140"/>
        <v>2234</v>
      </c>
      <c r="M116" s="220">
        <f t="shared" si="140"/>
        <v>2183</v>
      </c>
      <c r="N116" s="220">
        <f t="shared" si="140"/>
        <v>2256</v>
      </c>
      <c r="O116" s="220">
        <f t="shared" si="140"/>
        <v>2374</v>
      </c>
      <c r="P116" s="220">
        <f t="shared" si="132"/>
        <v>2000</v>
      </c>
      <c r="Q116" s="220">
        <f t="shared" si="132"/>
        <v>2000</v>
      </c>
      <c r="R116" s="220">
        <f t="shared" si="132"/>
        <v>2000</v>
      </c>
      <c r="S116" s="220">
        <f t="shared" si="132"/>
        <v>2000</v>
      </c>
      <c r="T116" s="220">
        <f t="shared" si="132"/>
        <v>2000</v>
      </c>
      <c r="U116" s="220">
        <f t="shared" si="133"/>
        <v>446</v>
      </c>
      <c r="V116" s="220">
        <f t="shared" si="133"/>
        <v>234</v>
      </c>
      <c r="W116" s="220">
        <f t="shared" si="133"/>
        <v>183</v>
      </c>
      <c r="X116" s="220">
        <f t="shared" si="133"/>
        <v>256</v>
      </c>
      <c r="Y116" s="220">
        <f t="shared" si="133"/>
        <v>374</v>
      </c>
      <c r="Z116" s="220">
        <v>1</v>
      </c>
      <c r="AA116" s="220">
        <v>1</v>
      </c>
      <c r="AB116" s="220">
        <v>1</v>
      </c>
      <c r="AC116" s="220">
        <v>3</v>
      </c>
      <c r="AD116" s="220">
        <v>0</v>
      </c>
      <c r="AE116" s="220">
        <f t="shared" si="134"/>
        <v>-203</v>
      </c>
      <c r="AF116" s="220">
        <f t="shared" si="134"/>
        <v>-335</v>
      </c>
      <c r="AG116" s="220">
        <f t="shared" si="134"/>
        <v>-366</v>
      </c>
      <c r="AH116" s="220">
        <f t="shared" si="134"/>
        <v>-303</v>
      </c>
      <c r="AI116" s="220">
        <f t="shared" si="134"/>
        <v>-185</v>
      </c>
      <c r="AJ116" s="50">
        <f t="shared" si="95"/>
        <v>1.3830000000000051</v>
      </c>
      <c r="AK116" s="257"/>
      <c r="AL116" s="257">
        <f t="shared" si="96"/>
        <v>1.2</v>
      </c>
      <c r="AM116" s="52"/>
      <c r="AN116" s="88"/>
    </row>
    <row r="117" spans="1:40" s="29" customFormat="1" ht="17.25" customHeight="1">
      <c r="A117" s="48">
        <v>107</v>
      </c>
      <c r="B117" s="49">
        <f t="shared" si="88"/>
        <v>45682</v>
      </c>
      <c r="C117" s="220">
        <f t="shared" si="89"/>
        <v>1049</v>
      </c>
      <c r="D117" s="220">
        <f t="shared" ref="D117" si="143">D116+15</f>
        <v>2349</v>
      </c>
      <c r="E117" s="220">
        <f t="shared" si="91"/>
        <v>3398</v>
      </c>
      <c r="F117" s="220">
        <f t="shared" si="83"/>
        <v>952</v>
      </c>
      <c r="G117" s="220">
        <f t="shared" si="84"/>
        <v>1166</v>
      </c>
      <c r="H117" s="220">
        <f t="shared" si="85"/>
        <v>1215</v>
      </c>
      <c r="I117" s="220">
        <f t="shared" si="86"/>
        <v>1144</v>
      </c>
      <c r="J117" s="220">
        <f t="shared" si="87"/>
        <v>1025</v>
      </c>
      <c r="K117" s="220">
        <f t="shared" si="140"/>
        <v>2446</v>
      </c>
      <c r="L117" s="220">
        <f t="shared" si="140"/>
        <v>2232</v>
      </c>
      <c r="M117" s="220">
        <f t="shared" si="140"/>
        <v>2183</v>
      </c>
      <c r="N117" s="220">
        <f t="shared" si="140"/>
        <v>2254</v>
      </c>
      <c r="O117" s="220">
        <f t="shared" si="140"/>
        <v>2373</v>
      </c>
      <c r="P117" s="220">
        <f t="shared" si="132"/>
        <v>2000</v>
      </c>
      <c r="Q117" s="220">
        <f t="shared" si="132"/>
        <v>2000</v>
      </c>
      <c r="R117" s="220">
        <f t="shared" si="132"/>
        <v>2000</v>
      </c>
      <c r="S117" s="220">
        <f t="shared" si="132"/>
        <v>2000</v>
      </c>
      <c r="T117" s="220">
        <f t="shared" si="132"/>
        <v>2000</v>
      </c>
      <c r="U117" s="220">
        <f t="shared" si="133"/>
        <v>446</v>
      </c>
      <c r="V117" s="220">
        <f t="shared" si="133"/>
        <v>232</v>
      </c>
      <c r="W117" s="220">
        <f t="shared" si="133"/>
        <v>183</v>
      </c>
      <c r="X117" s="220">
        <f t="shared" si="133"/>
        <v>254</v>
      </c>
      <c r="Y117" s="220">
        <f t="shared" si="133"/>
        <v>373</v>
      </c>
      <c r="Z117" s="220">
        <v>0</v>
      </c>
      <c r="AA117" s="220">
        <v>2</v>
      </c>
      <c r="AB117" s="220">
        <v>0</v>
      </c>
      <c r="AC117" s="220">
        <v>2</v>
      </c>
      <c r="AD117" s="220">
        <v>1</v>
      </c>
      <c r="AE117" s="220">
        <f t="shared" si="134"/>
        <v>-203</v>
      </c>
      <c r="AF117" s="220">
        <f t="shared" si="134"/>
        <v>-337</v>
      </c>
      <c r="AG117" s="220">
        <f t="shared" si="134"/>
        <v>-366</v>
      </c>
      <c r="AH117" s="220">
        <f t="shared" si="134"/>
        <v>-305</v>
      </c>
      <c r="AI117" s="220">
        <f t="shared" si="134"/>
        <v>-186</v>
      </c>
      <c r="AJ117" s="50">
        <f t="shared" si="95"/>
        <v>1.3830000000000051</v>
      </c>
      <c r="AK117" s="257"/>
      <c r="AL117" s="257">
        <f t="shared" si="96"/>
        <v>1.2</v>
      </c>
      <c r="AM117" s="52"/>
      <c r="AN117" s="88"/>
    </row>
    <row r="118" spans="1:40" s="29" customFormat="1" ht="17.25" customHeight="1">
      <c r="A118" s="48">
        <v>108</v>
      </c>
      <c r="B118" s="49">
        <f t="shared" si="88"/>
        <v>45683</v>
      </c>
      <c r="C118" s="220">
        <f t="shared" si="89"/>
        <v>1049</v>
      </c>
      <c r="D118" s="220">
        <f t="shared" ref="D118" si="144">D117+26</f>
        <v>2375</v>
      </c>
      <c r="E118" s="220">
        <f t="shared" si="91"/>
        <v>3424</v>
      </c>
      <c r="F118" s="220">
        <f t="shared" si="83"/>
        <v>978</v>
      </c>
      <c r="G118" s="220">
        <f t="shared" si="84"/>
        <v>1192</v>
      </c>
      <c r="H118" s="220">
        <f t="shared" si="85"/>
        <v>1241</v>
      </c>
      <c r="I118" s="220">
        <f t="shared" si="86"/>
        <v>1174</v>
      </c>
      <c r="J118" s="220">
        <f t="shared" si="87"/>
        <v>1051</v>
      </c>
      <c r="K118" s="220">
        <f t="shared" si="140"/>
        <v>2446</v>
      </c>
      <c r="L118" s="220">
        <f t="shared" si="140"/>
        <v>2232</v>
      </c>
      <c r="M118" s="220">
        <f t="shared" si="140"/>
        <v>2183</v>
      </c>
      <c r="N118" s="220">
        <f t="shared" si="140"/>
        <v>2250</v>
      </c>
      <c r="O118" s="220">
        <f t="shared" si="140"/>
        <v>2373</v>
      </c>
      <c r="P118" s="220">
        <f t="shared" si="132"/>
        <v>2000</v>
      </c>
      <c r="Q118" s="220">
        <f t="shared" si="132"/>
        <v>2000</v>
      </c>
      <c r="R118" s="220">
        <f t="shared" si="132"/>
        <v>2000</v>
      </c>
      <c r="S118" s="220">
        <f t="shared" si="132"/>
        <v>2000</v>
      </c>
      <c r="T118" s="220">
        <f t="shared" si="132"/>
        <v>2000</v>
      </c>
      <c r="U118" s="220">
        <f t="shared" si="133"/>
        <v>446</v>
      </c>
      <c r="V118" s="220">
        <f t="shared" si="133"/>
        <v>232</v>
      </c>
      <c r="W118" s="220">
        <f t="shared" si="133"/>
        <v>183</v>
      </c>
      <c r="X118" s="220">
        <f t="shared" si="133"/>
        <v>250</v>
      </c>
      <c r="Y118" s="220">
        <f t="shared" si="133"/>
        <v>373</v>
      </c>
      <c r="Z118" s="220">
        <v>0</v>
      </c>
      <c r="AA118" s="220">
        <v>0</v>
      </c>
      <c r="AB118" s="220">
        <v>0</v>
      </c>
      <c r="AC118" s="220">
        <v>4</v>
      </c>
      <c r="AD118" s="220">
        <v>0</v>
      </c>
      <c r="AE118" s="220">
        <f t="shared" si="134"/>
        <v>-203</v>
      </c>
      <c r="AF118" s="220">
        <f t="shared" si="134"/>
        <v>-337</v>
      </c>
      <c r="AG118" s="220">
        <f t="shared" si="134"/>
        <v>-366</v>
      </c>
      <c r="AH118" s="220">
        <f t="shared" si="134"/>
        <v>-309</v>
      </c>
      <c r="AI118" s="220">
        <f t="shared" si="134"/>
        <v>-186</v>
      </c>
      <c r="AJ118" s="50">
        <f t="shared" si="95"/>
        <v>1.3830000000000051</v>
      </c>
      <c r="AK118" s="257"/>
      <c r="AL118" s="257">
        <f t="shared" si="96"/>
        <v>1.2</v>
      </c>
      <c r="AM118" s="52"/>
      <c r="AN118" s="88"/>
    </row>
    <row r="119" spans="1:40" s="29" customFormat="1" ht="17.25" customHeight="1">
      <c r="A119" s="48">
        <v>109</v>
      </c>
      <c r="B119" s="49">
        <f t="shared" si="88"/>
        <v>45684</v>
      </c>
      <c r="C119" s="220">
        <f t="shared" si="89"/>
        <v>1049</v>
      </c>
      <c r="D119" s="220">
        <f t="shared" ref="D119" si="145">D118+32</f>
        <v>2407</v>
      </c>
      <c r="E119" s="220">
        <f t="shared" si="91"/>
        <v>3456</v>
      </c>
      <c r="F119" s="220">
        <f t="shared" si="83"/>
        <v>1010</v>
      </c>
      <c r="G119" s="220">
        <f t="shared" si="84"/>
        <v>1226</v>
      </c>
      <c r="H119" s="220">
        <f t="shared" si="85"/>
        <v>1273</v>
      </c>
      <c r="I119" s="220">
        <f t="shared" si="86"/>
        <v>1208</v>
      </c>
      <c r="J119" s="220">
        <f t="shared" si="87"/>
        <v>1083</v>
      </c>
      <c r="K119" s="220">
        <f t="shared" si="140"/>
        <v>2446</v>
      </c>
      <c r="L119" s="220">
        <f t="shared" si="140"/>
        <v>2230</v>
      </c>
      <c r="M119" s="220">
        <f t="shared" si="140"/>
        <v>2183</v>
      </c>
      <c r="N119" s="220">
        <f t="shared" si="140"/>
        <v>2248</v>
      </c>
      <c r="O119" s="220">
        <f t="shared" si="140"/>
        <v>2373</v>
      </c>
      <c r="P119" s="220">
        <f t="shared" si="132"/>
        <v>2000</v>
      </c>
      <c r="Q119" s="220">
        <f t="shared" si="132"/>
        <v>2000</v>
      </c>
      <c r="R119" s="220">
        <f t="shared" si="132"/>
        <v>2000</v>
      </c>
      <c r="S119" s="220">
        <f t="shared" si="132"/>
        <v>2000</v>
      </c>
      <c r="T119" s="220">
        <f t="shared" si="132"/>
        <v>2000</v>
      </c>
      <c r="U119" s="220">
        <f t="shared" si="133"/>
        <v>446</v>
      </c>
      <c r="V119" s="220">
        <f t="shared" si="133"/>
        <v>230</v>
      </c>
      <c r="W119" s="220">
        <f t="shared" si="133"/>
        <v>183</v>
      </c>
      <c r="X119" s="220">
        <f t="shared" si="133"/>
        <v>248</v>
      </c>
      <c r="Y119" s="220">
        <f t="shared" si="133"/>
        <v>373</v>
      </c>
      <c r="Z119" s="220">
        <v>0</v>
      </c>
      <c r="AA119" s="220">
        <v>2</v>
      </c>
      <c r="AB119" s="220">
        <v>0</v>
      </c>
      <c r="AC119" s="220">
        <v>2</v>
      </c>
      <c r="AD119" s="220">
        <v>0</v>
      </c>
      <c r="AE119" s="220">
        <f t="shared" si="134"/>
        <v>-203</v>
      </c>
      <c r="AF119" s="220">
        <f t="shared" si="134"/>
        <v>-339</v>
      </c>
      <c r="AG119" s="220">
        <f t="shared" si="134"/>
        <v>-366</v>
      </c>
      <c r="AH119" s="220">
        <f t="shared" si="134"/>
        <v>-311</v>
      </c>
      <c r="AI119" s="220">
        <f t="shared" si="134"/>
        <v>-186</v>
      </c>
      <c r="AJ119" s="50">
        <f t="shared" si="95"/>
        <v>1.3830000000000051</v>
      </c>
      <c r="AK119" s="257"/>
      <c r="AL119" s="257">
        <f t="shared" si="96"/>
        <v>1.2</v>
      </c>
      <c r="AM119" s="52"/>
      <c r="AN119" s="88"/>
    </row>
    <row r="120" spans="1:40" s="29" customFormat="1" ht="17.25" customHeight="1">
      <c r="A120" s="48">
        <v>110</v>
      </c>
      <c r="B120" s="49">
        <f t="shared" si="88"/>
        <v>45685</v>
      </c>
      <c r="C120" s="220">
        <f t="shared" si="89"/>
        <v>1049</v>
      </c>
      <c r="D120" s="220">
        <f t="shared" ref="D120" si="146">D119-18</f>
        <v>2389</v>
      </c>
      <c r="E120" s="220">
        <f t="shared" si="91"/>
        <v>3438</v>
      </c>
      <c r="F120" s="220">
        <f t="shared" si="83"/>
        <v>993</v>
      </c>
      <c r="G120" s="220">
        <f t="shared" si="84"/>
        <v>1208</v>
      </c>
      <c r="H120" s="220">
        <f t="shared" si="85"/>
        <v>1256</v>
      </c>
      <c r="I120" s="220">
        <f t="shared" si="86"/>
        <v>1190</v>
      </c>
      <c r="J120" s="220">
        <f t="shared" si="87"/>
        <v>1066</v>
      </c>
      <c r="K120" s="220">
        <f t="shared" si="140"/>
        <v>2445</v>
      </c>
      <c r="L120" s="220">
        <f t="shared" si="140"/>
        <v>2230</v>
      </c>
      <c r="M120" s="220">
        <f t="shared" si="140"/>
        <v>2182</v>
      </c>
      <c r="N120" s="220">
        <f t="shared" si="140"/>
        <v>2248</v>
      </c>
      <c r="O120" s="220">
        <f t="shared" si="140"/>
        <v>2372</v>
      </c>
      <c r="P120" s="220">
        <f t="shared" si="132"/>
        <v>2000</v>
      </c>
      <c r="Q120" s="220">
        <f t="shared" si="132"/>
        <v>2000</v>
      </c>
      <c r="R120" s="220">
        <f t="shared" si="132"/>
        <v>2000</v>
      </c>
      <c r="S120" s="220">
        <f t="shared" si="132"/>
        <v>2000</v>
      </c>
      <c r="T120" s="220">
        <f t="shared" si="132"/>
        <v>2000</v>
      </c>
      <c r="U120" s="220">
        <f t="shared" si="133"/>
        <v>445</v>
      </c>
      <c r="V120" s="220">
        <f t="shared" si="133"/>
        <v>230</v>
      </c>
      <c r="W120" s="220">
        <f t="shared" si="133"/>
        <v>182</v>
      </c>
      <c r="X120" s="220">
        <f t="shared" si="133"/>
        <v>248</v>
      </c>
      <c r="Y120" s="220">
        <f t="shared" si="133"/>
        <v>372</v>
      </c>
      <c r="Z120" s="220">
        <v>1</v>
      </c>
      <c r="AA120" s="220">
        <v>0</v>
      </c>
      <c r="AB120" s="220">
        <v>1</v>
      </c>
      <c r="AC120" s="220">
        <v>0</v>
      </c>
      <c r="AD120" s="220">
        <v>1</v>
      </c>
      <c r="AE120" s="220">
        <f t="shared" si="134"/>
        <v>-204</v>
      </c>
      <c r="AF120" s="220">
        <f t="shared" si="134"/>
        <v>-339</v>
      </c>
      <c r="AG120" s="220">
        <f t="shared" si="134"/>
        <v>-367</v>
      </c>
      <c r="AH120" s="220">
        <f t="shared" si="134"/>
        <v>-311</v>
      </c>
      <c r="AI120" s="220">
        <f t="shared" si="134"/>
        <v>-187</v>
      </c>
      <c r="AJ120" s="50">
        <f t="shared" si="95"/>
        <v>1.3820000000000052</v>
      </c>
      <c r="AK120" s="257"/>
      <c r="AL120" s="257">
        <f t="shared" si="96"/>
        <v>1.2</v>
      </c>
      <c r="AM120" s="52"/>
      <c r="AN120" s="88"/>
    </row>
    <row r="121" spans="1:40" s="29" customFormat="1" ht="17.25" customHeight="1">
      <c r="A121" s="48">
        <v>111</v>
      </c>
      <c r="B121" s="49">
        <f t="shared" si="88"/>
        <v>45686</v>
      </c>
      <c r="C121" s="220">
        <f t="shared" si="89"/>
        <v>1049</v>
      </c>
      <c r="D121" s="220">
        <f t="shared" ref="D121" si="147">D120-26</f>
        <v>2363</v>
      </c>
      <c r="E121" s="220">
        <f t="shared" si="91"/>
        <v>3412</v>
      </c>
      <c r="F121" s="220">
        <f t="shared" si="83"/>
        <v>967</v>
      </c>
      <c r="G121" s="220">
        <f t="shared" si="84"/>
        <v>1182</v>
      </c>
      <c r="H121" s="220">
        <f t="shared" si="85"/>
        <v>1230</v>
      </c>
      <c r="I121" s="220">
        <f t="shared" si="86"/>
        <v>1164</v>
      </c>
      <c r="J121" s="220">
        <f t="shared" si="87"/>
        <v>1040</v>
      </c>
      <c r="K121" s="220">
        <f t="shared" si="140"/>
        <v>2445</v>
      </c>
      <c r="L121" s="220">
        <f t="shared" si="140"/>
        <v>2230</v>
      </c>
      <c r="M121" s="220">
        <f t="shared" si="140"/>
        <v>2182</v>
      </c>
      <c r="N121" s="220">
        <f t="shared" si="140"/>
        <v>2248</v>
      </c>
      <c r="O121" s="220">
        <f t="shared" si="140"/>
        <v>2372</v>
      </c>
      <c r="P121" s="220">
        <f t="shared" si="132"/>
        <v>2000</v>
      </c>
      <c r="Q121" s="220">
        <f t="shared" si="132"/>
        <v>2000</v>
      </c>
      <c r="R121" s="220">
        <f t="shared" si="132"/>
        <v>2000</v>
      </c>
      <c r="S121" s="220">
        <f t="shared" si="132"/>
        <v>2000</v>
      </c>
      <c r="T121" s="220">
        <f t="shared" si="132"/>
        <v>2000</v>
      </c>
      <c r="U121" s="220">
        <f t="shared" si="133"/>
        <v>445</v>
      </c>
      <c r="V121" s="220">
        <f t="shared" si="133"/>
        <v>230</v>
      </c>
      <c r="W121" s="220">
        <f t="shared" si="133"/>
        <v>182</v>
      </c>
      <c r="X121" s="220">
        <f t="shared" si="133"/>
        <v>248</v>
      </c>
      <c r="Y121" s="220">
        <f t="shared" si="133"/>
        <v>372</v>
      </c>
      <c r="Z121" s="220">
        <v>0</v>
      </c>
      <c r="AA121" s="220">
        <v>0</v>
      </c>
      <c r="AB121" s="220">
        <v>0</v>
      </c>
      <c r="AC121" s="220">
        <v>0</v>
      </c>
      <c r="AD121" s="220">
        <v>0</v>
      </c>
      <c r="AE121" s="220">
        <f t="shared" si="134"/>
        <v>-204</v>
      </c>
      <c r="AF121" s="220">
        <f t="shared" si="134"/>
        <v>-339</v>
      </c>
      <c r="AG121" s="220">
        <f t="shared" si="134"/>
        <v>-367</v>
      </c>
      <c r="AH121" s="220">
        <f t="shared" si="134"/>
        <v>-311</v>
      </c>
      <c r="AI121" s="220">
        <f t="shared" si="134"/>
        <v>-187</v>
      </c>
      <c r="AJ121" s="50">
        <f t="shared" si="95"/>
        <v>1.3820000000000052</v>
      </c>
      <c r="AK121" s="257"/>
      <c r="AL121" s="257">
        <f t="shared" si="96"/>
        <v>1.2</v>
      </c>
      <c r="AM121" s="52"/>
      <c r="AN121" s="88"/>
    </row>
    <row r="122" spans="1:40" s="29" customFormat="1" ht="17.25" customHeight="1">
      <c r="A122" s="48">
        <v>112</v>
      </c>
      <c r="B122" s="49">
        <f t="shared" si="88"/>
        <v>45687</v>
      </c>
      <c r="C122" s="220">
        <f t="shared" si="89"/>
        <v>1049</v>
      </c>
      <c r="D122" s="220">
        <f t="shared" ref="D122" si="148">D121+15</f>
        <v>2378</v>
      </c>
      <c r="E122" s="220">
        <f t="shared" si="91"/>
        <v>3427</v>
      </c>
      <c r="F122" s="220">
        <f t="shared" si="83"/>
        <v>983</v>
      </c>
      <c r="G122" s="220">
        <f t="shared" si="84"/>
        <v>1199</v>
      </c>
      <c r="H122" s="220">
        <f t="shared" si="85"/>
        <v>1246</v>
      </c>
      <c r="I122" s="220">
        <f t="shared" si="86"/>
        <v>1181</v>
      </c>
      <c r="J122" s="220">
        <f t="shared" si="87"/>
        <v>1055</v>
      </c>
      <c r="K122" s="220">
        <f t="shared" si="140"/>
        <v>2444</v>
      </c>
      <c r="L122" s="220">
        <f t="shared" si="140"/>
        <v>2228</v>
      </c>
      <c r="M122" s="220">
        <f t="shared" si="140"/>
        <v>2181</v>
      </c>
      <c r="N122" s="220">
        <f t="shared" si="140"/>
        <v>2246</v>
      </c>
      <c r="O122" s="220">
        <f t="shared" si="140"/>
        <v>2372</v>
      </c>
      <c r="P122" s="220">
        <f t="shared" si="132"/>
        <v>2000</v>
      </c>
      <c r="Q122" s="220">
        <f t="shared" si="132"/>
        <v>2000</v>
      </c>
      <c r="R122" s="220">
        <f t="shared" si="132"/>
        <v>2000</v>
      </c>
      <c r="S122" s="220">
        <f t="shared" si="132"/>
        <v>2000</v>
      </c>
      <c r="T122" s="220">
        <f t="shared" si="132"/>
        <v>2000</v>
      </c>
      <c r="U122" s="220">
        <f t="shared" si="133"/>
        <v>444</v>
      </c>
      <c r="V122" s="220">
        <f t="shared" si="133"/>
        <v>228</v>
      </c>
      <c r="W122" s="220">
        <f t="shared" si="133"/>
        <v>181</v>
      </c>
      <c r="X122" s="220">
        <f t="shared" si="133"/>
        <v>246</v>
      </c>
      <c r="Y122" s="220">
        <f t="shared" si="133"/>
        <v>372</v>
      </c>
      <c r="Z122" s="220">
        <v>1</v>
      </c>
      <c r="AA122" s="220">
        <v>2</v>
      </c>
      <c r="AB122" s="220">
        <v>1</v>
      </c>
      <c r="AC122" s="220">
        <v>2</v>
      </c>
      <c r="AD122" s="220">
        <v>0</v>
      </c>
      <c r="AE122" s="220">
        <f t="shared" si="134"/>
        <v>-205</v>
      </c>
      <c r="AF122" s="220">
        <f t="shared" si="134"/>
        <v>-341</v>
      </c>
      <c r="AG122" s="220">
        <f t="shared" si="134"/>
        <v>-368</v>
      </c>
      <c r="AH122" s="220">
        <f t="shared" si="134"/>
        <v>-313</v>
      </c>
      <c r="AI122" s="220">
        <f t="shared" si="134"/>
        <v>-187</v>
      </c>
      <c r="AJ122" s="50">
        <f t="shared" si="95"/>
        <v>1.3810000000000053</v>
      </c>
      <c r="AK122" s="257"/>
      <c r="AL122" s="257">
        <f t="shared" si="96"/>
        <v>1.2</v>
      </c>
      <c r="AM122" s="52"/>
      <c r="AN122" s="88"/>
    </row>
    <row r="123" spans="1:40" s="29" customFormat="1" ht="17.25" customHeight="1">
      <c r="A123" s="48">
        <v>113</v>
      </c>
      <c r="B123" s="49">
        <f t="shared" si="88"/>
        <v>45688</v>
      </c>
      <c r="C123" s="220">
        <f t="shared" si="89"/>
        <v>1049</v>
      </c>
      <c r="D123" s="220">
        <f t="shared" ref="D123" si="149">D122+26</f>
        <v>2404</v>
      </c>
      <c r="E123" s="220">
        <f t="shared" si="91"/>
        <v>3453</v>
      </c>
      <c r="F123" s="220">
        <f t="shared" si="83"/>
        <v>1009</v>
      </c>
      <c r="G123" s="220">
        <f t="shared" si="84"/>
        <v>1225</v>
      </c>
      <c r="H123" s="220">
        <f t="shared" si="85"/>
        <v>1272</v>
      </c>
      <c r="I123" s="220">
        <f t="shared" si="86"/>
        <v>1207</v>
      </c>
      <c r="J123" s="220">
        <f t="shared" si="87"/>
        <v>1081</v>
      </c>
      <c r="K123" s="220">
        <f t="shared" si="140"/>
        <v>2444</v>
      </c>
      <c r="L123" s="220">
        <f t="shared" si="140"/>
        <v>2228</v>
      </c>
      <c r="M123" s="220">
        <f t="shared" si="140"/>
        <v>2181</v>
      </c>
      <c r="N123" s="220">
        <f t="shared" si="140"/>
        <v>2246</v>
      </c>
      <c r="O123" s="220">
        <f t="shared" si="140"/>
        <v>2372</v>
      </c>
      <c r="P123" s="220">
        <f t="shared" si="132"/>
        <v>2000</v>
      </c>
      <c r="Q123" s="220">
        <f t="shared" si="132"/>
        <v>2000</v>
      </c>
      <c r="R123" s="220">
        <f t="shared" si="132"/>
        <v>2000</v>
      </c>
      <c r="S123" s="220">
        <f t="shared" si="132"/>
        <v>2000</v>
      </c>
      <c r="T123" s="220">
        <f t="shared" si="132"/>
        <v>2000</v>
      </c>
      <c r="U123" s="220">
        <f t="shared" si="133"/>
        <v>444</v>
      </c>
      <c r="V123" s="220">
        <f t="shared" si="133"/>
        <v>228</v>
      </c>
      <c r="W123" s="220">
        <f t="shared" si="133"/>
        <v>181</v>
      </c>
      <c r="X123" s="220">
        <f t="shared" si="133"/>
        <v>246</v>
      </c>
      <c r="Y123" s="220">
        <f t="shared" si="133"/>
        <v>372</v>
      </c>
      <c r="Z123" s="220">
        <v>0</v>
      </c>
      <c r="AA123" s="220">
        <v>0</v>
      </c>
      <c r="AB123" s="220">
        <v>0</v>
      </c>
      <c r="AC123" s="220">
        <v>0</v>
      </c>
      <c r="AD123" s="220">
        <v>0</v>
      </c>
      <c r="AE123" s="220">
        <f t="shared" si="134"/>
        <v>-205</v>
      </c>
      <c r="AF123" s="220">
        <f t="shared" si="134"/>
        <v>-341</v>
      </c>
      <c r="AG123" s="220">
        <f t="shared" si="134"/>
        <v>-368</v>
      </c>
      <c r="AH123" s="220">
        <f t="shared" si="134"/>
        <v>-313</v>
      </c>
      <c r="AI123" s="220">
        <f t="shared" si="134"/>
        <v>-187</v>
      </c>
      <c r="AJ123" s="50">
        <f t="shared" si="95"/>
        <v>1.3810000000000053</v>
      </c>
      <c r="AK123" s="257"/>
      <c r="AL123" s="257">
        <f t="shared" si="96"/>
        <v>1.2</v>
      </c>
      <c r="AM123" s="52"/>
      <c r="AN123" s="88"/>
    </row>
    <row r="124" spans="1:40" s="29" customFormat="1" ht="17.25" customHeight="1">
      <c r="A124" s="48">
        <v>114</v>
      </c>
      <c r="B124" s="49">
        <f t="shared" si="88"/>
        <v>45689</v>
      </c>
      <c r="C124" s="220">
        <f t="shared" si="89"/>
        <v>1049</v>
      </c>
      <c r="D124" s="220">
        <f t="shared" ref="D124" si="150">D123+32</f>
        <v>2436</v>
      </c>
      <c r="E124" s="220">
        <f t="shared" si="91"/>
        <v>3485</v>
      </c>
      <c r="F124" s="220">
        <f t="shared" si="83"/>
        <v>1042</v>
      </c>
      <c r="G124" s="220">
        <f t="shared" si="84"/>
        <v>1257</v>
      </c>
      <c r="H124" s="220">
        <f t="shared" si="85"/>
        <v>1305</v>
      </c>
      <c r="I124" s="220">
        <f t="shared" si="86"/>
        <v>1239</v>
      </c>
      <c r="J124" s="220">
        <f t="shared" si="87"/>
        <v>1114</v>
      </c>
      <c r="K124" s="220">
        <f t="shared" si="140"/>
        <v>2443</v>
      </c>
      <c r="L124" s="220">
        <f t="shared" si="140"/>
        <v>2228</v>
      </c>
      <c r="M124" s="220">
        <f t="shared" si="140"/>
        <v>2180</v>
      </c>
      <c r="N124" s="220">
        <f t="shared" si="140"/>
        <v>2246</v>
      </c>
      <c r="O124" s="220">
        <f t="shared" si="140"/>
        <v>2371</v>
      </c>
      <c r="P124" s="220">
        <f t="shared" si="132"/>
        <v>2000</v>
      </c>
      <c r="Q124" s="220">
        <f t="shared" si="132"/>
        <v>2000</v>
      </c>
      <c r="R124" s="220">
        <f t="shared" si="132"/>
        <v>2000</v>
      </c>
      <c r="S124" s="220">
        <f t="shared" si="132"/>
        <v>2000</v>
      </c>
      <c r="T124" s="220">
        <f t="shared" si="132"/>
        <v>2000</v>
      </c>
      <c r="U124" s="220">
        <f t="shared" si="133"/>
        <v>443</v>
      </c>
      <c r="V124" s="220">
        <f t="shared" si="133"/>
        <v>228</v>
      </c>
      <c r="W124" s="220">
        <f t="shared" si="133"/>
        <v>180</v>
      </c>
      <c r="X124" s="220">
        <f t="shared" si="133"/>
        <v>246</v>
      </c>
      <c r="Y124" s="220">
        <f t="shared" si="133"/>
        <v>371</v>
      </c>
      <c r="Z124" s="220">
        <v>1</v>
      </c>
      <c r="AA124" s="220">
        <v>0</v>
      </c>
      <c r="AB124" s="220">
        <v>1</v>
      </c>
      <c r="AC124" s="220">
        <v>0</v>
      </c>
      <c r="AD124" s="220">
        <v>1</v>
      </c>
      <c r="AE124" s="220">
        <f t="shared" si="134"/>
        <v>-206</v>
      </c>
      <c r="AF124" s="220">
        <f t="shared" si="134"/>
        <v>-341</v>
      </c>
      <c r="AG124" s="220">
        <f t="shared" si="134"/>
        <v>-369</v>
      </c>
      <c r="AH124" s="220">
        <f t="shared" si="134"/>
        <v>-313</v>
      </c>
      <c r="AI124" s="220">
        <f t="shared" si="134"/>
        <v>-188</v>
      </c>
      <c r="AJ124" s="50">
        <f t="shared" si="95"/>
        <v>1.3800000000000054</v>
      </c>
      <c r="AK124" s="257"/>
      <c r="AL124" s="257">
        <f t="shared" si="96"/>
        <v>1.2</v>
      </c>
      <c r="AM124" s="52"/>
      <c r="AN124" s="88"/>
    </row>
    <row r="125" spans="1:40" s="29" customFormat="1" ht="17.25" customHeight="1">
      <c r="A125" s="48">
        <v>115</v>
      </c>
      <c r="B125" s="49">
        <f t="shared" si="88"/>
        <v>45690</v>
      </c>
      <c r="C125" s="220">
        <f t="shared" si="89"/>
        <v>1049</v>
      </c>
      <c r="D125" s="220">
        <f t="shared" ref="D125" si="151">D124-18</f>
        <v>2418</v>
      </c>
      <c r="E125" s="220">
        <f t="shared" si="91"/>
        <v>3467</v>
      </c>
      <c r="F125" s="220">
        <f t="shared" si="83"/>
        <v>1025</v>
      </c>
      <c r="G125" s="220">
        <f t="shared" si="84"/>
        <v>1243</v>
      </c>
      <c r="H125" s="220">
        <f t="shared" si="85"/>
        <v>1288</v>
      </c>
      <c r="I125" s="220">
        <f t="shared" si="86"/>
        <v>1222</v>
      </c>
      <c r="J125" s="220">
        <f t="shared" si="87"/>
        <v>1097</v>
      </c>
      <c r="K125" s="220">
        <f t="shared" si="140"/>
        <v>2442</v>
      </c>
      <c r="L125" s="220">
        <f t="shared" si="140"/>
        <v>2224</v>
      </c>
      <c r="M125" s="220">
        <f t="shared" si="140"/>
        <v>2179</v>
      </c>
      <c r="N125" s="220">
        <f t="shared" si="140"/>
        <v>2245</v>
      </c>
      <c r="O125" s="220">
        <f t="shared" si="140"/>
        <v>2370</v>
      </c>
      <c r="P125" s="220">
        <f t="shared" ref="P125:T140" si="152">+P124</f>
        <v>2000</v>
      </c>
      <c r="Q125" s="220">
        <f t="shared" si="152"/>
        <v>2000</v>
      </c>
      <c r="R125" s="220">
        <f t="shared" si="152"/>
        <v>2000</v>
      </c>
      <c r="S125" s="220">
        <f t="shared" si="152"/>
        <v>2000</v>
      </c>
      <c r="T125" s="220">
        <f t="shared" si="152"/>
        <v>2000</v>
      </c>
      <c r="U125" s="220">
        <f t="shared" ref="U125:Y140" si="153">U124-Z125</f>
        <v>442</v>
      </c>
      <c r="V125" s="220">
        <f t="shared" si="153"/>
        <v>224</v>
      </c>
      <c r="W125" s="220">
        <f t="shared" si="153"/>
        <v>179</v>
      </c>
      <c r="X125" s="220">
        <f t="shared" si="153"/>
        <v>245</v>
      </c>
      <c r="Y125" s="220">
        <f t="shared" si="153"/>
        <v>370</v>
      </c>
      <c r="Z125" s="220">
        <v>1</v>
      </c>
      <c r="AA125" s="220">
        <v>4</v>
      </c>
      <c r="AB125" s="220">
        <v>1</v>
      </c>
      <c r="AC125" s="220">
        <v>1</v>
      </c>
      <c r="AD125" s="220">
        <v>1</v>
      </c>
      <c r="AE125" s="220">
        <f t="shared" ref="AE125:AI140" si="154">AE124-Z125</f>
        <v>-207</v>
      </c>
      <c r="AF125" s="220">
        <f t="shared" si="154"/>
        <v>-345</v>
      </c>
      <c r="AG125" s="220">
        <f t="shared" si="154"/>
        <v>-370</v>
      </c>
      <c r="AH125" s="220">
        <f t="shared" si="154"/>
        <v>-314</v>
      </c>
      <c r="AI125" s="220">
        <f t="shared" si="154"/>
        <v>-189</v>
      </c>
      <c r="AJ125" s="50">
        <f t="shared" si="95"/>
        <v>1.3790000000000056</v>
      </c>
      <c r="AK125" s="257"/>
      <c r="AL125" s="257">
        <f t="shared" si="96"/>
        <v>1.2</v>
      </c>
      <c r="AM125" s="52"/>
      <c r="AN125" s="88"/>
    </row>
    <row r="126" spans="1:40" s="29" customFormat="1" ht="17.25" customHeight="1">
      <c r="A126" s="48">
        <v>116</v>
      </c>
      <c r="B126" s="49">
        <f t="shared" si="88"/>
        <v>45691</v>
      </c>
      <c r="C126" s="220">
        <f t="shared" si="89"/>
        <v>1049</v>
      </c>
      <c r="D126" s="220">
        <f t="shared" ref="D126" si="155">D125-26</f>
        <v>2392</v>
      </c>
      <c r="E126" s="220">
        <f t="shared" si="91"/>
        <v>3441</v>
      </c>
      <c r="F126" s="220">
        <f t="shared" si="83"/>
        <v>999</v>
      </c>
      <c r="G126" s="220">
        <f t="shared" si="84"/>
        <v>1217</v>
      </c>
      <c r="H126" s="220">
        <f t="shared" si="85"/>
        <v>1262</v>
      </c>
      <c r="I126" s="220">
        <f t="shared" si="86"/>
        <v>1196</v>
      </c>
      <c r="J126" s="220">
        <f t="shared" si="87"/>
        <v>1071</v>
      </c>
      <c r="K126" s="220">
        <f t="shared" si="140"/>
        <v>2442</v>
      </c>
      <c r="L126" s="220">
        <f t="shared" si="140"/>
        <v>2224</v>
      </c>
      <c r="M126" s="220">
        <f t="shared" si="140"/>
        <v>2179</v>
      </c>
      <c r="N126" s="220">
        <f t="shared" si="140"/>
        <v>2245</v>
      </c>
      <c r="O126" s="220">
        <f t="shared" si="140"/>
        <v>2370</v>
      </c>
      <c r="P126" s="220">
        <f t="shared" si="152"/>
        <v>2000</v>
      </c>
      <c r="Q126" s="220">
        <f t="shared" si="152"/>
        <v>2000</v>
      </c>
      <c r="R126" s="220">
        <f t="shared" si="152"/>
        <v>2000</v>
      </c>
      <c r="S126" s="220">
        <f t="shared" si="152"/>
        <v>2000</v>
      </c>
      <c r="T126" s="220">
        <f t="shared" si="152"/>
        <v>2000</v>
      </c>
      <c r="U126" s="220">
        <f t="shared" si="153"/>
        <v>442</v>
      </c>
      <c r="V126" s="220">
        <f t="shared" si="153"/>
        <v>224</v>
      </c>
      <c r="W126" s="220">
        <f t="shared" si="153"/>
        <v>179</v>
      </c>
      <c r="X126" s="220">
        <f t="shared" si="153"/>
        <v>245</v>
      </c>
      <c r="Y126" s="220">
        <f t="shared" si="153"/>
        <v>370</v>
      </c>
      <c r="Z126" s="220">
        <v>0</v>
      </c>
      <c r="AA126" s="220">
        <v>0</v>
      </c>
      <c r="AB126" s="220">
        <v>0</v>
      </c>
      <c r="AC126" s="220">
        <v>0</v>
      </c>
      <c r="AD126" s="220">
        <v>0</v>
      </c>
      <c r="AE126" s="220">
        <f t="shared" si="154"/>
        <v>-207</v>
      </c>
      <c r="AF126" s="220">
        <f t="shared" si="154"/>
        <v>-345</v>
      </c>
      <c r="AG126" s="220">
        <f t="shared" si="154"/>
        <v>-370</v>
      </c>
      <c r="AH126" s="220">
        <f t="shared" si="154"/>
        <v>-314</v>
      </c>
      <c r="AI126" s="220">
        <f t="shared" si="154"/>
        <v>-189</v>
      </c>
      <c r="AJ126" s="50">
        <f t="shared" si="95"/>
        <v>1.3790000000000056</v>
      </c>
      <c r="AK126" s="257"/>
      <c r="AL126" s="257">
        <f t="shared" si="96"/>
        <v>1.2</v>
      </c>
      <c r="AM126" s="52"/>
      <c r="AN126" s="88"/>
    </row>
    <row r="127" spans="1:40" s="29" customFormat="1" ht="17.25" customHeight="1">
      <c r="A127" s="48">
        <v>117</v>
      </c>
      <c r="B127" s="49">
        <f t="shared" si="88"/>
        <v>45692</v>
      </c>
      <c r="C127" s="220">
        <f t="shared" si="89"/>
        <v>1049</v>
      </c>
      <c r="D127" s="220">
        <f t="shared" ref="D127" si="156">D126+15</f>
        <v>2407</v>
      </c>
      <c r="E127" s="220">
        <f t="shared" si="91"/>
        <v>3456</v>
      </c>
      <c r="F127" s="220">
        <f t="shared" si="83"/>
        <v>1015</v>
      </c>
      <c r="G127" s="220">
        <f t="shared" si="84"/>
        <v>1232</v>
      </c>
      <c r="H127" s="220">
        <f t="shared" si="85"/>
        <v>1280</v>
      </c>
      <c r="I127" s="220">
        <f t="shared" si="86"/>
        <v>1211</v>
      </c>
      <c r="J127" s="220">
        <f t="shared" si="87"/>
        <v>1086</v>
      </c>
      <c r="K127" s="220">
        <f t="shared" si="140"/>
        <v>2441</v>
      </c>
      <c r="L127" s="220">
        <f t="shared" si="140"/>
        <v>2224</v>
      </c>
      <c r="M127" s="220">
        <f t="shared" si="140"/>
        <v>2176</v>
      </c>
      <c r="N127" s="220">
        <f t="shared" si="140"/>
        <v>2245</v>
      </c>
      <c r="O127" s="220">
        <f t="shared" si="140"/>
        <v>2370</v>
      </c>
      <c r="P127" s="220">
        <f t="shared" si="152"/>
        <v>2000</v>
      </c>
      <c r="Q127" s="220">
        <f t="shared" si="152"/>
        <v>2000</v>
      </c>
      <c r="R127" s="220">
        <f t="shared" si="152"/>
        <v>2000</v>
      </c>
      <c r="S127" s="220">
        <f t="shared" si="152"/>
        <v>2000</v>
      </c>
      <c r="T127" s="220">
        <f t="shared" si="152"/>
        <v>2000</v>
      </c>
      <c r="U127" s="220">
        <f t="shared" si="153"/>
        <v>441</v>
      </c>
      <c r="V127" s="220">
        <f t="shared" si="153"/>
        <v>224</v>
      </c>
      <c r="W127" s="220">
        <f t="shared" si="153"/>
        <v>176</v>
      </c>
      <c r="X127" s="220">
        <f t="shared" si="153"/>
        <v>245</v>
      </c>
      <c r="Y127" s="220">
        <f t="shared" si="153"/>
        <v>370</v>
      </c>
      <c r="Z127" s="220">
        <v>1</v>
      </c>
      <c r="AA127" s="220">
        <v>0</v>
      </c>
      <c r="AB127" s="220">
        <v>3</v>
      </c>
      <c r="AC127" s="220">
        <v>0</v>
      </c>
      <c r="AD127" s="220">
        <v>0</v>
      </c>
      <c r="AE127" s="220">
        <f t="shared" si="154"/>
        <v>-208</v>
      </c>
      <c r="AF127" s="220">
        <f t="shared" si="154"/>
        <v>-345</v>
      </c>
      <c r="AG127" s="220">
        <f t="shared" si="154"/>
        <v>-373</v>
      </c>
      <c r="AH127" s="220">
        <f t="shared" si="154"/>
        <v>-314</v>
      </c>
      <c r="AI127" s="220">
        <f t="shared" si="154"/>
        <v>-189</v>
      </c>
      <c r="AJ127" s="50">
        <f t="shared" si="95"/>
        <v>1.3760000000000057</v>
      </c>
      <c r="AK127" s="257"/>
      <c r="AL127" s="257">
        <f t="shared" si="96"/>
        <v>1.2</v>
      </c>
      <c r="AM127" s="52"/>
      <c r="AN127" s="88"/>
    </row>
    <row r="128" spans="1:40" s="29" customFormat="1" ht="17.25" customHeight="1">
      <c r="A128" s="48">
        <v>118</v>
      </c>
      <c r="B128" s="49">
        <f t="shared" si="88"/>
        <v>45693</v>
      </c>
      <c r="C128" s="220">
        <f t="shared" si="89"/>
        <v>1049</v>
      </c>
      <c r="D128" s="220">
        <f t="shared" ref="D128" si="157">D127+26</f>
        <v>2433</v>
      </c>
      <c r="E128" s="220">
        <f t="shared" si="91"/>
        <v>3482</v>
      </c>
      <c r="F128" s="220">
        <f t="shared" si="83"/>
        <v>1042</v>
      </c>
      <c r="G128" s="220">
        <f t="shared" si="84"/>
        <v>1261</v>
      </c>
      <c r="H128" s="220">
        <f t="shared" si="85"/>
        <v>1307</v>
      </c>
      <c r="I128" s="220">
        <f t="shared" si="86"/>
        <v>1240</v>
      </c>
      <c r="J128" s="220">
        <f t="shared" si="87"/>
        <v>1113</v>
      </c>
      <c r="K128" s="220">
        <f t="shared" si="140"/>
        <v>2440</v>
      </c>
      <c r="L128" s="220">
        <f t="shared" si="140"/>
        <v>2221</v>
      </c>
      <c r="M128" s="220">
        <f t="shared" si="140"/>
        <v>2175</v>
      </c>
      <c r="N128" s="220">
        <f t="shared" si="140"/>
        <v>2242</v>
      </c>
      <c r="O128" s="220">
        <f t="shared" si="140"/>
        <v>2369</v>
      </c>
      <c r="P128" s="220">
        <f t="shared" si="152"/>
        <v>2000</v>
      </c>
      <c r="Q128" s="220">
        <f t="shared" si="152"/>
        <v>2000</v>
      </c>
      <c r="R128" s="220">
        <f t="shared" si="152"/>
        <v>2000</v>
      </c>
      <c r="S128" s="220">
        <f t="shared" si="152"/>
        <v>2000</v>
      </c>
      <c r="T128" s="220">
        <f t="shared" si="152"/>
        <v>2000</v>
      </c>
      <c r="U128" s="220">
        <f t="shared" si="153"/>
        <v>440</v>
      </c>
      <c r="V128" s="220">
        <f t="shared" si="153"/>
        <v>221</v>
      </c>
      <c r="W128" s="220">
        <f t="shared" si="153"/>
        <v>175</v>
      </c>
      <c r="X128" s="220">
        <f t="shared" si="153"/>
        <v>242</v>
      </c>
      <c r="Y128" s="220">
        <f t="shared" si="153"/>
        <v>369</v>
      </c>
      <c r="Z128" s="220">
        <v>1</v>
      </c>
      <c r="AA128" s="220">
        <v>3</v>
      </c>
      <c r="AB128" s="220">
        <v>1</v>
      </c>
      <c r="AC128" s="220">
        <v>3</v>
      </c>
      <c r="AD128" s="220">
        <v>1</v>
      </c>
      <c r="AE128" s="220">
        <f t="shared" si="154"/>
        <v>-209</v>
      </c>
      <c r="AF128" s="220">
        <f t="shared" si="154"/>
        <v>-348</v>
      </c>
      <c r="AG128" s="220">
        <f t="shared" si="154"/>
        <v>-374</v>
      </c>
      <c r="AH128" s="220">
        <f t="shared" si="154"/>
        <v>-317</v>
      </c>
      <c r="AI128" s="220">
        <f t="shared" si="154"/>
        <v>-190</v>
      </c>
      <c r="AJ128" s="50">
        <f t="shared" si="95"/>
        <v>1.3750000000000058</v>
      </c>
      <c r="AK128" s="257"/>
      <c r="AL128" s="257">
        <f t="shared" si="96"/>
        <v>1.2</v>
      </c>
      <c r="AM128" s="52"/>
      <c r="AN128" s="88"/>
    </row>
    <row r="129" spans="1:40" s="29" customFormat="1" ht="17.25" customHeight="1">
      <c r="A129" s="48">
        <v>119</v>
      </c>
      <c r="B129" s="49">
        <f t="shared" si="88"/>
        <v>45694</v>
      </c>
      <c r="C129" s="220">
        <f t="shared" si="89"/>
        <v>1049</v>
      </c>
      <c r="D129" s="220">
        <f t="shared" ref="D129" si="158">D128+32</f>
        <v>2465</v>
      </c>
      <c r="E129" s="220">
        <f t="shared" si="91"/>
        <v>3514</v>
      </c>
      <c r="F129" s="220">
        <f t="shared" si="83"/>
        <v>1074</v>
      </c>
      <c r="G129" s="220">
        <f t="shared" si="84"/>
        <v>1293</v>
      </c>
      <c r="H129" s="220">
        <f t="shared" si="85"/>
        <v>1342</v>
      </c>
      <c r="I129" s="220">
        <f t="shared" si="86"/>
        <v>1272</v>
      </c>
      <c r="J129" s="220">
        <f t="shared" si="87"/>
        <v>1146</v>
      </c>
      <c r="K129" s="220">
        <f t="shared" si="140"/>
        <v>2440</v>
      </c>
      <c r="L129" s="220">
        <f t="shared" si="140"/>
        <v>2221</v>
      </c>
      <c r="M129" s="220">
        <f t="shared" si="140"/>
        <v>2172</v>
      </c>
      <c r="N129" s="220">
        <f t="shared" si="140"/>
        <v>2242</v>
      </c>
      <c r="O129" s="220">
        <f t="shared" si="140"/>
        <v>2368</v>
      </c>
      <c r="P129" s="220">
        <f t="shared" si="152"/>
        <v>2000</v>
      </c>
      <c r="Q129" s="220">
        <f t="shared" si="152"/>
        <v>2000</v>
      </c>
      <c r="R129" s="220">
        <f t="shared" si="152"/>
        <v>2000</v>
      </c>
      <c r="S129" s="220">
        <f t="shared" si="152"/>
        <v>2000</v>
      </c>
      <c r="T129" s="220">
        <f t="shared" si="152"/>
        <v>2000</v>
      </c>
      <c r="U129" s="220">
        <f t="shared" si="153"/>
        <v>440</v>
      </c>
      <c r="V129" s="220">
        <f t="shared" si="153"/>
        <v>221</v>
      </c>
      <c r="W129" s="220">
        <f t="shared" si="153"/>
        <v>172</v>
      </c>
      <c r="X129" s="220">
        <f t="shared" si="153"/>
        <v>242</v>
      </c>
      <c r="Y129" s="220">
        <f t="shared" si="153"/>
        <v>368</v>
      </c>
      <c r="Z129" s="220">
        <v>0</v>
      </c>
      <c r="AA129" s="220">
        <v>0</v>
      </c>
      <c r="AB129" s="220">
        <v>3</v>
      </c>
      <c r="AC129" s="220">
        <v>0</v>
      </c>
      <c r="AD129" s="220">
        <v>1</v>
      </c>
      <c r="AE129" s="220">
        <f t="shared" si="154"/>
        <v>-209</v>
      </c>
      <c r="AF129" s="220">
        <f t="shared" si="154"/>
        <v>-348</v>
      </c>
      <c r="AG129" s="220">
        <f t="shared" si="154"/>
        <v>-377</v>
      </c>
      <c r="AH129" s="220">
        <f t="shared" si="154"/>
        <v>-317</v>
      </c>
      <c r="AI129" s="220">
        <f t="shared" si="154"/>
        <v>-191</v>
      </c>
      <c r="AJ129" s="50">
        <f t="shared" si="95"/>
        <v>1.3720000000000059</v>
      </c>
      <c r="AK129" s="257"/>
      <c r="AL129" s="257">
        <f t="shared" si="96"/>
        <v>1.2</v>
      </c>
      <c r="AM129" s="52"/>
      <c r="AN129" s="88"/>
    </row>
    <row r="130" spans="1:40" s="29" customFormat="1" ht="17.25" customHeight="1">
      <c r="A130" s="48">
        <v>120</v>
      </c>
      <c r="B130" s="49">
        <f t="shared" si="88"/>
        <v>45695</v>
      </c>
      <c r="C130" s="220">
        <f t="shared" si="89"/>
        <v>1049</v>
      </c>
      <c r="D130" s="220">
        <f t="shared" ref="D130" si="159">D129-18</f>
        <v>2447</v>
      </c>
      <c r="E130" s="220">
        <f t="shared" si="91"/>
        <v>3496</v>
      </c>
      <c r="F130" s="220">
        <f t="shared" si="83"/>
        <v>1057</v>
      </c>
      <c r="G130" s="220">
        <f t="shared" si="84"/>
        <v>1275</v>
      </c>
      <c r="H130" s="220">
        <f t="shared" si="85"/>
        <v>1325</v>
      </c>
      <c r="I130" s="220">
        <f t="shared" si="86"/>
        <v>1258</v>
      </c>
      <c r="J130" s="220">
        <f t="shared" si="87"/>
        <v>1128</v>
      </c>
      <c r="K130" s="220">
        <f t="shared" si="140"/>
        <v>2439</v>
      </c>
      <c r="L130" s="220">
        <f t="shared" si="140"/>
        <v>2221</v>
      </c>
      <c r="M130" s="220">
        <f t="shared" si="140"/>
        <v>2171</v>
      </c>
      <c r="N130" s="220">
        <f t="shared" si="140"/>
        <v>2238</v>
      </c>
      <c r="O130" s="220">
        <f t="shared" si="140"/>
        <v>2368</v>
      </c>
      <c r="P130" s="220">
        <f t="shared" si="152"/>
        <v>2000</v>
      </c>
      <c r="Q130" s="220">
        <f t="shared" si="152"/>
        <v>2000</v>
      </c>
      <c r="R130" s="220">
        <f t="shared" si="152"/>
        <v>2000</v>
      </c>
      <c r="S130" s="220">
        <f t="shared" si="152"/>
        <v>2000</v>
      </c>
      <c r="T130" s="220">
        <f t="shared" si="152"/>
        <v>2000</v>
      </c>
      <c r="U130" s="220">
        <f t="shared" si="153"/>
        <v>439</v>
      </c>
      <c r="V130" s="220">
        <f t="shared" si="153"/>
        <v>221</v>
      </c>
      <c r="W130" s="220">
        <f t="shared" si="153"/>
        <v>171</v>
      </c>
      <c r="X130" s="220">
        <f t="shared" si="153"/>
        <v>238</v>
      </c>
      <c r="Y130" s="220">
        <f t="shared" si="153"/>
        <v>368</v>
      </c>
      <c r="Z130" s="220">
        <v>1</v>
      </c>
      <c r="AA130" s="220">
        <v>0</v>
      </c>
      <c r="AB130" s="220">
        <v>1</v>
      </c>
      <c r="AC130" s="220">
        <v>4</v>
      </c>
      <c r="AD130" s="220">
        <v>0</v>
      </c>
      <c r="AE130" s="220">
        <f t="shared" si="154"/>
        <v>-210</v>
      </c>
      <c r="AF130" s="220">
        <f t="shared" si="154"/>
        <v>-348</v>
      </c>
      <c r="AG130" s="220">
        <f t="shared" si="154"/>
        <v>-378</v>
      </c>
      <c r="AH130" s="220">
        <f t="shared" si="154"/>
        <v>-321</v>
      </c>
      <c r="AI130" s="220">
        <f t="shared" si="154"/>
        <v>-191</v>
      </c>
      <c r="AJ130" s="50">
        <f t="shared" si="95"/>
        <v>1.371000000000006</v>
      </c>
      <c r="AK130" s="257"/>
      <c r="AL130" s="257">
        <f t="shared" si="96"/>
        <v>1.2</v>
      </c>
      <c r="AM130" s="52"/>
      <c r="AN130" s="88"/>
    </row>
    <row r="131" spans="1:40" s="29" customFormat="1" ht="17.25" customHeight="1">
      <c r="A131" s="48">
        <v>121</v>
      </c>
      <c r="B131" s="49">
        <f t="shared" si="88"/>
        <v>45696</v>
      </c>
      <c r="C131" s="220">
        <f t="shared" si="89"/>
        <v>1049</v>
      </c>
      <c r="D131" s="220">
        <f t="shared" ref="D131" si="160">D130-26</f>
        <v>2421</v>
      </c>
      <c r="E131" s="220">
        <f t="shared" si="91"/>
        <v>3470</v>
      </c>
      <c r="F131" s="220">
        <f t="shared" si="83"/>
        <v>1031</v>
      </c>
      <c r="G131" s="220">
        <f t="shared" si="84"/>
        <v>1250</v>
      </c>
      <c r="H131" s="220">
        <f t="shared" si="85"/>
        <v>1299</v>
      </c>
      <c r="I131" s="220">
        <f t="shared" si="86"/>
        <v>1233</v>
      </c>
      <c r="J131" s="220">
        <f t="shared" si="87"/>
        <v>1102</v>
      </c>
      <c r="K131" s="220">
        <f t="shared" si="140"/>
        <v>2439</v>
      </c>
      <c r="L131" s="220">
        <f t="shared" si="140"/>
        <v>2220</v>
      </c>
      <c r="M131" s="220">
        <f t="shared" si="140"/>
        <v>2171</v>
      </c>
      <c r="N131" s="220">
        <f t="shared" si="140"/>
        <v>2237</v>
      </c>
      <c r="O131" s="220">
        <f t="shared" si="140"/>
        <v>2368</v>
      </c>
      <c r="P131" s="220">
        <f t="shared" si="152"/>
        <v>2000</v>
      </c>
      <c r="Q131" s="220">
        <f t="shared" si="152"/>
        <v>2000</v>
      </c>
      <c r="R131" s="220">
        <f t="shared" si="152"/>
        <v>2000</v>
      </c>
      <c r="S131" s="220">
        <f t="shared" si="152"/>
        <v>2000</v>
      </c>
      <c r="T131" s="220">
        <f t="shared" si="152"/>
        <v>2000</v>
      </c>
      <c r="U131" s="220">
        <f t="shared" si="153"/>
        <v>439</v>
      </c>
      <c r="V131" s="220">
        <f t="shared" si="153"/>
        <v>220</v>
      </c>
      <c r="W131" s="220">
        <f t="shared" si="153"/>
        <v>171</v>
      </c>
      <c r="X131" s="220">
        <f t="shared" si="153"/>
        <v>237</v>
      </c>
      <c r="Y131" s="220">
        <f t="shared" si="153"/>
        <v>368</v>
      </c>
      <c r="Z131" s="220">
        <v>0</v>
      </c>
      <c r="AA131" s="220">
        <v>1</v>
      </c>
      <c r="AB131" s="220">
        <v>0</v>
      </c>
      <c r="AC131" s="220">
        <v>1</v>
      </c>
      <c r="AD131" s="220">
        <v>0</v>
      </c>
      <c r="AE131" s="220">
        <f t="shared" si="154"/>
        <v>-210</v>
      </c>
      <c r="AF131" s="220">
        <f t="shared" si="154"/>
        <v>-349</v>
      </c>
      <c r="AG131" s="220">
        <f t="shared" si="154"/>
        <v>-378</v>
      </c>
      <c r="AH131" s="220">
        <f t="shared" si="154"/>
        <v>-322</v>
      </c>
      <c r="AI131" s="220">
        <f t="shared" si="154"/>
        <v>-191</v>
      </c>
      <c r="AJ131" s="50">
        <f t="shared" si="95"/>
        <v>1.371000000000006</v>
      </c>
      <c r="AK131" s="257"/>
      <c r="AL131" s="257">
        <f t="shared" si="96"/>
        <v>1.2</v>
      </c>
      <c r="AM131" s="52"/>
      <c r="AN131" s="88"/>
    </row>
    <row r="132" spans="1:40" s="29" customFormat="1" ht="17.25" customHeight="1">
      <c r="A132" s="48">
        <v>122</v>
      </c>
      <c r="B132" s="49">
        <f t="shared" si="88"/>
        <v>45697</v>
      </c>
      <c r="C132" s="220">
        <f t="shared" si="89"/>
        <v>1049</v>
      </c>
      <c r="D132" s="220">
        <f t="shared" ref="D132" si="161">D131+15</f>
        <v>2436</v>
      </c>
      <c r="E132" s="220">
        <f t="shared" si="91"/>
        <v>3485</v>
      </c>
      <c r="F132" s="220">
        <f t="shared" si="83"/>
        <v>1046</v>
      </c>
      <c r="G132" s="220">
        <f t="shared" si="84"/>
        <v>1265</v>
      </c>
      <c r="H132" s="220">
        <f t="shared" si="85"/>
        <v>1318</v>
      </c>
      <c r="I132" s="220">
        <f t="shared" si="86"/>
        <v>1248</v>
      </c>
      <c r="J132" s="220">
        <f t="shared" si="87"/>
        <v>1117</v>
      </c>
      <c r="K132" s="220">
        <f t="shared" si="140"/>
        <v>2439</v>
      </c>
      <c r="L132" s="220">
        <f t="shared" si="140"/>
        <v>2220</v>
      </c>
      <c r="M132" s="220">
        <f t="shared" si="140"/>
        <v>2167</v>
      </c>
      <c r="N132" s="220">
        <f t="shared" si="140"/>
        <v>2237</v>
      </c>
      <c r="O132" s="220">
        <f t="shared" si="140"/>
        <v>2368</v>
      </c>
      <c r="P132" s="220">
        <f t="shared" si="152"/>
        <v>2000</v>
      </c>
      <c r="Q132" s="220">
        <f t="shared" si="152"/>
        <v>2000</v>
      </c>
      <c r="R132" s="220">
        <f t="shared" si="152"/>
        <v>2000</v>
      </c>
      <c r="S132" s="220">
        <f t="shared" si="152"/>
        <v>2000</v>
      </c>
      <c r="T132" s="220">
        <f t="shared" si="152"/>
        <v>2000</v>
      </c>
      <c r="U132" s="220">
        <f t="shared" si="153"/>
        <v>439</v>
      </c>
      <c r="V132" s="220">
        <f t="shared" si="153"/>
        <v>220</v>
      </c>
      <c r="W132" s="220">
        <f t="shared" si="153"/>
        <v>167</v>
      </c>
      <c r="X132" s="220">
        <f t="shared" si="153"/>
        <v>237</v>
      </c>
      <c r="Y132" s="220">
        <f t="shared" si="153"/>
        <v>368</v>
      </c>
      <c r="Z132" s="220">
        <v>0</v>
      </c>
      <c r="AA132" s="220">
        <v>0</v>
      </c>
      <c r="AB132" s="220">
        <v>4</v>
      </c>
      <c r="AC132" s="220">
        <v>0</v>
      </c>
      <c r="AD132" s="220">
        <v>0</v>
      </c>
      <c r="AE132" s="220">
        <f t="shared" si="154"/>
        <v>-210</v>
      </c>
      <c r="AF132" s="220">
        <f t="shared" si="154"/>
        <v>-349</v>
      </c>
      <c r="AG132" s="220">
        <f t="shared" si="154"/>
        <v>-382</v>
      </c>
      <c r="AH132" s="220">
        <f t="shared" si="154"/>
        <v>-322</v>
      </c>
      <c r="AI132" s="220">
        <f t="shared" si="154"/>
        <v>-191</v>
      </c>
      <c r="AJ132" s="50">
        <f t="shared" si="95"/>
        <v>1.367000000000006</v>
      </c>
      <c r="AK132" s="257"/>
      <c r="AL132" s="257">
        <f t="shared" si="96"/>
        <v>1.2</v>
      </c>
      <c r="AM132" s="52"/>
      <c r="AN132" s="88"/>
    </row>
    <row r="133" spans="1:40" s="29" customFormat="1" ht="17.25" customHeight="1">
      <c r="A133" s="48">
        <v>123</v>
      </c>
      <c r="B133" s="49">
        <f t="shared" si="88"/>
        <v>45698</v>
      </c>
      <c r="C133" s="220">
        <f t="shared" si="89"/>
        <v>1049</v>
      </c>
      <c r="D133" s="220">
        <f t="shared" ref="D133" si="162">D132+26</f>
        <v>2462</v>
      </c>
      <c r="E133" s="220">
        <f t="shared" si="91"/>
        <v>3511</v>
      </c>
      <c r="F133" s="220">
        <f t="shared" si="83"/>
        <v>1073</v>
      </c>
      <c r="G133" s="220">
        <f t="shared" si="84"/>
        <v>1295</v>
      </c>
      <c r="H133" s="220">
        <f t="shared" si="85"/>
        <v>1345</v>
      </c>
      <c r="I133" s="220">
        <f t="shared" si="86"/>
        <v>1277</v>
      </c>
      <c r="J133" s="220">
        <f t="shared" si="87"/>
        <v>1143</v>
      </c>
      <c r="K133" s="220">
        <f t="shared" si="140"/>
        <v>2438</v>
      </c>
      <c r="L133" s="220">
        <f t="shared" si="140"/>
        <v>2216</v>
      </c>
      <c r="M133" s="220">
        <f t="shared" si="140"/>
        <v>2166</v>
      </c>
      <c r="N133" s="220">
        <f t="shared" si="140"/>
        <v>2234</v>
      </c>
      <c r="O133" s="220">
        <f t="shared" si="140"/>
        <v>2368</v>
      </c>
      <c r="P133" s="220">
        <f t="shared" si="152"/>
        <v>2000</v>
      </c>
      <c r="Q133" s="220">
        <f t="shared" si="152"/>
        <v>2000</v>
      </c>
      <c r="R133" s="220">
        <f t="shared" si="152"/>
        <v>2000</v>
      </c>
      <c r="S133" s="220">
        <f t="shared" si="152"/>
        <v>2000</v>
      </c>
      <c r="T133" s="220">
        <f t="shared" si="152"/>
        <v>2000</v>
      </c>
      <c r="U133" s="220">
        <f t="shared" si="153"/>
        <v>438</v>
      </c>
      <c r="V133" s="220">
        <f t="shared" si="153"/>
        <v>216</v>
      </c>
      <c r="W133" s="220">
        <f t="shared" si="153"/>
        <v>166</v>
      </c>
      <c r="X133" s="220">
        <f t="shared" si="153"/>
        <v>234</v>
      </c>
      <c r="Y133" s="220">
        <f t="shared" si="153"/>
        <v>368</v>
      </c>
      <c r="Z133" s="220">
        <v>1</v>
      </c>
      <c r="AA133" s="220">
        <v>4</v>
      </c>
      <c r="AB133" s="220">
        <v>1</v>
      </c>
      <c r="AC133" s="220">
        <v>3</v>
      </c>
      <c r="AD133" s="220">
        <v>0</v>
      </c>
      <c r="AE133" s="220">
        <f t="shared" si="154"/>
        <v>-211</v>
      </c>
      <c r="AF133" s="220">
        <f t="shared" si="154"/>
        <v>-353</v>
      </c>
      <c r="AG133" s="220">
        <f t="shared" si="154"/>
        <v>-383</v>
      </c>
      <c r="AH133" s="220">
        <f t="shared" si="154"/>
        <v>-325</v>
      </c>
      <c r="AI133" s="220">
        <f t="shared" si="154"/>
        <v>-191</v>
      </c>
      <c r="AJ133" s="50">
        <f t="shared" si="95"/>
        <v>1.3660000000000061</v>
      </c>
      <c r="AK133" s="257"/>
      <c r="AL133" s="257">
        <f t="shared" si="96"/>
        <v>1.2</v>
      </c>
      <c r="AM133" s="52"/>
      <c r="AN133" s="88"/>
    </row>
    <row r="134" spans="1:40" s="29" customFormat="1" ht="17.25" customHeight="1">
      <c r="A134" s="48">
        <v>124</v>
      </c>
      <c r="B134" s="49">
        <f t="shared" si="88"/>
        <v>45699</v>
      </c>
      <c r="C134" s="220">
        <f t="shared" si="89"/>
        <v>1049</v>
      </c>
      <c r="D134" s="220">
        <f t="shared" ref="D134" si="163">D133+32</f>
        <v>2494</v>
      </c>
      <c r="E134" s="220">
        <f t="shared" si="91"/>
        <v>3543</v>
      </c>
      <c r="F134" s="220">
        <f t="shared" si="83"/>
        <v>1105</v>
      </c>
      <c r="G134" s="220">
        <f t="shared" si="84"/>
        <v>1327</v>
      </c>
      <c r="H134" s="220">
        <f t="shared" si="85"/>
        <v>1377</v>
      </c>
      <c r="I134" s="220">
        <f t="shared" si="86"/>
        <v>1309</v>
      </c>
      <c r="J134" s="220">
        <f t="shared" si="87"/>
        <v>1176</v>
      </c>
      <c r="K134" s="220">
        <f t="shared" si="140"/>
        <v>2438</v>
      </c>
      <c r="L134" s="220">
        <f t="shared" si="140"/>
        <v>2216</v>
      </c>
      <c r="M134" s="220">
        <f t="shared" si="140"/>
        <v>2166</v>
      </c>
      <c r="N134" s="220">
        <f t="shared" si="140"/>
        <v>2234</v>
      </c>
      <c r="O134" s="220">
        <f t="shared" si="140"/>
        <v>2367</v>
      </c>
      <c r="P134" s="220">
        <f t="shared" si="152"/>
        <v>2000</v>
      </c>
      <c r="Q134" s="220">
        <f t="shared" si="152"/>
        <v>2000</v>
      </c>
      <c r="R134" s="220">
        <f t="shared" si="152"/>
        <v>2000</v>
      </c>
      <c r="S134" s="220">
        <f t="shared" si="152"/>
        <v>2000</v>
      </c>
      <c r="T134" s="220">
        <f t="shared" si="152"/>
        <v>2000</v>
      </c>
      <c r="U134" s="220">
        <f t="shared" si="153"/>
        <v>438</v>
      </c>
      <c r="V134" s="220">
        <f t="shared" si="153"/>
        <v>216</v>
      </c>
      <c r="W134" s="220">
        <f t="shared" si="153"/>
        <v>166</v>
      </c>
      <c r="X134" s="220">
        <f t="shared" si="153"/>
        <v>234</v>
      </c>
      <c r="Y134" s="220">
        <f t="shared" si="153"/>
        <v>367</v>
      </c>
      <c r="Z134" s="220">
        <v>0</v>
      </c>
      <c r="AA134" s="220">
        <v>0</v>
      </c>
      <c r="AB134" s="220">
        <v>0</v>
      </c>
      <c r="AC134" s="220">
        <v>0</v>
      </c>
      <c r="AD134" s="220">
        <v>1</v>
      </c>
      <c r="AE134" s="220">
        <f t="shared" si="154"/>
        <v>-211</v>
      </c>
      <c r="AF134" s="220">
        <f t="shared" si="154"/>
        <v>-353</v>
      </c>
      <c r="AG134" s="220">
        <f t="shared" si="154"/>
        <v>-383</v>
      </c>
      <c r="AH134" s="220">
        <f t="shared" si="154"/>
        <v>-325</v>
      </c>
      <c r="AI134" s="220">
        <f t="shared" si="154"/>
        <v>-192</v>
      </c>
      <c r="AJ134" s="50">
        <f t="shared" si="95"/>
        <v>1.3660000000000061</v>
      </c>
      <c r="AK134" s="257"/>
      <c r="AL134" s="257">
        <f t="shared" si="96"/>
        <v>1.2</v>
      </c>
      <c r="AM134" s="52"/>
      <c r="AN134" s="88"/>
    </row>
    <row r="135" spans="1:40" s="29" customFormat="1" ht="17.25" customHeight="1">
      <c r="A135" s="48">
        <v>125</v>
      </c>
      <c r="B135" s="49">
        <f t="shared" si="88"/>
        <v>45700</v>
      </c>
      <c r="C135" s="220">
        <f t="shared" si="89"/>
        <v>1049</v>
      </c>
      <c r="D135" s="220">
        <f t="shared" ref="D135" si="164">D134-18</f>
        <v>2476</v>
      </c>
      <c r="E135" s="220">
        <f t="shared" si="91"/>
        <v>3525</v>
      </c>
      <c r="F135" s="220">
        <f t="shared" si="83"/>
        <v>1087</v>
      </c>
      <c r="G135" s="220">
        <f t="shared" si="84"/>
        <v>1309</v>
      </c>
      <c r="H135" s="220">
        <f t="shared" si="85"/>
        <v>1362</v>
      </c>
      <c r="I135" s="220">
        <f t="shared" si="86"/>
        <v>1291</v>
      </c>
      <c r="J135" s="220">
        <f t="shared" si="87"/>
        <v>1158</v>
      </c>
      <c r="K135" s="220">
        <f t="shared" si="140"/>
        <v>2438</v>
      </c>
      <c r="L135" s="220">
        <f t="shared" si="140"/>
        <v>2216</v>
      </c>
      <c r="M135" s="220">
        <f t="shared" si="140"/>
        <v>2163</v>
      </c>
      <c r="N135" s="220">
        <f t="shared" si="140"/>
        <v>2234</v>
      </c>
      <c r="O135" s="220">
        <f t="shared" si="140"/>
        <v>2367</v>
      </c>
      <c r="P135" s="220">
        <f t="shared" si="152"/>
        <v>2000</v>
      </c>
      <c r="Q135" s="220">
        <f t="shared" si="152"/>
        <v>2000</v>
      </c>
      <c r="R135" s="220">
        <f t="shared" si="152"/>
        <v>2000</v>
      </c>
      <c r="S135" s="220">
        <f t="shared" si="152"/>
        <v>2000</v>
      </c>
      <c r="T135" s="220">
        <f t="shared" si="152"/>
        <v>2000</v>
      </c>
      <c r="U135" s="220">
        <f t="shared" si="153"/>
        <v>438</v>
      </c>
      <c r="V135" s="220">
        <f t="shared" si="153"/>
        <v>216</v>
      </c>
      <c r="W135" s="220">
        <f t="shared" si="153"/>
        <v>163</v>
      </c>
      <c r="X135" s="220">
        <f t="shared" si="153"/>
        <v>234</v>
      </c>
      <c r="Y135" s="220">
        <f t="shared" si="153"/>
        <v>367</v>
      </c>
      <c r="Z135" s="220">
        <v>0</v>
      </c>
      <c r="AA135" s="220">
        <v>0</v>
      </c>
      <c r="AB135" s="220">
        <v>3</v>
      </c>
      <c r="AC135" s="220">
        <v>0</v>
      </c>
      <c r="AD135" s="220">
        <v>0</v>
      </c>
      <c r="AE135" s="220">
        <f t="shared" si="154"/>
        <v>-211</v>
      </c>
      <c r="AF135" s="220">
        <f t="shared" si="154"/>
        <v>-353</v>
      </c>
      <c r="AG135" s="220">
        <f t="shared" si="154"/>
        <v>-386</v>
      </c>
      <c r="AH135" s="220">
        <f t="shared" si="154"/>
        <v>-325</v>
      </c>
      <c r="AI135" s="220">
        <f t="shared" si="154"/>
        <v>-192</v>
      </c>
      <c r="AJ135" s="50">
        <f t="shared" si="95"/>
        <v>1.3630000000000062</v>
      </c>
      <c r="AK135" s="257"/>
      <c r="AL135" s="257">
        <f t="shared" si="96"/>
        <v>1.2</v>
      </c>
      <c r="AM135" s="52"/>
      <c r="AN135" s="88"/>
    </row>
    <row r="136" spans="1:40" s="29" customFormat="1" ht="17.25" customHeight="1">
      <c r="A136" s="48">
        <v>126</v>
      </c>
      <c r="B136" s="49">
        <f t="shared" si="88"/>
        <v>45701</v>
      </c>
      <c r="C136" s="220">
        <f t="shared" si="89"/>
        <v>1049</v>
      </c>
      <c r="D136" s="220">
        <f t="shared" ref="D136" si="165">D135-26</f>
        <v>2450</v>
      </c>
      <c r="E136" s="220">
        <f t="shared" si="91"/>
        <v>3499</v>
      </c>
      <c r="F136" s="220">
        <f t="shared" si="83"/>
        <v>1062</v>
      </c>
      <c r="G136" s="220">
        <f t="shared" si="84"/>
        <v>1284</v>
      </c>
      <c r="H136" s="220">
        <f t="shared" si="85"/>
        <v>1337</v>
      </c>
      <c r="I136" s="220">
        <f t="shared" si="86"/>
        <v>1269</v>
      </c>
      <c r="J136" s="220">
        <f t="shared" si="87"/>
        <v>1132</v>
      </c>
      <c r="K136" s="220">
        <f t="shared" si="140"/>
        <v>2437</v>
      </c>
      <c r="L136" s="220">
        <f t="shared" si="140"/>
        <v>2215</v>
      </c>
      <c r="M136" s="220">
        <f t="shared" si="140"/>
        <v>2162</v>
      </c>
      <c r="N136" s="220">
        <f t="shared" si="140"/>
        <v>2230</v>
      </c>
      <c r="O136" s="220">
        <f t="shared" si="140"/>
        <v>2367</v>
      </c>
      <c r="P136" s="220">
        <f t="shared" si="152"/>
        <v>2000</v>
      </c>
      <c r="Q136" s="220">
        <f t="shared" si="152"/>
        <v>2000</v>
      </c>
      <c r="R136" s="220">
        <f t="shared" si="152"/>
        <v>2000</v>
      </c>
      <c r="S136" s="220">
        <f t="shared" si="152"/>
        <v>2000</v>
      </c>
      <c r="T136" s="220">
        <f t="shared" si="152"/>
        <v>2000</v>
      </c>
      <c r="U136" s="220">
        <f t="shared" si="153"/>
        <v>437</v>
      </c>
      <c r="V136" s="220">
        <f t="shared" si="153"/>
        <v>215</v>
      </c>
      <c r="W136" s="220">
        <f t="shared" si="153"/>
        <v>162</v>
      </c>
      <c r="X136" s="220">
        <f t="shared" si="153"/>
        <v>230</v>
      </c>
      <c r="Y136" s="220">
        <f t="shared" si="153"/>
        <v>367</v>
      </c>
      <c r="Z136" s="220">
        <v>1</v>
      </c>
      <c r="AA136" s="220">
        <v>1</v>
      </c>
      <c r="AB136" s="220">
        <v>1</v>
      </c>
      <c r="AC136" s="220">
        <v>4</v>
      </c>
      <c r="AD136" s="220">
        <v>0</v>
      </c>
      <c r="AE136" s="220">
        <f t="shared" si="154"/>
        <v>-212</v>
      </c>
      <c r="AF136" s="220">
        <f t="shared" si="154"/>
        <v>-354</v>
      </c>
      <c r="AG136" s="220">
        <f t="shared" si="154"/>
        <v>-387</v>
      </c>
      <c r="AH136" s="220">
        <f t="shared" si="154"/>
        <v>-329</v>
      </c>
      <c r="AI136" s="220">
        <f t="shared" si="154"/>
        <v>-192</v>
      </c>
      <c r="AJ136" s="50">
        <f t="shared" si="95"/>
        <v>1.3620000000000063</v>
      </c>
      <c r="AK136" s="257"/>
      <c r="AL136" s="257">
        <f t="shared" si="96"/>
        <v>1.2</v>
      </c>
      <c r="AM136" s="52"/>
      <c r="AN136" s="88"/>
    </row>
    <row r="137" spans="1:40" s="29" customFormat="1" ht="17.25" customHeight="1">
      <c r="A137" s="48">
        <v>127</v>
      </c>
      <c r="B137" s="49">
        <f t="shared" si="88"/>
        <v>45702</v>
      </c>
      <c r="C137" s="220">
        <f t="shared" si="89"/>
        <v>1049</v>
      </c>
      <c r="D137" s="220">
        <f t="shared" ref="D137" si="166">D136+15</f>
        <v>2465</v>
      </c>
      <c r="E137" s="220">
        <f t="shared" si="91"/>
        <v>3514</v>
      </c>
      <c r="F137" s="220">
        <f t="shared" si="83"/>
        <v>1077</v>
      </c>
      <c r="G137" s="220">
        <f t="shared" si="84"/>
        <v>1300</v>
      </c>
      <c r="H137" s="220">
        <f t="shared" si="85"/>
        <v>1352</v>
      </c>
      <c r="I137" s="220">
        <f t="shared" si="86"/>
        <v>1285</v>
      </c>
      <c r="J137" s="220">
        <f t="shared" si="87"/>
        <v>1147</v>
      </c>
      <c r="K137" s="220">
        <f t="shared" si="140"/>
        <v>2437</v>
      </c>
      <c r="L137" s="220">
        <f t="shared" si="140"/>
        <v>2214</v>
      </c>
      <c r="M137" s="220">
        <f t="shared" si="140"/>
        <v>2162</v>
      </c>
      <c r="N137" s="220">
        <f t="shared" si="140"/>
        <v>2229</v>
      </c>
      <c r="O137" s="220">
        <f t="shared" si="140"/>
        <v>2367</v>
      </c>
      <c r="P137" s="220">
        <f t="shared" si="152"/>
        <v>2000</v>
      </c>
      <c r="Q137" s="220">
        <f t="shared" si="152"/>
        <v>2000</v>
      </c>
      <c r="R137" s="220">
        <f t="shared" si="152"/>
        <v>2000</v>
      </c>
      <c r="S137" s="220">
        <f t="shared" si="152"/>
        <v>2000</v>
      </c>
      <c r="T137" s="220">
        <f t="shared" si="152"/>
        <v>2000</v>
      </c>
      <c r="U137" s="220">
        <f t="shared" si="153"/>
        <v>437</v>
      </c>
      <c r="V137" s="220">
        <f t="shared" si="153"/>
        <v>214</v>
      </c>
      <c r="W137" s="220">
        <f t="shared" si="153"/>
        <v>162</v>
      </c>
      <c r="X137" s="220">
        <f t="shared" si="153"/>
        <v>229</v>
      </c>
      <c r="Y137" s="220">
        <f t="shared" si="153"/>
        <v>367</v>
      </c>
      <c r="Z137" s="220">
        <v>0</v>
      </c>
      <c r="AA137" s="220">
        <v>1</v>
      </c>
      <c r="AB137" s="220">
        <v>0</v>
      </c>
      <c r="AC137" s="220">
        <v>1</v>
      </c>
      <c r="AD137" s="220">
        <v>0</v>
      </c>
      <c r="AE137" s="220">
        <f t="shared" si="154"/>
        <v>-212</v>
      </c>
      <c r="AF137" s="220">
        <f t="shared" si="154"/>
        <v>-355</v>
      </c>
      <c r="AG137" s="220">
        <f t="shared" si="154"/>
        <v>-387</v>
      </c>
      <c r="AH137" s="220">
        <f t="shared" si="154"/>
        <v>-330</v>
      </c>
      <c r="AI137" s="220">
        <f t="shared" si="154"/>
        <v>-192</v>
      </c>
      <c r="AJ137" s="50">
        <f t="shared" si="95"/>
        <v>1.3620000000000063</v>
      </c>
      <c r="AK137" s="257"/>
      <c r="AL137" s="257">
        <f t="shared" si="96"/>
        <v>1.2</v>
      </c>
      <c r="AM137" s="52"/>
      <c r="AN137" s="88"/>
    </row>
    <row r="138" spans="1:40" s="29" customFormat="1" ht="17.25" customHeight="1">
      <c r="A138" s="48">
        <v>128</v>
      </c>
      <c r="B138" s="49">
        <f t="shared" si="88"/>
        <v>45703</v>
      </c>
      <c r="C138" s="220">
        <f t="shared" si="89"/>
        <v>1049</v>
      </c>
      <c r="D138" s="220">
        <f t="shared" ref="D138" si="167">D137+26</f>
        <v>2491</v>
      </c>
      <c r="E138" s="220">
        <f t="shared" si="91"/>
        <v>3540</v>
      </c>
      <c r="F138" s="220">
        <f t="shared" si="83"/>
        <v>1104</v>
      </c>
      <c r="G138" s="220">
        <f t="shared" si="84"/>
        <v>1326</v>
      </c>
      <c r="H138" s="220">
        <f t="shared" si="85"/>
        <v>1381</v>
      </c>
      <c r="I138" s="220">
        <f t="shared" si="86"/>
        <v>1311</v>
      </c>
      <c r="J138" s="220">
        <f t="shared" si="87"/>
        <v>1174</v>
      </c>
      <c r="K138" s="220">
        <f t="shared" si="140"/>
        <v>2436</v>
      </c>
      <c r="L138" s="220">
        <f t="shared" si="140"/>
        <v>2214</v>
      </c>
      <c r="M138" s="220">
        <f t="shared" si="140"/>
        <v>2159</v>
      </c>
      <c r="N138" s="220">
        <f t="shared" si="140"/>
        <v>2229</v>
      </c>
      <c r="O138" s="220">
        <f t="shared" si="140"/>
        <v>2366</v>
      </c>
      <c r="P138" s="220">
        <f t="shared" si="152"/>
        <v>2000</v>
      </c>
      <c r="Q138" s="220">
        <f t="shared" si="152"/>
        <v>2000</v>
      </c>
      <c r="R138" s="220">
        <f t="shared" si="152"/>
        <v>2000</v>
      </c>
      <c r="S138" s="220">
        <f t="shared" si="152"/>
        <v>2000</v>
      </c>
      <c r="T138" s="220">
        <f t="shared" si="152"/>
        <v>2000</v>
      </c>
      <c r="U138" s="220">
        <f t="shared" si="153"/>
        <v>436</v>
      </c>
      <c r="V138" s="220">
        <f t="shared" si="153"/>
        <v>214</v>
      </c>
      <c r="W138" s="220">
        <f t="shared" si="153"/>
        <v>159</v>
      </c>
      <c r="X138" s="220">
        <f t="shared" si="153"/>
        <v>229</v>
      </c>
      <c r="Y138" s="220">
        <f t="shared" si="153"/>
        <v>366</v>
      </c>
      <c r="Z138" s="220">
        <v>1</v>
      </c>
      <c r="AA138" s="220">
        <v>0</v>
      </c>
      <c r="AB138" s="220">
        <v>3</v>
      </c>
      <c r="AC138" s="220">
        <v>0</v>
      </c>
      <c r="AD138" s="220">
        <v>1</v>
      </c>
      <c r="AE138" s="220">
        <f t="shared" si="154"/>
        <v>-213</v>
      </c>
      <c r="AF138" s="220">
        <f t="shared" si="154"/>
        <v>-355</v>
      </c>
      <c r="AG138" s="220">
        <f t="shared" si="154"/>
        <v>-390</v>
      </c>
      <c r="AH138" s="220">
        <f t="shared" si="154"/>
        <v>-330</v>
      </c>
      <c r="AI138" s="220">
        <f t="shared" si="154"/>
        <v>-193</v>
      </c>
      <c r="AJ138" s="50">
        <f t="shared" si="95"/>
        <v>1.3590000000000064</v>
      </c>
      <c r="AK138" s="257"/>
      <c r="AL138" s="257">
        <f t="shared" si="96"/>
        <v>1.2</v>
      </c>
      <c r="AM138" s="52"/>
      <c r="AN138" s="88"/>
    </row>
    <row r="139" spans="1:40" s="29" customFormat="1" ht="17.25" customHeight="1">
      <c r="A139" s="48">
        <v>129</v>
      </c>
      <c r="B139" s="49">
        <f t="shared" si="88"/>
        <v>45704</v>
      </c>
      <c r="C139" s="220">
        <f t="shared" si="89"/>
        <v>1049</v>
      </c>
      <c r="D139" s="220">
        <f t="shared" ref="D139" si="168">D138+32</f>
        <v>2523</v>
      </c>
      <c r="E139" s="220">
        <f t="shared" si="91"/>
        <v>3572</v>
      </c>
      <c r="F139" s="220">
        <f t="shared" si="83"/>
        <v>1136</v>
      </c>
      <c r="G139" s="220">
        <f t="shared" si="84"/>
        <v>1358</v>
      </c>
      <c r="H139" s="220">
        <f t="shared" si="85"/>
        <v>1413</v>
      </c>
      <c r="I139" s="220">
        <f t="shared" si="86"/>
        <v>1347</v>
      </c>
      <c r="J139" s="220">
        <f t="shared" si="87"/>
        <v>1206</v>
      </c>
      <c r="K139" s="220">
        <f t="shared" si="140"/>
        <v>2436</v>
      </c>
      <c r="L139" s="220">
        <f t="shared" si="140"/>
        <v>2214</v>
      </c>
      <c r="M139" s="220">
        <f t="shared" si="140"/>
        <v>2159</v>
      </c>
      <c r="N139" s="220">
        <f t="shared" si="140"/>
        <v>2225</v>
      </c>
      <c r="O139" s="220">
        <f t="shared" si="140"/>
        <v>2366</v>
      </c>
      <c r="P139" s="220">
        <f t="shared" si="152"/>
        <v>2000</v>
      </c>
      <c r="Q139" s="220">
        <f t="shared" si="152"/>
        <v>2000</v>
      </c>
      <c r="R139" s="220">
        <f t="shared" si="152"/>
        <v>2000</v>
      </c>
      <c r="S139" s="220">
        <f t="shared" si="152"/>
        <v>2000</v>
      </c>
      <c r="T139" s="220">
        <f t="shared" si="152"/>
        <v>2000</v>
      </c>
      <c r="U139" s="220">
        <f t="shared" si="153"/>
        <v>436</v>
      </c>
      <c r="V139" s="220">
        <f t="shared" si="153"/>
        <v>214</v>
      </c>
      <c r="W139" s="220">
        <f t="shared" si="153"/>
        <v>159</v>
      </c>
      <c r="X139" s="220">
        <f t="shared" si="153"/>
        <v>225</v>
      </c>
      <c r="Y139" s="220">
        <f t="shared" si="153"/>
        <v>366</v>
      </c>
      <c r="Z139" s="220">
        <v>0</v>
      </c>
      <c r="AA139" s="220">
        <v>0</v>
      </c>
      <c r="AB139" s="220">
        <v>0</v>
      </c>
      <c r="AC139" s="220">
        <v>4</v>
      </c>
      <c r="AD139" s="220">
        <v>0</v>
      </c>
      <c r="AE139" s="220">
        <f t="shared" si="154"/>
        <v>-213</v>
      </c>
      <c r="AF139" s="220">
        <f t="shared" si="154"/>
        <v>-355</v>
      </c>
      <c r="AG139" s="220">
        <f t="shared" si="154"/>
        <v>-390</v>
      </c>
      <c r="AH139" s="220">
        <f t="shared" si="154"/>
        <v>-334</v>
      </c>
      <c r="AI139" s="220">
        <f t="shared" si="154"/>
        <v>-193</v>
      </c>
      <c r="AJ139" s="50">
        <f t="shared" si="95"/>
        <v>1.3590000000000064</v>
      </c>
      <c r="AK139" s="257"/>
      <c r="AL139" s="257">
        <f t="shared" si="96"/>
        <v>1.2</v>
      </c>
      <c r="AM139" s="52"/>
      <c r="AN139" s="88"/>
    </row>
    <row r="140" spans="1:40" s="29" customFormat="1" ht="17.25" customHeight="1">
      <c r="A140" s="48">
        <v>130</v>
      </c>
      <c r="B140" s="49">
        <f t="shared" si="88"/>
        <v>45705</v>
      </c>
      <c r="C140" s="220">
        <f t="shared" si="89"/>
        <v>1049</v>
      </c>
      <c r="D140" s="220">
        <f t="shared" ref="D140" si="169">D139-18</f>
        <v>2505</v>
      </c>
      <c r="E140" s="220">
        <f t="shared" si="91"/>
        <v>3554</v>
      </c>
      <c r="F140" s="220">
        <f t="shared" ref="F140:F203" si="170">E140-K140</f>
        <v>1119</v>
      </c>
      <c r="G140" s="220">
        <f t="shared" ref="G140:G203" si="171">E140-L140</f>
        <v>1344</v>
      </c>
      <c r="H140" s="220">
        <f t="shared" ref="H140:H203" si="172">E140-M140</f>
        <v>1396</v>
      </c>
      <c r="I140" s="220">
        <f t="shared" ref="I140:I203" si="173">E140-N140</f>
        <v>1329</v>
      </c>
      <c r="J140" s="220">
        <f t="shared" ref="J140:J203" si="174">E140-O140</f>
        <v>1189</v>
      </c>
      <c r="K140" s="220">
        <f t="shared" si="140"/>
        <v>2435</v>
      </c>
      <c r="L140" s="220">
        <f t="shared" si="140"/>
        <v>2210</v>
      </c>
      <c r="M140" s="220">
        <f t="shared" si="140"/>
        <v>2158</v>
      </c>
      <c r="N140" s="220">
        <f t="shared" si="140"/>
        <v>2225</v>
      </c>
      <c r="O140" s="220">
        <f t="shared" si="140"/>
        <v>2365</v>
      </c>
      <c r="P140" s="220">
        <f t="shared" si="152"/>
        <v>2000</v>
      </c>
      <c r="Q140" s="220">
        <f t="shared" si="152"/>
        <v>2000</v>
      </c>
      <c r="R140" s="220">
        <f t="shared" si="152"/>
        <v>2000</v>
      </c>
      <c r="S140" s="220">
        <f t="shared" si="152"/>
        <v>2000</v>
      </c>
      <c r="T140" s="220">
        <f t="shared" si="152"/>
        <v>2000</v>
      </c>
      <c r="U140" s="220">
        <f t="shared" si="153"/>
        <v>435</v>
      </c>
      <c r="V140" s="220">
        <f t="shared" si="153"/>
        <v>210</v>
      </c>
      <c r="W140" s="220">
        <f t="shared" si="153"/>
        <v>158</v>
      </c>
      <c r="X140" s="220">
        <f t="shared" si="153"/>
        <v>225</v>
      </c>
      <c r="Y140" s="220">
        <f t="shared" si="153"/>
        <v>365</v>
      </c>
      <c r="Z140" s="220">
        <v>1</v>
      </c>
      <c r="AA140" s="220">
        <v>4</v>
      </c>
      <c r="AB140" s="220">
        <v>1</v>
      </c>
      <c r="AC140" s="220">
        <v>0</v>
      </c>
      <c r="AD140" s="220">
        <v>1</v>
      </c>
      <c r="AE140" s="220">
        <f t="shared" si="154"/>
        <v>-214</v>
      </c>
      <c r="AF140" s="220">
        <f t="shared" si="154"/>
        <v>-359</v>
      </c>
      <c r="AG140" s="220">
        <f t="shared" si="154"/>
        <v>-391</v>
      </c>
      <c r="AH140" s="220">
        <f t="shared" si="154"/>
        <v>-334</v>
      </c>
      <c r="AI140" s="220">
        <f t="shared" si="154"/>
        <v>-194</v>
      </c>
      <c r="AJ140" s="50">
        <f t="shared" si="95"/>
        <v>1.3580000000000065</v>
      </c>
      <c r="AK140" s="257"/>
      <c r="AL140" s="257">
        <f t="shared" si="96"/>
        <v>1.2</v>
      </c>
      <c r="AM140" s="52"/>
      <c r="AN140" s="88"/>
    </row>
    <row r="141" spans="1:40" s="29" customFormat="1" ht="17.25" customHeight="1">
      <c r="A141" s="48">
        <v>131</v>
      </c>
      <c r="B141" s="49">
        <f t="shared" ref="B141:B204" si="175">B140+1</f>
        <v>45706</v>
      </c>
      <c r="C141" s="220">
        <f t="shared" ref="C141:C204" si="176">+C140</f>
        <v>1049</v>
      </c>
      <c r="D141" s="220">
        <f t="shared" ref="D141" si="177">D140-26</f>
        <v>2479</v>
      </c>
      <c r="E141" s="220">
        <f t="shared" ref="E141:E204" si="178">+C141+D141</f>
        <v>3528</v>
      </c>
      <c r="F141" s="220">
        <f t="shared" si="170"/>
        <v>1093</v>
      </c>
      <c r="G141" s="220">
        <f t="shared" si="171"/>
        <v>1321</v>
      </c>
      <c r="H141" s="220">
        <f t="shared" si="172"/>
        <v>1370</v>
      </c>
      <c r="I141" s="220">
        <f t="shared" si="173"/>
        <v>1305</v>
      </c>
      <c r="J141" s="220">
        <f t="shared" si="174"/>
        <v>1164</v>
      </c>
      <c r="K141" s="220">
        <f t="shared" si="140"/>
        <v>2435</v>
      </c>
      <c r="L141" s="220">
        <f t="shared" si="140"/>
        <v>2207</v>
      </c>
      <c r="M141" s="220">
        <f t="shared" si="140"/>
        <v>2158</v>
      </c>
      <c r="N141" s="220">
        <f t="shared" si="140"/>
        <v>2223</v>
      </c>
      <c r="O141" s="220">
        <f t="shared" si="140"/>
        <v>2364</v>
      </c>
      <c r="P141" s="220">
        <f t="shared" ref="P141:T156" si="179">+P140</f>
        <v>2000</v>
      </c>
      <c r="Q141" s="220">
        <f t="shared" si="179"/>
        <v>2000</v>
      </c>
      <c r="R141" s="220">
        <f t="shared" si="179"/>
        <v>2000</v>
      </c>
      <c r="S141" s="220">
        <f t="shared" si="179"/>
        <v>2000</v>
      </c>
      <c r="T141" s="220">
        <f t="shared" si="179"/>
        <v>2000</v>
      </c>
      <c r="U141" s="220">
        <f t="shared" ref="U141:Y156" si="180">U140-Z141</f>
        <v>435</v>
      </c>
      <c r="V141" s="220">
        <f t="shared" si="180"/>
        <v>207</v>
      </c>
      <c r="W141" s="220">
        <f t="shared" si="180"/>
        <v>158</v>
      </c>
      <c r="X141" s="220">
        <f t="shared" si="180"/>
        <v>223</v>
      </c>
      <c r="Y141" s="220">
        <f t="shared" si="180"/>
        <v>364</v>
      </c>
      <c r="Z141" s="220">
        <v>0</v>
      </c>
      <c r="AA141" s="220">
        <v>3</v>
      </c>
      <c r="AB141" s="220">
        <v>0</v>
      </c>
      <c r="AC141" s="220">
        <v>2</v>
      </c>
      <c r="AD141" s="220">
        <v>1</v>
      </c>
      <c r="AE141" s="220">
        <f t="shared" ref="AE141:AI156" si="181">AE140-Z141</f>
        <v>-214</v>
      </c>
      <c r="AF141" s="220">
        <f t="shared" si="181"/>
        <v>-362</v>
      </c>
      <c r="AG141" s="220">
        <f t="shared" si="181"/>
        <v>-391</v>
      </c>
      <c r="AH141" s="220">
        <f t="shared" si="181"/>
        <v>-336</v>
      </c>
      <c r="AI141" s="220">
        <f t="shared" si="181"/>
        <v>-195</v>
      </c>
      <c r="AJ141" s="50">
        <f t="shared" ref="AJ141:AJ204" si="182">AJ140-AB141/1000+AK141</f>
        <v>1.3580000000000065</v>
      </c>
      <c r="AK141" s="257"/>
      <c r="AL141" s="257">
        <f t="shared" ref="AL141:AL204" si="183">AL140+AK141</f>
        <v>1.2</v>
      </c>
      <c r="AM141" s="52"/>
      <c r="AN141" s="88"/>
    </row>
    <row r="142" spans="1:40" s="29" customFormat="1" ht="17.25" customHeight="1">
      <c r="A142" s="48">
        <v>132</v>
      </c>
      <c r="B142" s="49">
        <f t="shared" si="175"/>
        <v>45707</v>
      </c>
      <c r="C142" s="220">
        <f t="shared" si="176"/>
        <v>1049</v>
      </c>
      <c r="D142" s="220">
        <f t="shared" ref="D142" si="184">D141+15</f>
        <v>2494</v>
      </c>
      <c r="E142" s="220">
        <f t="shared" si="178"/>
        <v>3543</v>
      </c>
      <c r="F142" s="220">
        <f t="shared" si="170"/>
        <v>1109</v>
      </c>
      <c r="G142" s="220">
        <f t="shared" si="171"/>
        <v>1336</v>
      </c>
      <c r="H142" s="220">
        <f t="shared" si="172"/>
        <v>1386</v>
      </c>
      <c r="I142" s="220">
        <f t="shared" si="173"/>
        <v>1320</v>
      </c>
      <c r="J142" s="220">
        <f t="shared" si="174"/>
        <v>1179</v>
      </c>
      <c r="K142" s="220">
        <f t="shared" si="140"/>
        <v>2434</v>
      </c>
      <c r="L142" s="220">
        <f t="shared" si="140"/>
        <v>2207</v>
      </c>
      <c r="M142" s="220">
        <f t="shared" si="140"/>
        <v>2157</v>
      </c>
      <c r="N142" s="220">
        <f t="shared" si="140"/>
        <v>2223</v>
      </c>
      <c r="O142" s="220">
        <f t="shared" si="140"/>
        <v>2364</v>
      </c>
      <c r="P142" s="220">
        <f t="shared" si="179"/>
        <v>2000</v>
      </c>
      <c r="Q142" s="220">
        <f t="shared" si="179"/>
        <v>2000</v>
      </c>
      <c r="R142" s="220">
        <f t="shared" si="179"/>
        <v>2000</v>
      </c>
      <c r="S142" s="220">
        <f t="shared" si="179"/>
        <v>2000</v>
      </c>
      <c r="T142" s="220">
        <f t="shared" si="179"/>
        <v>2000</v>
      </c>
      <c r="U142" s="220">
        <f t="shared" si="180"/>
        <v>434</v>
      </c>
      <c r="V142" s="220">
        <f t="shared" si="180"/>
        <v>207</v>
      </c>
      <c r="W142" s="220">
        <f t="shared" si="180"/>
        <v>157</v>
      </c>
      <c r="X142" s="220">
        <f t="shared" si="180"/>
        <v>223</v>
      </c>
      <c r="Y142" s="220">
        <f t="shared" si="180"/>
        <v>364</v>
      </c>
      <c r="Z142" s="220">
        <v>1</v>
      </c>
      <c r="AA142" s="220">
        <v>0</v>
      </c>
      <c r="AB142" s="220">
        <v>1</v>
      </c>
      <c r="AC142" s="220">
        <v>0</v>
      </c>
      <c r="AD142" s="220">
        <v>0</v>
      </c>
      <c r="AE142" s="220">
        <f t="shared" si="181"/>
        <v>-215</v>
      </c>
      <c r="AF142" s="220">
        <f t="shared" si="181"/>
        <v>-362</v>
      </c>
      <c r="AG142" s="220">
        <f t="shared" si="181"/>
        <v>-392</v>
      </c>
      <c r="AH142" s="220">
        <f t="shared" si="181"/>
        <v>-336</v>
      </c>
      <c r="AI142" s="220">
        <f t="shared" si="181"/>
        <v>-195</v>
      </c>
      <c r="AJ142" s="50">
        <f t="shared" si="182"/>
        <v>1.3570000000000066</v>
      </c>
      <c r="AK142" s="257"/>
      <c r="AL142" s="257">
        <f t="shared" si="183"/>
        <v>1.2</v>
      </c>
      <c r="AM142" s="52"/>
      <c r="AN142" s="88"/>
    </row>
    <row r="143" spans="1:40" s="29" customFormat="1" ht="17.25" customHeight="1">
      <c r="A143" s="48">
        <v>133</v>
      </c>
      <c r="B143" s="49">
        <f t="shared" si="175"/>
        <v>45708</v>
      </c>
      <c r="C143" s="220">
        <f t="shared" si="176"/>
        <v>1049</v>
      </c>
      <c r="D143" s="220">
        <f t="shared" ref="D143" si="185">D142+26</f>
        <v>2520</v>
      </c>
      <c r="E143" s="220">
        <f t="shared" si="178"/>
        <v>3569</v>
      </c>
      <c r="F143" s="220">
        <f t="shared" si="170"/>
        <v>1135</v>
      </c>
      <c r="G143" s="220">
        <f t="shared" si="171"/>
        <v>1365</v>
      </c>
      <c r="H143" s="220">
        <f t="shared" si="172"/>
        <v>1412</v>
      </c>
      <c r="I143" s="220">
        <f t="shared" si="173"/>
        <v>1350</v>
      </c>
      <c r="J143" s="220">
        <f t="shared" si="174"/>
        <v>1205</v>
      </c>
      <c r="K143" s="220">
        <f t="shared" si="140"/>
        <v>2434</v>
      </c>
      <c r="L143" s="220">
        <f t="shared" si="140"/>
        <v>2204</v>
      </c>
      <c r="M143" s="220">
        <f t="shared" si="140"/>
        <v>2157</v>
      </c>
      <c r="N143" s="220">
        <f t="shared" si="140"/>
        <v>2219</v>
      </c>
      <c r="O143" s="220">
        <f t="shared" si="140"/>
        <v>2364</v>
      </c>
      <c r="P143" s="220">
        <f t="shared" si="179"/>
        <v>2000</v>
      </c>
      <c r="Q143" s="220">
        <f t="shared" si="179"/>
        <v>2000</v>
      </c>
      <c r="R143" s="220">
        <f t="shared" si="179"/>
        <v>2000</v>
      </c>
      <c r="S143" s="220">
        <f t="shared" si="179"/>
        <v>2000</v>
      </c>
      <c r="T143" s="220">
        <f t="shared" si="179"/>
        <v>2000</v>
      </c>
      <c r="U143" s="220">
        <f t="shared" si="180"/>
        <v>434</v>
      </c>
      <c r="V143" s="220">
        <f t="shared" si="180"/>
        <v>204</v>
      </c>
      <c r="W143" s="220">
        <f t="shared" si="180"/>
        <v>157</v>
      </c>
      <c r="X143" s="220">
        <f t="shared" si="180"/>
        <v>219</v>
      </c>
      <c r="Y143" s="220">
        <f t="shared" si="180"/>
        <v>364</v>
      </c>
      <c r="Z143" s="220">
        <v>0</v>
      </c>
      <c r="AA143" s="220">
        <v>3</v>
      </c>
      <c r="AB143" s="220">
        <v>0</v>
      </c>
      <c r="AC143" s="220">
        <v>4</v>
      </c>
      <c r="AD143" s="220">
        <v>0</v>
      </c>
      <c r="AE143" s="220">
        <f t="shared" si="181"/>
        <v>-215</v>
      </c>
      <c r="AF143" s="220">
        <f t="shared" si="181"/>
        <v>-365</v>
      </c>
      <c r="AG143" s="220">
        <f t="shared" si="181"/>
        <v>-392</v>
      </c>
      <c r="AH143" s="220">
        <f t="shared" si="181"/>
        <v>-340</v>
      </c>
      <c r="AI143" s="220">
        <f t="shared" si="181"/>
        <v>-195</v>
      </c>
      <c r="AJ143" s="50">
        <f t="shared" si="182"/>
        <v>1.3570000000000066</v>
      </c>
      <c r="AK143" s="257"/>
      <c r="AL143" s="257">
        <f t="shared" si="183"/>
        <v>1.2</v>
      </c>
      <c r="AM143" s="52"/>
      <c r="AN143" s="88"/>
    </row>
    <row r="144" spans="1:40" s="29" customFormat="1" ht="17.25" customHeight="1">
      <c r="A144" s="48">
        <v>134</v>
      </c>
      <c r="B144" s="49">
        <f t="shared" si="175"/>
        <v>45709</v>
      </c>
      <c r="C144" s="220">
        <f t="shared" si="176"/>
        <v>1049</v>
      </c>
      <c r="D144" s="220">
        <f t="shared" ref="D144" si="186">D143+32</f>
        <v>2552</v>
      </c>
      <c r="E144" s="220">
        <f t="shared" si="178"/>
        <v>3601</v>
      </c>
      <c r="F144" s="220">
        <f t="shared" si="170"/>
        <v>1168</v>
      </c>
      <c r="G144" s="220">
        <f t="shared" si="171"/>
        <v>1397</v>
      </c>
      <c r="H144" s="220">
        <f t="shared" si="172"/>
        <v>1445</v>
      </c>
      <c r="I144" s="220">
        <f t="shared" si="173"/>
        <v>1382</v>
      </c>
      <c r="J144" s="220">
        <f t="shared" si="174"/>
        <v>1239</v>
      </c>
      <c r="K144" s="220">
        <f t="shared" si="140"/>
        <v>2433</v>
      </c>
      <c r="L144" s="220">
        <f t="shared" si="140"/>
        <v>2204</v>
      </c>
      <c r="M144" s="220">
        <f t="shared" si="140"/>
        <v>2156</v>
      </c>
      <c r="N144" s="220">
        <f t="shared" si="140"/>
        <v>2219</v>
      </c>
      <c r="O144" s="220">
        <f t="shared" si="140"/>
        <v>2362</v>
      </c>
      <c r="P144" s="220">
        <f t="shared" si="179"/>
        <v>2000</v>
      </c>
      <c r="Q144" s="220">
        <f t="shared" si="179"/>
        <v>2000</v>
      </c>
      <c r="R144" s="220">
        <f t="shared" si="179"/>
        <v>2000</v>
      </c>
      <c r="S144" s="220">
        <f t="shared" si="179"/>
        <v>2000</v>
      </c>
      <c r="T144" s="220">
        <f t="shared" si="179"/>
        <v>2000</v>
      </c>
      <c r="U144" s="220">
        <f t="shared" si="180"/>
        <v>433</v>
      </c>
      <c r="V144" s="220">
        <f t="shared" si="180"/>
        <v>204</v>
      </c>
      <c r="W144" s="220">
        <f t="shared" si="180"/>
        <v>156</v>
      </c>
      <c r="X144" s="220">
        <f t="shared" si="180"/>
        <v>219</v>
      </c>
      <c r="Y144" s="220">
        <f t="shared" si="180"/>
        <v>362</v>
      </c>
      <c r="Z144" s="220">
        <v>1</v>
      </c>
      <c r="AA144" s="220">
        <v>0</v>
      </c>
      <c r="AB144" s="220">
        <v>1</v>
      </c>
      <c r="AC144" s="220">
        <v>0</v>
      </c>
      <c r="AD144" s="220">
        <v>2</v>
      </c>
      <c r="AE144" s="220">
        <f t="shared" si="181"/>
        <v>-216</v>
      </c>
      <c r="AF144" s="220">
        <f t="shared" si="181"/>
        <v>-365</v>
      </c>
      <c r="AG144" s="220">
        <f t="shared" si="181"/>
        <v>-393</v>
      </c>
      <c r="AH144" s="220">
        <f t="shared" si="181"/>
        <v>-340</v>
      </c>
      <c r="AI144" s="220">
        <f t="shared" si="181"/>
        <v>-197</v>
      </c>
      <c r="AJ144" s="50">
        <f t="shared" si="182"/>
        <v>1.3560000000000068</v>
      </c>
      <c r="AK144" s="257"/>
      <c r="AL144" s="257">
        <f t="shared" si="183"/>
        <v>1.2</v>
      </c>
      <c r="AM144" s="52"/>
      <c r="AN144" s="88"/>
    </row>
    <row r="145" spans="1:40" s="29" customFormat="1" ht="17.25" customHeight="1">
      <c r="A145" s="48">
        <v>135</v>
      </c>
      <c r="B145" s="49">
        <f t="shared" si="175"/>
        <v>45710</v>
      </c>
      <c r="C145" s="220">
        <f t="shared" si="176"/>
        <v>1049</v>
      </c>
      <c r="D145" s="220">
        <f t="shared" ref="D145" si="187">D144-18</f>
        <v>2534</v>
      </c>
      <c r="E145" s="220">
        <f t="shared" si="178"/>
        <v>3583</v>
      </c>
      <c r="F145" s="220">
        <f t="shared" si="170"/>
        <v>1150</v>
      </c>
      <c r="G145" s="220">
        <f t="shared" si="171"/>
        <v>1382</v>
      </c>
      <c r="H145" s="220">
        <f t="shared" si="172"/>
        <v>1427</v>
      </c>
      <c r="I145" s="220">
        <f t="shared" si="173"/>
        <v>1366</v>
      </c>
      <c r="J145" s="220">
        <f t="shared" si="174"/>
        <v>1221</v>
      </c>
      <c r="K145" s="220">
        <f t="shared" si="140"/>
        <v>2433</v>
      </c>
      <c r="L145" s="220">
        <f t="shared" si="140"/>
        <v>2201</v>
      </c>
      <c r="M145" s="220">
        <f t="shared" si="140"/>
        <v>2156</v>
      </c>
      <c r="N145" s="220">
        <f t="shared" si="140"/>
        <v>2217</v>
      </c>
      <c r="O145" s="220">
        <f t="shared" si="140"/>
        <v>2362</v>
      </c>
      <c r="P145" s="220">
        <f t="shared" si="179"/>
        <v>2000</v>
      </c>
      <c r="Q145" s="220">
        <f t="shared" si="179"/>
        <v>2000</v>
      </c>
      <c r="R145" s="220">
        <f t="shared" si="179"/>
        <v>2000</v>
      </c>
      <c r="S145" s="220">
        <f t="shared" si="179"/>
        <v>2000</v>
      </c>
      <c r="T145" s="220">
        <f t="shared" si="179"/>
        <v>2000</v>
      </c>
      <c r="U145" s="220">
        <f t="shared" si="180"/>
        <v>433</v>
      </c>
      <c r="V145" s="220">
        <f t="shared" si="180"/>
        <v>201</v>
      </c>
      <c r="W145" s="220">
        <f t="shared" si="180"/>
        <v>156</v>
      </c>
      <c r="X145" s="220">
        <f t="shared" si="180"/>
        <v>217</v>
      </c>
      <c r="Y145" s="220">
        <f t="shared" si="180"/>
        <v>362</v>
      </c>
      <c r="Z145" s="220">
        <v>0</v>
      </c>
      <c r="AA145" s="220">
        <v>3</v>
      </c>
      <c r="AB145" s="220">
        <v>0</v>
      </c>
      <c r="AC145" s="220">
        <v>2</v>
      </c>
      <c r="AD145" s="220">
        <v>0</v>
      </c>
      <c r="AE145" s="220">
        <f t="shared" si="181"/>
        <v>-216</v>
      </c>
      <c r="AF145" s="220">
        <f t="shared" si="181"/>
        <v>-368</v>
      </c>
      <c r="AG145" s="220">
        <f t="shared" si="181"/>
        <v>-393</v>
      </c>
      <c r="AH145" s="220">
        <f t="shared" si="181"/>
        <v>-342</v>
      </c>
      <c r="AI145" s="220">
        <f t="shared" si="181"/>
        <v>-197</v>
      </c>
      <c r="AJ145" s="50">
        <f t="shared" si="182"/>
        <v>1.3560000000000068</v>
      </c>
      <c r="AK145" s="257"/>
      <c r="AL145" s="257">
        <f t="shared" si="183"/>
        <v>1.2</v>
      </c>
      <c r="AM145" s="52"/>
      <c r="AN145" s="88"/>
    </row>
    <row r="146" spans="1:40" s="29" customFormat="1" ht="17.25" customHeight="1">
      <c r="A146" s="48">
        <v>136</v>
      </c>
      <c r="B146" s="49">
        <f t="shared" si="175"/>
        <v>45711</v>
      </c>
      <c r="C146" s="220">
        <f t="shared" si="176"/>
        <v>1049</v>
      </c>
      <c r="D146" s="220">
        <f t="shared" ref="D146" si="188">D145-26</f>
        <v>2508</v>
      </c>
      <c r="E146" s="220">
        <f t="shared" si="178"/>
        <v>3557</v>
      </c>
      <c r="F146" s="220">
        <f t="shared" si="170"/>
        <v>1124</v>
      </c>
      <c r="G146" s="220">
        <f t="shared" si="171"/>
        <v>1356</v>
      </c>
      <c r="H146" s="220">
        <f t="shared" si="172"/>
        <v>1404</v>
      </c>
      <c r="I146" s="220">
        <f t="shared" si="173"/>
        <v>1340</v>
      </c>
      <c r="J146" s="220">
        <f t="shared" si="174"/>
        <v>1195</v>
      </c>
      <c r="K146" s="220">
        <f t="shared" si="140"/>
        <v>2433</v>
      </c>
      <c r="L146" s="220">
        <f t="shared" si="140"/>
        <v>2201</v>
      </c>
      <c r="M146" s="220">
        <f t="shared" si="140"/>
        <v>2153</v>
      </c>
      <c r="N146" s="220">
        <f t="shared" si="140"/>
        <v>2217</v>
      </c>
      <c r="O146" s="220">
        <f t="shared" si="140"/>
        <v>2362</v>
      </c>
      <c r="P146" s="220">
        <f t="shared" si="179"/>
        <v>2000</v>
      </c>
      <c r="Q146" s="220">
        <f t="shared" si="179"/>
        <v>2000</v>
      </c>
      <c r="R146" s="220">
        <f t="shared" si="179"/>
        <v>2000</v>
      </c>
      <c r="S146" s="220">
        <f t="shared" si="179"/>
        <v>2000</v>
      </c>
      <c r="T146" s="220">
        <f t="shared" si="179"/>
        <v>2000</v>
      </c>
      <c r="U146" s="220">
        <f t="shared" si="180"/>
        <v>433</v>
      </c>
      <c r="V146" s="220">
        <f t="shared" si="180"/>
        <v>201</v>
      </c>
      <c r="W146" s="220">
        <f t="shared" si="180"/>
        <v>153</v>
      </c>
      <c r="X146" s="220">
        <f t="shared" si="180"/>
        <v>217</v>
      </c>
      <c r="Y146" s="220">
        <f t="shared" si="180"/>
        <v>362</v>
      </c>
      <c r="Z146" s="220">
        <v>0</v>
      </c>
      <c r="AA146" s="220">
        <v>0</v>
      </c>
      <c r="AB146" s="220">
        <v>3</v>
      </c>
      <c r="AC146" s="220">
        <v>0</v>
      </c>
      <c r="AD146" s="220">
        <v>0</v>
      </c>
      <c r="AE146" s="220">
        <f t="shared" si="181"/>
        <v>-216</v>
      </c>
      <c r="AF146" s="220">
        <f t="shared" si="181"/>
        <v>-368</v>
      </c>
      <c r="AG146" s="220">
        <f t="shared" si="181"/>
        <v>-396</v>
      </c>
      <c r="AH146" s="220">
        <f t="shared" si="181"/>
        <v>-342</v>
      </c>
      <c r="AI146" s="220">
        <f t="shared" si="181"/>
        <v>-197</v>
      </c>
      <c r="AJ146" s="50">
        <f t="shared" si="182"/>
        <v>1.3530000000000069</v>
      </c>
      <c r="AK146" s="257"/>
      <c r="AL146" s="257">
        <f t="shared" si="183"/>
        <v>1.2</v>
      </c>
      <c r="AM146" s="52"/>
      <c r="AN146" s="88"/>
    </row>
    <row r="147" spans="1:40" s="29" customFormat="1" ht="17.25" customHeight="1">
      <c r="A147" s="48">
        <v>137</v>
      </c>
      <c r="B147" s="49">
        <f t="shared" si="175"/>
        <v>45712</v>
      </c>
      <c r="C147" s="220">
        <f t="shared" si="176"/>
        <v>1049</v>
      </c>
      <c r="D147" s="220">
        <f t="shared" ref="D147" si="189">D146+15</f>
        <v>2523</v>
      </c>
      <c r="E147" s="220">
        <f t="shared" si="178"/>
        <v>3572</v>
      </c>
      <c r="F147" s="220">
        <f t="shared" si="170"/>
        <v>1139</v>
      </c>
      <c r="G147" s="220">
        <f t="shared" si="171"/>
        <v>1371</v>
      </c>
      <c r="H147" s="220">
        <f t="shared" si="172"/>
        <v>1419</v>
      </c>
      <c r="I147" s="220">
        <f t="shared" si="173"/>
        <v>1355</v>
      </c>
      <c r="J147" s="220">
        <f t="shared" si="174"/>
        <v>1210</v>
      </c>
      <c r="K147" s="220">
        <f t="shared" si="140"/>
        <v>2433</v>
      </c>
      <c r="L147" s="220">
        <f t="shared" si="140"/>
        <v>2201</v>
      </c>
      <c r="M147" s="220">
        <f t="shared" si="140"/>
        <v>2153</v>
      </c>
      <c r="N147" s="220">
        <f t="shared" si="140"/>
        <v>2217</v>
      </c>
      <c r="O147" s="220">
        <f t="shared" si="140"/>
        <v>2362</v>
      </c>
      <c r="P147" s="220">
        <f t="shared" si="179"/>
        <v>2000</v>
      </c>
      <c r="Q147" s="220">
        <f t="shared" si="179"/>
        <v>2000</v>
      </c>
      <c r="R147" s="220">
        <f t="shared" si="179"/>
        <v>2000</v>
      </c>
      <c r="S147" s="220">
        <f t="shared" si="179"/>
        <v>2000</v>
      </c>
      <c r="T147" s="220">
        <f t="shared" si="179"/>
        <v>2000</v>
      </c>
      <c r="U147" s="220">
        <f t="shared" si="180"/>
        <v>433</v>
      </c>
      <c r="V147" s="220">
        <f t="shared" si="180"/>
        <v>201</v>
      </c>
      <c r="W147" s="220">
        <f t="shared" si="180"/>
        <v>153</v>
      </c>
      <c r="X147" s="220">
        <f t="shared" si="180"/>
        <v>217</v>
      </c>
      <c r="Y147" s="220">
        <f t="shared" si="180"/>
        <v>362</v>
      </c>
      <c r="Z147" s="220">
        <v>0</v>
      </c>
      <c r="AA147" s="220">
        <v>0</v>
      </c>
      <c r="AB147" s="220">
        <v>0</v>
      </c>
      <c r="AC147" s="220">
        <v>0</v>
      </c>
      <c r="AD147" s="220">
        <v>0</v>
      </c>
      <c r="AE147" s="220">
        <f t="shared" si="181"/>
        <v>-216</v>
      </c>
      <c r="AF147" s="220">
        <f t="shared" si="181"/>
        <v>-368</v>
      </c>
      <c r="AG147" s="220">
        <f t="shared" si="181"/>
        <v>-396</v>
      </c>
      <c r="AH147" s="220">
        <f t="shared" si="181"/>
        <v>-342</v>
      </c>
      <c r="AI147" s="220">
        <f t="shared" si="181"/>
        <v>-197</v>
      </c>
      <c r="AJ147" s="50">
        <f t="shared" si="182"/>
        <v>1.3530000000000069</v>
      </c>
      <c r="AK147" s="257"/>
      <c r="AL147" s="257">
        <f t="shared" si="183"/>
        <v>1.2</v>
      </c>
      <c r="AM147" s="52"/>
      <c r="AN147" s="88"/>
    </row>
    <row r="148" spans="1:40" s="29" customFormat="1" ht="17.25" customHeight="1">
      <c r="A148" s="48">
        <v>138</v>
      </c>
      <c r="B148" s="49">
        <f t="shared" si="175"/>
        <v>45713</v>
      </c>
      <c r="C148" s="220">
        <f t="shared" si="176"/>
        <v>1049</v>
      </c>
      <c r="D148" s="220">
        <f t="shared" ref="D148" si="190">D147+26</f>
        <v>2549</v>
      </c>
      <c r="E148" s="220">
        <f t="shared" si="178"/>
        <v>3598</v>
      </c>
      <c r="F148" s="220">
        <f t="shared" si="170"/>
        <v>1165</v>
      </c>
      <c r="G148" s="220">
        <f t="shared" si="171"/>
        <v>1400</v>
      </c>
      <c r="H148" s="220">
        <f t="shared" si="172"/>
        <v>1448</v>
      </c>
      <c r="I148" s="220">
        <f t="shared" si="173"/>
        <v>1384</v>
      </c>
      <c r="J148" s="220">
        <f t="shared" si="174"/>
        <v>1237</v>
      </c>
      <c r="K148" s="220">
        <f t="shared" si="140"/>
        <v>2433</v>
      </c>
      <c r="L148" s="220">
        <f t="shared" si="140"/>
        <v>2198</v>
      </c>
      <c r="M148" s="220">
        <f t="shared" si="140"/>
        <v>2150</v>
      </c>
      <c r="N148" s="220">
        <f t="shared" si="140"/>
        <v>2214</v>
      </c>
      <c r="O148" s="220">
        <f t="shared" si="140"/>
        <v>2361</v>
      </c>
      <c r="P148" s="220">
        <f t="shared" si="179"/>
        <v>2000</v>
      </c>
      <c r="Q148" s="220">
        <f t="shared" si="179"/>
        <v>2000</v>
      </c>
      <c r="R148" s="220">
        <f t="shared" si="179"/>
        <v>2000</v>
      </c>
      <c r="S148" s="220">
        <f t="shared" si="179"/>
        <v>2000</v>
      </c>
      <c r="T148" s="220">
        <f t="shared" si="179"/>
        <v>2000</v>
      </c>
      <c r="U148" s="220">
        <f t="shared" si="180"/>
        <v>433</v>
      </c>
      <c r="V148" s="220">
        <f t="shared" si="180"/>
        <v>198</v>
      </c>
      <c r="W148" s="220">
        <f t="shared" si="180"/>
        <v>150</v>
      </c>
      <c r="X148" s="220">
        <f t="shared" si="180"/>
        <v>214</v>
      </c>
      <c r="Y148" s="220">
        <f t="shared" si="180"/>
        <v>361</v>
      </c>
      <c r="Z148" s="220">
        <v>0</v>
      </c>
      <c r="AA148" s="220">
        <v>3</v>
      </c>
      <c r="AB148" s="220">
        <v>3</v>
      </c>
      <c r="AC148" s="220">
        <v>3</v>
      </c>
      <c r="AD148" s="220">
        <v>1</v>
      </c>
      <c r="AE148" s="220">
        <f t="shared" si="181"/>
        <v>-216</v>
      </c>
      <c r="AF148" s="220">
        <f t="shared" si="181"/>
        <v>-371</v>
      </c>
      <c r="AG148" s="220">
        <f t="shared" si="181"/>
        <v>-399</v>
      </c>
      <c r="AH148" s="220">
        <f t="shared" si="181"/>
        <v>-345</v>
      </c>
      <c r="AI148" s="220">
        <f t="shared" si="181"/>
        <v>-198</v>
      </c>
      <c r="AJ148" s="50">
        <f t="shared" si="182"/>
        <v>1.350000000000007</v>
      </c>
      <c r="AK148" s="257"/>
      <c r="AL148" s="257">
        <f t="shared" si="183"/>
        <v>1.2</v>
      </c>
      <c r="AM148" s="52"/>
      <c r="AN148" s="88"/>
    </row>
    <row r="149" spans="1:40" s="29" customFormat="1" ht="17.25" customHeight="1">
      <c r="A149" s="48">
        <v>139</v>
      </c>
      <c r="B149" s="49">
        <f t="shared" si="175"/>
        <v>45714</v>
      </c>
      <c r="C149" s="220">
        <f t="shared" si="176"/>
        <v>1049</v>
      </c>
      <c r="D149" s="220">
        <f t="shared" ref="D149" si="191">D148+32</f>
        <v>2581</v>
      </c>
      <c r="E149" s="220">
        <f t="shared" si="178"/>
        <v>3630</v>
      </c>
      <c r="F149" s="220">
        <f t="shared" si="170"/>
        <v>1198</v>
      </c>
      <c r="G149" s="220">
        <f t="shared" si="171"/>
        <v>1432</v>
      </c>
      <c r="H149" s="220">
        <f t="shared" si="172"/>
        <v>1481</v>
      </c>
      <c r="I149" s="220">
        <f t="shared" si="173"/>
        <v>1416</v>
      </c>
      <c r="J149" s="220">
        <f t="shared" si="174"/>
        <v>1269</v>
      </c>
      <c r="K149" s="220">
        <f t="shared" si="140"/>
        <v>2432</v>
      </c>
      <c r="L149" s="220">
        <f t="shared" si="140"/>
        <v>2198</v>
      </c>
      <c r="M149" s="220">
        <f t="shared" si="140"/>
        <v>2149</v>
      </c>
      <c r="N149" s="220">
        <f t="shared" si="140"/>
        <v>2214</v>
      </c>
      <c r="O149" s="220">
        <f t="shared" si="140"/>
        <v>2361</v>
      </c>
      <c r="P149" s="220">
        <f t="shared" si="179"/>
        <v>2000</v>
      </c>
      <c r="Q149" s="220">
        <f t="shared" si="179"/>
        <v>2000</v>
      </c>
      <c r="R149" s="220">
        <f t="shared" si="179"/>
        <v>2000</v>
      </c>
      <c r="S149" s="220">
        <f t="shared" si="179"/>
        <v>2000</v>
      </c>
      <c r="T149" s="220">
        <f t="shared" si="179"/>
        <v>2000</v>
      </c>
      <c r="U149" s="220">
        <f t="shared" si="180"/>
        <v>432</v>
      </c>
      <c r="V149" s="220">
        <f t="shared" si="180"/>
        <v>198</v>
      </c>
      <c r="W149" s="220">
        <f t="shared" si="180"/>
        <v>149</v>
      </c>
      <c r="X149" s="220">
        <f t="shared" si="180"/>
        <v>214</v>
      </c>
      <c r="Y149" s="220">
        <f t="shared" si="180"/>
        <v>361</v>
      </c>
      <c r="Z149" s="220">
        <v>1</v>
      </c>
      <c r="AA149" s="220">
        <v>0</v>
      </c>
      <c r="AB149" s="220">
        <v>1</v>
      </c>
      <c r="AC149" s="220">
        <v>0</v>
      </c>
      <c r="AD149" s="220">
        <v>0</v>
      </c>
      <c r="AE149" s="220">
        <f t="shared" si="181"/>
        <v>-217</v>
      </c>
      <c r="AF149" s="220">
        <f t="shared" si="181"/>
        <v>-371</v>
      </c>
      <c r="AG149" s="220">
        <f t="shared" si="181"/>
        <v>-400</v>
      </c>
      <c r="AH149" s="220">
        <f t="shared" si="181"/>
        <v>-345</v>
      </c>
      <c r="AI149" s="220">
        <f t="shared" si="181"/>
        <v>-198</v>
      </c>
      <c r="AJ149" s="50">
        <f t="shared" si="182"/>
        <v>1.3490000000000071</v>
      </c>
      <c r="AK149" s="257"/>
      <c r="AL149" s="257">
        <f t="shared" si="183"/>
        <v>1.2</v>
      </c>
      <c r="AM149" s="52"/>
      <c r="AN149" s="88"/>
    </row>
    <row r="150" spans="1:40" s="29" customFormat="1" ht="17.25" customHeight="1">
      <c r="A150" s="48">
        <v>140</v>
      </c>
      <c r="B150" s="49">
        <f t="shared" si="175"/>
        <v>45715</v>
      </c>
      <c r="C150" s="220">
        <f t="shared" si="176"/>
        <v>1049</v>
      </c>
      <c r="D150" s="220">
        <f t="shared" ref="D150" si="192">D149-18</f>
        <v>2563</v>
      </c>
      <c r="E150" s="220">
        <f t="shared" si="178"/>
        <v>3612</v>
      </c>
      <c r="F150" s="220">
        <f t="shared" si="170"/>
        <v>1180</v>
      </c>
      <c r="G150" s="220">
        <f t="shared" si="171"/>
        <v>1416</v>
      </c>
      <c r="H150" s="220">
        <f t="shared" si="172"/>
        <v>1463</v>
      </c>
      <c r="I150" s="220">
        <f t="shared" si="173"/>
        <v>1400</v>
      </c>
      <c r="J150" s="220">
        <f t="shared" si="174"/>
        <v>1251</v>
      </c>
      <c r="K150" s="220">
        <f t="shared" si="140"/>
        <v>2432</v>
      </c>
      <c r="L150" s="220">
        <f t="shared" si="140"/>
        <v>2196</v>
      </c>
      <c r="M150" s="220">
        <f t="shared" si="140"/>
        <v>2149</v>
      </c>
      <c r="N150" s="220">
        <f t="shared" si="140"/>
        <v>2212</v>
      </c>
      <c r="O150" s="220">
        <f t="shared" si="140"/>
        <v>2361</v>
      </c>
      <c r="P150" s="220">
        <f t="shared" si="179"/>
        <v>2000</v>
      </c>
      <c r="Q150" s="220">
        <f t="shared" si="179"/>
        <v>2000</v>
      </c>
      <c r="R150" s="220">
        <f t="shared" si="179"/>
        <v>2000</v>
      </c>
      <c r="S150" s="220">
        <f t="shared" si="179"/>
        <v>2000</v>
      </c>
      <c r="T150" s="220">
        <f t="shared" si="179"/>
        <v>2000</v>
      </c>
      <c r="U150" s="220">
        <f t="shared" si="180"/>
        <v>432</v>
      </c>
      <c r="V150" s="220">
        <f t="shared" si="180"/>
        <v>196</v>
      </c>
      <c r="W150" s="220">
        <f t="shared" si="180"/>
        <v>149</v>
      </c>
      <c r="X150" s="220">
        <f t="shared" si="180"/>
        <v>212</v>
      </c>
      <c r="Y150" s="220">
        <f t="shared" si="180"/>
        <v>361</v>
      </c>
      <c r="Z150" s="220">
        <v>0</v>
      </c>
      <c r="AA150" s="220">
        <v>2</v>
      </c>
      <c r="AB150" s="220">
        <v>0</v>
      </c>
      <c r="AC150" s="220">
        <v>2</v>
      </c>
      <c r="AD150" s="220">
        <v>0</v>
      </c>
      <c r="AE150" s="220">
        <f t="shared" si="181"/>
        <v>-217</v>
      </c>
      <c r="AF150" s="220">
        <f t="shared" si="181"/>
        <v>-373</v>
      </c>
      <c r="AG150" s="220">
        <f t="shared" si="181"/>
        <v>-400</v>
      </c>
      <c r="AH150" s="220">
        <f t="shared" si="181"/>
        <v>-347</v>
      </c>
      <c r="AI150" s="220">
        <f t="shared" si="181"/>
        <v>-198</v>
      </c>
      <c r="AJ150" s="50">
        <f t="shared" si="182"/>
        <v>1.3490000000000071</v>
      </c>
      <c r="AK150" s="257"/>
      <c r="AL150" s="257">
        <f t="shared" si="183"/>
        <v>1.2</v>
      </c>
      <c r="AM150" s="52"/>
      <c r="AN150" s="88"/>
    </row>
    <row r="151" spans="1:40" s="29" customFormat="1" ht="17.25" customHeight="1">
      <c r="A151" s="48">
        <v>141</v>
      </c>
      <c r="B151" s="49">
        <f t="shared" si="175"/>
        <v>45716</v>
      </c>
      <c r="C151" s="220">
        <f t="shared" si="176"/>
        <v>1049</v>
      </c>
      <c r="D151" s="220">
        <f t="shared" ref="D151" si="193">D150-26</f>
        <v>2537</v>
      </c>
      <c r="E151" s="220">
        <f t="shared" si="178"/>
        <v>3586</v>
      </c>
      <c r="F151" s="220">
        <f t="shared" si="170"/>
        <v>1154</v>
      </c>
      <c r="G151" s="220">
        <f t="shared" si="171"/>
        <v>1390</v>
      </c>
      <c r="H151" s="220">
        <f t="shared" si="172"/>
        <v>1437</v>
      </c>
      <c r="I151" s="220">
        <f t="shared" si="173"/>
        <v>1374</v>
      </c>
      <c r="J151" s="220">
        <f t="shared" si="174"/>
        <v>1225</v>
      </c>
      <c r="K151" s="220">
        <f t="shared" si="140"/>
        <v>2432</v>
      </c>
      <c r="L151" s="220">
        <f t="shared" si="140"/>
        <v>2196</v>
      </c>
      <c r="M151" s="220">
        <f t="shared" si="140"/>
        <v>2149</v>
      </c>
      <c r="N151" s="220">
        <f t="shared" si="140"/>
        <v>2212</v>
      </c>
      <c r="O151" s="220">
        <f t="shared" si="140"/>
        <v>2361</v>
      </c>
      <c r="P151" s="220">
        <f t="shared" si="179"/>
        <v>2000</v>
      </c>
      <c r="Q151" s="220">
        <f t="shared" si="179"/>
        <v>2000</v>
      </c>
      <c r="R151" s="220">
        <f t="shared" si="179"/>
        <v>2000</v>
      </c>
      <c r="S151" s="220">
        <f t="shared" si="179"/>
        <v>2000</v>
      </c>
      <c r="T151" s="220">
        <f t="shared" si="179"/>
        <v>2000</v>
      </c>
      <c r="U151" s="220">
        <f t="shared" si="180"/>
        <v>432</v>
      </c>
      <c r="V151" s="220">
        <f t="shared" si="180"/>
        <v>196</v>
      </c>
      <c r="W151" s="220">
        <f t="shared" si="180"/>
        <v>149</v>
      </c>
      <c r="X151" s="220">
        <f t="shared" si="180"/>
        <v>212</v>
      </c>
      <c r="Y151" s="220">
        <f t="shared" si="180"/>
        <v>361</v>
      </c>
      <c r="Z151" s="220">
        <v>0</v>
      </c>
      <c r="AA151" s="220">
        <v>0</v>
      </c>
      <c r="AB151" s="220">
        <v>0</v>
      </c>
      <c r="AC151" s="220">
        <v>0</v>
      </c>
      <c r="AD151" s="220">
        <v>0</v>
      </c>
      <c r="AE151" s="220">
        <f t="shared" si="181"/>
        <v>-217</v>
      </c>
      <c r="AF151" s="220">
        <f t="shared" si="181"/>
        <v>-373</v>
      </c>
      <c r="AG151" s="220">
        <f t="shared" si="181"/>
        <v>-400</v>
      </c>
      <c r="AH151" s="220">
        <f t="shared" si="181"/>
        <v>-347</v>
      </c>
      <c r="AI151" s="220">
        <f t="shared" si="181"/>
        <v>-198</v>
      </c>
      <c r="AJ151" s="50">
        <f t="shared" si="182"/>
        <v>1.3490000000000071</v>
      </c>
      <c r="AK151" s="257"/>
      <c r="AL151" s="257">
        <f t="shared" si="183"/>
        <v>1.2</v>
      </c>
      <c r="AM151" s="52"/>
      <c r="AN151" s="88"/>
    </row>
    <row r="152" spans="1:40" s="29" customFormat="1" ht="17.25" customHeight="1">
      <c r="A152" s="48">
        <v>142</v>
      </c>
      <c r="B152" s="49">
        <f t="shared" si="175"/>
        <v>45717</v>
      </c>
      <c r="C152" s="220">
        <f t="shared" si="176"/>
        <v>1049</v>
      </c>
      <c r="D152" s="220">
        <f t="shared" ref="D152" si="194">D151+15</f>
        <v>2552</v>
      </c>
      <c r="E152" s="220">
        <f t="shared" si="178"/>
        <v>3601</v>
      </c>
      <c r="F152" s="220">
        <f t="shared" si="170"/>
        <v>1169</v>
      </c>
      <c r="G152" s="220">
        <f t="shared" si="171"/>
        <v>1409</v>
      </c>
      <c r="H152" s="220">
        <f t="shared" si="172"/>
        <v>1452</v>
      </c>
      <c r="I152" s="220">
        <f t="shared" si="173"/>
        <v>1389</v>
      </c>
      <c r="J152" s="220">
        <f t="shared" si="174"/>
        <v>1240</v>
      </c>
      <c r="K152" s="220">
        <f t="shared" si="140"/>
        <v>2432</v>
      </c>
      <c r="L152" s="220">
        <f t="shared" si="140"/>
        <v>2192</v>
      </c>
      <c r="M152" s="220">
        <f t="shared" si="140"/>
        <v>2149</v>
      </c>
      <c r="N152" s="220">
        <f t="shared" si="140"/>
        <v>2212</v>
      </c>
      <c r="O152" s="220">
        <f t="shared" si="140"/>
        <v>2361</v>
      </c>
      <c r="P152" s="220">
        <f t="shared" si="179"/>
        <v>2000</v>
      </c>
      <c r="Q152" s="220">
        <f t="shared" si="179"/>
        <v>2000</v>
      </c>
      <c r="R152" s="220">
        <f t="shared" si="179"/>
        <v>2000</v>
      </c>
      <c r="S152" s="220">
        <f t="shared" si="179"/>
        <v>2000</v>
      </c>
      <c r="T152" s="220">
        <f t="shared" si="179"/>
        <v>2000</v>
      </c>
      <c r="U152" s="220">
        <f t="shared" si="180"/>
        <v>432</v>
      </c>
      <c r="V152" s="220">
        <f t="shared" si="180"/>
        <v>192</v>
      </c>
      <c r="W152" s="220">
        <f t="shared" si="180"/>
        <v>149</v>
      </c>
      <c r="X152" s="220">
        <f t="shared" si="180"/>
        <v>212</v>
      </c>
      <c r="Y152" s="220">
        <f t="shared" si="180"/>
        <v>361</v>
      </c>
      <c r="Z152" s="220">
        <v>0</v>
      </c>
      <c r="AA152" s="220">
        <v>4</v>
      </c>
      <c r="AB152" s="220">
        <v>0</v>
      </c>
      <c r="AC152" s="220">
        <v>0</v>
      </c>
      <c r="AD152" s="220">
        <v>0</v>
      </c>
      <c r="AE152" s="220">
        <f t="shared" si="181"/>
        <v>-217</v>
      </c>
      <c r="AF152" s="220">
        <f t="shared" si="181"/>
        <v>-377</v>
      </c>
      <c r="AG152" s="220">
        <f t="shared" si="181"/>
        <v>-400</v>
      </c>
      <c r="AH152" s="220">
        <f t="shared" si="181"/>
        <v>-347</v>
      </c>
      <c r="AI152" s="220">
        <f t="shared" si="181"/>
        <v>-198</v>
      </c>
      <c r="AJ152" s="50">
        <f t="shared" si="182"/>
        <v>1.3490000000000071</v>
      </c>
      <c r="AK152" s="257"/>
      <c r="AL152" s="257">
        <f t="shared" si="183"/>
        <v>1.2</v>
      </c>
      <c r="AM152" s="52"/>
      <c r="AN152" s="88"/>
    </row>
    <row r="153" spans="1:40" s="29" customFormat="1" ht="17.25" customHeight="1">
      <c r="A153" s="48">
        <v>143</v>
      </c>
      <c r="B153" s="49">
        <f t="shared" si="175"/>
        <v>45718</v>
      </c>
      <c r="C153" s="220">
        <f t="shared" si="176"/>
        <v>1049</v>
      </c>
      <c r="D153" s="220">
        <f t="shared" ref="D153" si="195">D152+26</f>
        <v>2578</v>
      </c>
      <c r="E153" s="220">
        <f t="shared" si="178"/>
        <v>3627</v>
      </c>
      <c r="F153" s="220">
        <f t="shared" si="170"/>
        <v>1196</v>
      </c>
      <c r="G153" s="220">
        <f t="shared" si="171"/>
        <v>1435</v>
      </c>
      <c r="H153" s="220">
        <f t="shared" si="172"/>
        <v>1478</v>
      </c>
      <c r="I153" s="220">
        <f t="shared" si="173"/>
        <v>1415</v>
      </c>
      <c r="J153" s="220">
        <f t="shared" si="174"/>
        <v>1266</v>
      </c>
      <c r="K153" s="220">
        <f t="shared" si="140"/>
        <v>2431</v>
      </c>
      <c r="L153" s="220">
        <f t="shared" si="140"/>
        <v>2192</v>
      </c>
      <c r="M153" s="220">
        <f t="shared" si="140"/>
        <v>2149</v>
      </c>
      <c r="N153" s="220">
        <f t="shared" si="140"/>
        <v>2212</v>
      </c>
      <c r="O153" s="220">
        <f t="shared" si="140"/>
        <v>2361</v>
      </c>
      <c r="P153" s="220">
        <f t="shared" si="179"/>
        <v>2000</v>
      </c>
      <c r="Q153" s="220">
        <f t="shared" si="179"/>
        <v>2000</v>
      </c>
      <c r="R153" s="220">
        <f t="shared" si="179"/>
        <v>2000</v>
      </c>
      <c r="S153" s="220">
        <f t="shared" si="179"/>
        <v>2000</v>
      </c>
      <c r="T153" s="220">
        <f t="shared" si="179"/>
        <v>2000</v>
      </c>
      <c r="U153" s="220">
        <f t="shared" si="180"/>
        <v>431</v>
      </c>
      <c r="V153" s="220">
        <f t="shared" si="180"/>
        <v>192</v>
      </c>
      <c r="W153" s="220">
        <f t="shared" si="180"/>
        <v>149</v>
      </c>
      <c r="X153" s="220">
        <f t="shared" si="180"/>
        <v>212</v>
      </c>
      <c r="Y153" s="220">
        <f t="shared" si="180"/>
        <v>361</v>
      </c>
      <c r="Z153" s="220">
        <v>1</v>
      </c>
      <c r="AA153" s="220">
        <v>0</v>
      </c>
      <c r="AB153" s="220">
        <v>0</v>
      </c>
      <c r="AC153" s="220">
        <v>0</v>
      </c>
      <c r="AD153" s="220">
        <v>0</v>
      </c>
      <c r="AE153" s="220">
        <f t="shared" si="181"/>
        <v>-218</v>
      </c>
      <c r="AF153" s="220">
        <f t="shared" si="181"/>
        <v>-377</v>
      </c>
      <c r="AG153" s="220">
        <f t="shared" si="181"/>
        <v>-400</v>
      </c>
      <c r="AH153" s="220">
        <f t="shared" si="181"/>
        <v>-347</v>
      </c>
      <c r="AI153" s="220">
        <f t="shared" si="181"/>
        <v>-198</v>
      </c>
      <c r="AJ153" s="50">
        <f t="shared" si="182"/>
        <v>1.3490000000000071</v>
      </c>
      <c r="AK153" s="257"/>
      <c r="AL153" s="257">
        <f t="shared" si="183"/>
        <v>1.2</v>
      </c>
      <c r="AM153" s="52"/>
      <c r="AN153" s="88"/>
    </row>
    <row r="154" spans="1:40" s="29" customFormat="1" ht="17.25" customHeight="1">
      <c r="A154" s="48">
        <v>144</v>
      </c>
      <c r="B154" s="49">
        <f t="shared" si="175"/>
        <v>45719</v>
      </c>
      <c r="C154" s="220">
        <f t="shared" si="176"/>
        <v>1049</v>
      </c>
      <c r="D154" s="220">
        <f t="shared" ref="D154" si="196">D153+32</f>
        <v>2610</v>
      </c>
      <c r="E154" s="220">
        <f t="shared" si="178"/>
        <v>3659</v>
      </c>
      <c r="F154" s="220">
        <f t="shared" si="170"/>
        <v>1228</v>
      </c>
      <c r="G154" s="220">
        <f t="shared" si="171"/>
        <v>1467</v>
      </c>
      <c r="H154" s="220">
        <f t="shared" si="172"/>
        <v>1512</v>
      </c>
      <c r="I154" s="220">
        <f t="shared" si="173"/>
        <v>1447</v>
      </c>
      <c r="J154" s="220">
        <f t="shared" si="174"/>
        <v>1298</v>
      </c>
      <c r="K154" s="220">
        <f t="shared" si="140"/>
        <v>2431</v>
      </c>
      <c r="L154" s="220">
        <f t="shared" si="140"/>
        <v>2192</v>
      </c>
      <c r="M154" s="220">
        <f t="shared" si="140"/>
        <v>2147</v>
      </c>
      <c r="N154" s="220">
        <f t="shared" si="140"/>
        <v>2212</v>
      </c>
      <c r="O154" s="220">
        <f t="shared" si="140"/>
        <v>2361</v>
      </c>
      <c r="P154" s="220">
        <f t="shared" si="179"/>
        <v>2000</v>
      </c>
      <c r="Q154" s="220">
        <f t="shared" si="179"/>
        <v>2000</v>
      </c>
      <c r="R154" s="220">
        <f t="shared" si="179"/>
        <v>2000</v>
      </c>
      <c r="S154" s="220">
        <f t="shared" si="179"/>
        <v>2000</v>
      </c>
      <c r="T154" s="220">
        <f t="shared" si="179"/>
        <v>2000</v>
      </c>
      <c r="U154" s="220">
        <f t="shared" si="180"/>
        <v>431</v>
      </c>
      <c r="V154" s="220">
        <f t="shared" si="180"/>
        <v>192</v>
      </c>
      <c r="W154" s="220">
        <f t="shared" si="180"/>
        <v>147</v>
      </c>
      <c r="X154" s="220">
        <f t="shared" si="180"/>
        <v>212</v>
      </c>
      <c r="Y154" s="220">
        <f t="shared" si="180"/>
        <v>361</v>
      </c>
      <c r="Z154" s="220">
        <v>0</v>
      </c>
      <c r="AA154" s="220">
        <v>0</v>
      </c>
      <c r="AB154" s="220">
        <v>2</v>
      </c>
      <c r="AC154" s="220">
        <v>0</v>
      </c>
      <c r="AD154" s="220">
        <v>0</v>
      </c>
      <c r="AE154" s="220">
        <f t="shared" si="181"/>
        <v>-218</v>
      </c>
      <c r="AF154" s="220">
        <f t="shared" si="181"/>
        <v>-377</v>
      </c>
      <c r="AG154" s="220">
        <f t="shared" si="181"/>
        <v>-402</v>
      </c>
      <c r="AH154" s="220">
        <f t="shared" si="181"/>
        <v>-347</v>
      </c>
      <c r="AI154" s="220">
        <f t="shared" si="181"/>
        <v>-198</v>
      </c>
      <c r="AJ154" s="50">
        <f t="shared" si="182"/>
        <v>1.3470000000000071</v>
      </c>
      <c r="AK154" s="257"/>
      <c r="AL154" s="257">
        <f t="shared" si="183"/>
        <v>1.2</v>
      </c>
      <c r="AM154" s="52"/>
      <c r="AN154" s="88"/>
    </row>
    <row r="155" spans="1:40" s="29" customFormat="1" ht="17.25" customHeight="1">
      <c r="A155" s="48">
        <v>145</v>
      </c>
      <c r="B155" s="49">
        <f t="shared" si="175"/>
        <v>45720</v>
      </c>
      <c r="C155" s="220">
        <f t="shared" si="176"/>
        <v>1049</v>
      </c>
      <c r="D155" s="220">
        <f t="shared" ref="D155" si="197">D154-18</f>
        <v>2592</v>
      </c>
      <c r="E155" s="220">
        <f t="shared" si="178"/>
        <v>3641</v>
      </c>
      <c r="F155" s="220">
        <f t="shared" si="170"/>
        <v>1211</v>
      </c>
      <c r="G155" s="220">
        <f t="shared" si="171"/>
        <v>1453</v>
      </c>
      <c r="H155" s="220">
        <f t="shared" si="172"/>
        <v>1494</v>
      </c>
      <c r="I155" s="220">
        <f t="shared" si="173"/>
        <v>1432</v>
      </c>
      <c r="J155" s="220">
        <f t="shared" si="174"/>
        <v>1280</v>
      </c>
      <c r="K155" s="220">
        <f t="shared" si="140"/>
        <v>2430</v>
      </c>
      <c r="L155" s="220">
        <f t="shared" si="140"/>
        <v>2188</v>
      </c>
      <c r="M155" s="220">
        <f t="shared" si="140"/>
        <v>2147</v>
      </c>
      <c r="N155" s="220">
        <f t="shared" si="140"/>
        <v>2209</v>
      </c>
      <c r="O155" s="220">
        <f t="shared" si="140"/>
        <v>2361</v>
      </c>
      <c r="P155" s="220">
        <f t="shared" si="179"/>
        <v>2000</v>
      </c>
      <c r="Q155" s="220">
        <f t="shared" si="179"/>
        <v>2000</v>
      </c>
      <c r="R155" s="220">
        <f t="shared" si="179"/>
        <v>2000</v>
      </c>
      <c r="S155" s="220">
        <f t="shared" si="179"/>
        <v>2000</v>
      </c>
      <c r="T155" s="220">
        <f t="shared" si="179"/>
        <v>2000</v>
      </c>
      <c r="U155" s="220">
        <f t="shared" si="180"/>
        <v>430</v>
      </c>
      <c r="V155" s="220">
        <f t="shared" si="180"/>
        <v>188</v>
      </c>
      <c r="W155" s="220">
        <f t="shared" si="180"/>
        <v>147</v>
      </c>
      <c r="X155" s="220">
        <f t="shared" si="180"/>
        <v>209</v>
      </c>
      <c r="Y155" s="220">
        <f t="shared" si="180"/>
        <v>361</v>
      </c>
      <c r="Z155" s="220">
        <v>1</v>
      </c>
      <c r="AA155" s="220">
        <v>4</v>
      </c>
      <c r="AB155" s="220">
        <v>0</v>
      </c>
      <c r="AC155" s="220">
        <v>3</v>
      </c>
      <c r="AD155" s="220">
        <v>0</v>
      </c>
      <c r="AE155" s="220">
        <f t="shared" si="181"/>
        <v>-219</v>
      </c>
      <c r="AF155" s="220">
        <f t="shared" si="181"/>
        <v>-381</v>
      </c>
      <c r="AG155" s="220">
        <f t="shared" si="181"/>
        <v>-402</v>
      </c>
      <c r="AH155" s="220">
        <f t="shared" si="181"/>
        <v>-350</v>
      </c>
      <c r="AI155" s="220">
        <f t="shared" si="181"/>
        <v>-198</v>
      </c>
      <c r="AJ155" s="50">
        <f t="shared" si="182"/>
        <v>1.3470000000000071</v>
      </c>
      <c r="AK155" s="257"/>
      <c r="AL155" s="257">
        <f t="shared" si="183"/>
        <v>1.2</v>
      </c>
      <c r="AM155" s="52"/>
      <c r="AN155" s="88"/>
    </row>
    <row r="156" spans="1:40" s="29" customFormat="1" ht="17.25" customHeight="1">
      <c r="A156" s="48">
        <v>146</v>
      </c>
      <c r="B156" s="49">
        <f t="shared" si="175"/>
        <v>45721</v>
      </c>
      <c r="C156" s="220">
        <f t="shared" si="176"/>
        <v>1049</v>
      </c>
      <c r="D156" s="220">
        <f t="shared" ref="D156" si="198">D155-26</f>
        <v>2566</v>
      </c>
      <c r="E156" s="220">
        <f t="shared" si="178"/>
        <v>3615</v>
      </c>
      <c r="F156" s="220">
        <f t="shared" si="170"/>
        <v>1186</v>
      </c>
      <c r="G156" s="220">
        <f t="shared" si="171"/>
        <v>1427</v>
      </c>
      <c r="H156" s="220">
        <f t="shared" si="172"/>
        <v>1471</v>
      </c>
      <c r="I156" s="220">
        <f t="shared" si="173"/>
        <v>1406</v>
      </c>
      <c r="J156" s="220">
        <f t="shared" si="174"/>
        <v>1254</v>
      </c>
      <c r="K156" s="220">
        <f t="shared" si="140"/>
        <v>2429</v>
      </c>
      <c r="L156" s="220">
        <f t="shared" si="140"/>
        <v>2188</v>
      </c>
      <c r="M156" s="220">
        <f t="shared" si="140"/>
        <v>2144</v>
      </c>
      <c r="N156" s="220">
        <f t="shared" si="140"/>
        <v>2209</v>
      </c>
      <c r="O156" s="220">
        <f t="shared" si="140"/>
        <v>2361</v>
      </c>
      <c r="P156" s="220">
        <f t="shared" si="179"/>
        <v>2000</v>
      </c>
      <c r="Q156" s="220">
        <f t="shared" si="179"/>
        <v>2000</v>
      </c>
      <c r="R156" s="220">
        <f t="shared" si="179"/>
        <v>2000</v>
      </c>
      <c r="S156" s="220">
        <f t="shared" si="179"/>
        <v>2000</v>
      </c>
      <c r="T156" s="220">
        <f t="shared" si="179"/>
        <v>2000</v>
      </c>
      <c r="U156" s="220">
        <f t="shared" si="180"/>
        <v>429</v>
      </c>
      <c r="V156" s="220">
        <f t="shared" si="180"/>
        <v>188</v>
      </c>
      <c r="W156" s="220">
        <f t="shared" si="180"/>
        <v>144</v>
      </c>
      <c r="X156" s="220">
        <f t="shared" si="180"/>
        <v>209</v>
      </c>
      <c r="Y156" s="220">
        <f t="shared" si="180"/>
        <v>361</v>
      </c>
      <c r="Z156" s="220">
        <v>1</v>
      </c>
      <c r="AA156" s="220">
        <v>0</v>
      </c>
      <c r="AB156" s="220">
        <v>3</v>
      </c>
      <c r="AC156" s="220">
        <v>0</v>
      </c>
      <c r="AD156" s="220">
        <v>0</v>
      </c>
      <c r="AE156" s="220">
        <f t="shared" si="181"/>
        <v>-220</v>
      </c>
      <c r="AF156" s="220">
        <f t="shared" si="181"/>
        <v>-381</v>
      </c>
      <c r="AG156" s="220">
        <f t="shared" si="181"/>
        <v>-405</v>
      </c>
      <c r="AH156" s="220">
        <f t="shared" si="181"/>
        <v>-350</v>
      </c>
      <c r="AI156" s="220">
        <f t="shared" si="181"/>
        <v>-198</v>
      </c>
      <c r="AJ156" s="50">
        <f t="shared" si="182"/>
        <v>1.3440000000000072</v>
      </c>
      <c r="AK156" s="257"/>
      <c r="AL156" s="257">
        <f t="shared" si="183"/>
        <v>1.2</v>
      </c>
      <c r="AM156" s="52"/>
      <c r="AN156" s="88"/>
    </row>
    <row r="157" spans="1:40" s="29" customFormat="1" ht="17.25" customHeight="1">
      <c r="A157" s="48">
        <v>147</v>
      </c>
      <c r="B157" s="49">
        <f t="shared" si="175"/>
        <v>45722</v>
      </c>
      <c r="C157" s="220">
        <f t="shared" si="176"/>
        <v>1049</v>
      </c>
      <c r="D157" s="220">
        <f t="shared" ref="D157" si="199">D156+15</f>
        <v>2581</v>
      </c>
      <c r="E157" s="220">
        <f t="shared" si="178"/>
        <v>3630</v>
      </c>
      <c r="F157" s="220">
        <f t="shared" si="170"/>
        <v>1201</v>
      </c>
      <c r="G157" s="220">
        <f t="shared" si="171"/>
        <v>1443</v>
      </c>
      <c r="H157" s="220">
        <f t="shared" si="172"/>
        <v>1486</v>
      </c>
      <c r="I157" s="220">
        <f t="shared" si="173"/>
        <v>1421</v>
      </c>
      <c r="J157" s="220">
        <f t="shared" si="174"/>
        <v>1269</v>
      </c>
      <c r="K157" s="220">
        <f t="shared" si="140"/>
        <v>2429</v>
      </c>
      <c r="L157" s="220">
        <f t="shared" si="140"/>
        <v>2187</v>
      </c>
      <c r="M157" s="220">
        <f t="shared" si="140"/>
        <v>2144</v>
      </c>
      <c r="N157" s="220">
        <f t="shared" si="140"/>
        <v>2209</v>
      </c>
      <c r="O157" s="220">
        <f t="shared" si="140"/>
        <v>2361</v>
      </c>
      <c r="P157" s="220">
        <f t="shared" ref="P157:T172" si="200">+P156</f>
        <v>2000</v>
      </c>
      <c r="Q157" s="220">
        <f t="shared" si="200"/>
        <v>2000</v>
      </c>
      <c r="R157" s="220">
        <f t="shared" si="200"/>
        <v>2000</v>
      </c>
      <c r="S157" s="220">
        <f t="shared" si="200"/>
        <v>2000</v>
      </c>
      <c r="T157" s="220">
        <f t="shared" si="200"/>
        <v>2000</v>
      </c>
      <c r="U157" s="220">
        <f t="shared" ref="U157:Y172" si="201">U156-Z157</f>
        <v>429</v>
      </c>
      <c r="V157" s="220">
        <f t="shared" si="201"/>
        <v>187</v>
      </c>
      <c r="W157" s="220">
        <f t="shared" si="201"/>
        <v>144</v>
      </c>
      <c r="X157" s="220">
        <f t="shared" si="201"/>
        <v>209</v>
      </c>
      <c r="Y157" s="220">
        <f t="shared" si="201"/>
        <v>361</v>
      </c>
      <c r="Z157" s="220">
        <v>0</v>
      </c>
      <c r="AA157" s="220">
        <v>1</v>
      </c>
      <c r="AB157" s="220">
        <v>0</v>
      </c>
      <c r="AC157" s="220">
        <v>0</v>
      </c>
      <c r="AD157" s="220">
        <v>0</v>
      </c>
      <c r="AE157" s="220">
        <f t="shared" ref="AE157:AI172" si="202">AE156-Z157</f>
        <v>-220</v>
      </c>
      <c r="AF157" s="220">
        <f t="shared" si="202"/>
        <v>-382</v>
      </c>
      <c r="AG157" s="220">
        <f t="shared" si="202"/>
        <v>-405</v>
      </c>
      <c r="AH157" s="220">
        <f t="shared" si="202"/>
        <v>-350</v>
      </c>
      <c r="AI157" s="220">
        <f t="shared" si="202"/>
        <v>-198</v>
      </c>
      <c r="AJ157" s="50">
        <f t="shared" si="182"/>
        <v>1.3440000000000072</v>
      </c>
      <c r="AK157" s="257"/>
      <c r="AL157" s="257">
        <f t="shared" si="183"/>
        <v>1.2</v>
      </c>
      <c r="AM157" s="52"/>
      <c r="AN157" s="88"/>
    </row>
    <row r="158" spans="1:40" s="29" customFormat="1" ht="17.25" customHeight="1">
      <c r="A158" s="48">
        <v>148</v>
      </c>
      <c r="B158" s="49">
        <f t="shared" si="175"/>
        <v>45723</v>
      </c>
      <c r="C158" s="220">
        <f t="shared" si="176"/>
        <v>1049</v>
      </c>
      <c r="D158" s="220">
        <f t="shared" ref="D158" si="203">D157+26</f>
        <v>2607</v>
      </c>
      <c r="E158" s="220">
        <f t="shared" si="178"/>
        <v>3656</v>
      </c>
      <c r="F158" s="220">
        <f t="shared" si="170"/>
        <v>1228</v>
      </c>
      <c r="G158" s="220">
        <f t="shared" si="171"/>
        <v>1470</v>
      </c>
      <c r="H158" s="220">
        <f t="shared" si="172"/>
        <v>1513</v>
      </c>
      <c r="I158" s="220">
        <f t="shared" si="173"/>
        <v>1447</v>
      </c>
      <c r="J158" s="220">
        <f t="shared" si="174"/>
        <v>1295</v>
      </c>
      <c r="K158" s="220">
        <f t="shared" si="140"/>
        <v>2428</v>
      </c>
      <c r="L158" s="220">
        <f t="shared" si="140"/>
        <v>2186</v>
      </c>
      <c r="M158" s="220">
        <f t="shared" si="140"/>
        <v>2143</v>
      </c>
      <c r="N158" s="220">
        <f t="shared" si="140"/>
        <v>2209</v>
      </c>
      <c r="O158" s="220">
        <f t="shared" si="140"/>
        <v>2361</v>
      </c>
      <c r="P158" s="220">
        <f t="shared" si="200"/>
        <v>2000</v>
      </c>
      <c r="Q158" s="220">
        <f t="shared" si="200"/>
        <v>2000</v>
      </c>
      <c r="R158" s="220">
        <f t="shared" si="200"/>
        <v>2000</v>
      </c>
      <c r="S158" s="220">
        <f t="shared" si="200"/>
        <v>2000</v>
      </c>
      <c r="T158" s="220">
        <f t="shared" si="200"/>
        <v>2000</v>
      </c>
      <c r="U158" s="220">
        <f t="shared" si="201"/>
        <v>428</v>
      </c>
      <c r="V158" s="220">
        <f t="shared" si="201"/>
        <v>186</v>
      </c>
      <c r="W158" s="220">
        <f t="shared" si="201"/>
        <v>143</v>
      </c>
      <c r="X158" s="220">
        <f t="shared" si="201"/>
        <v>209</v>
      </c>
      <c r="Y158" s="220">
        <f t="shared" si="201"/>
        <v>361</v>
      </c>
      <c r="Z158" s="220">
        <v>1</v>
      </c>
      <c r="AA158" s="220">
        <v>1</v>
      </c>
      <c r="AB158" s="220">
        <v>1</v>
      </c>
      <c r="AC158" s="220">
        <v>0</v>
      </c>
      <c r="AD158" s="220">
        <v>0</v>
      </c>
      <c r="AE158" s="220">
        <f t="shared" si="202"/>
        <v>-221</v>
      </c>
      <c r="AF158" s="220">
        <f t="shared" si="202"/>
        <v>-383</v>
      </c>
      <c r="AG158" s="220">
        <f t="shared" si="202"/>
        <v>-406</v>
      </c>
      <c r="AH158" s="220">
        <f t="shared" si="202"/>
        <v>-350</v>
      </c>
      <c r="AI158" s="220">
        <f t="shared" si="202"/>
        <v>-198</v>
      </c>
      <c r="AJ158" s="50">
        <f t="shared" si="182"/>
        <v>1.3430000000000073</v>
      </c>
      <c r="AK158" s="257"/>
      <c r="AL158" s="257">
        <f t="shared" si="183"/>
        <v>1.2</v>
      </c>
      <c r="AM158" s="52"/>
      <c r="AN158" s="88"/>
    </row>
    <row r="159" spans="1:40" s="29" customFormat="1" ht="17.25" customHeight="1">
      <c r="A159" s="48">
        <v>149</v>
      </c>
      <c r="B159" s="49">
        <f t="shared" si="175"/>
        <v>45724</v>
      </c>
      <c r="C159" s="220">
        <f t="shared" si="176"/>
        <v>1049</v>
      </c>
      <c r="D159" s="220">
        <f t="shared" ref="D159" si="204">D158+32</f>
        <v>2639</v>
      </c>
      <c r="E159" s="220">
        <f t="shared" si="178"/>
        <v>3688</v>
      </c>
      <c r="F159" s="220">
        <f t="shared" si="170"/>
        <v>1260</v>
      </c>
      <c r="G159" s="220">
        <f t="shared" si="171"/>
        <v>1505</v>
      </c>
      <c r="H159" s="220">
        <f t="shared" si="172"/>
        <v>1548</v>
      </c>
      <c r="I159" s="220">
        <f t="shared" si="173"/>
        <v>1479</v>
      </c>
      <c r="J159" s="220">
        <f t="shared" si="174"/>
        <v>1329</v>
      </c>
      <c r="K159" s="220">
        <f t="shared" si="140"/>
        <v>2428</v>
      </c>
      <c r="L159" s="220">
        <f t="shared" si="140"/>
        <v>2183</v>
      </c>
      <c r="M159" s="220">
        <f t="shared" si="140"/>
        <v>2140</v>
      </c>
      <c r="N159" s="220">
        <f t="shared" si="140"/>
        <v>2209</v>
      </c>
      <c r="O159" s="220">
        <f t="shared" si="140"/>
        <v>2359</v>
      </c>
      <c r="P159" s="220">
        <f t="shared" si="200"/>
        <v>2000</v>
      </c>
      <c r="Q159" s="220">
        <f t="shared" si="200"/>
        <v>2000</v>
      </c>
      <c r="R159" s="220">
        <f t="shared" si="200"/>
        <v>2000</v>
      </c>
      <c r="S159" s="220">
        <f t="shared" si="200"/>
        <v>2000</v>
      </c>
      <c r="T159" s="220">
        <f t="shared" si="200"/>
        <v>2000</v>
      </c>
      <c r="U159" s="220">
        <f t="shared" si="201"/>
        <v>428</v>
      </c>
      <c r="V159" s="220">
        <f t="shared" si="201"/>
        <v>183</v>
      </c>
      <c r="W159" s="220">
        <f t="shared" si="201"/>
        <v>140</v>
      </c>
      <c r="X159" s="220">
        <f t="shared" si="201"/>
        <v>209</v>
      </c>
      <c r="Y159" s="220">
        <f t="shared" si="201"/>
        <v>359</v>
      </c>
      <c r="Z159" s="220">
        <v>0</v>
      </c>
      <c r="AA159" s="220">
        <v>3</v>
      </c>
      <c r="AB159" s="220">
        <v>3</v>
      </c>
      <c r="AC159" s="220">
        <v>0</v>
      </c>
      <c r="AD159" s="220">
        <v>2</v>
      </c>
      <c r="AE159" s="220">
        <f t="shared" si="202"/>
        <v>-221</v>
      </c>
      <c r="AF159" s="220">
        <f t="shared" si="202"/>
        <v>-386</v>
      </c>
      <c r="AG159" s="220">
        <f t="shared" si="202"/>
        <v>-409</v>
      </c>
      <c r="AH159" s="220">
        <f t="shared" si="202"/>
        <v>-350</v>
      </c>
      <c r="AI159" s="220">
        <f t="shared" si="202"/>
        <v>-200</v>
      </c>
      <c r="AJ159" s="50">
        <f t="shared" si="182"/>
        <v>1.3400000000000074</v>
      </c>
      <c r="AK159" s="257"/>
      <c r="AL159" s="257">
        <f t="shared" si="183"/>
        <v>1.2</v>
      </c>
      <c r="AM159" s="52"/>
      <c r="AN159" s="88"/>
    </row>
    <row r="160" spans="1:40" s="29" customFormat="1" ht="17.25" customHeight="1">
      <c r="A160" s="48">
        <v>150</v>
      </c>
      <c r="B160" s="49">
        <f t="shared" si="175"/>
        <v>45725</v>
      </c>
      <c r="C160" s="220">
        <f t="shared" si="176"/>
        <v>1049</v>
      </c>
      <c r="D160" s="220">
        <v>1986</v>
      </c>
      <c r="E160" s="220">
        <f t="shared" si="178"/>
        <v>3035</v>
      </c>
      <c r="F160" s="220">
        <f t="shared" si="170"/>
        <v>607</v>
      </c>
      <c r="G160" s="220">
        <f t="shared" si="171"/>
        <v>854</v>
      </c>
      <c r="H160" s="220">
        <f t="shared" si="172"/>
        <v>896</v>
      </c>
      <c r="I160" s="220">
        <f t="shared" si="173"/>
        <v>828</v>
      </c>
      <c r="J160" s="220">
        <f t="shared" si="174"/>
        <v>676</v>
      </c>
      <c r="K160" s="220">
        <f t="shared" si="140"/>
        <v>2428</v>
      </c>
      <c r="L160" s="220">
        <f t="shared" si="140"/>
        <v>2181</v>
      </c>
      <c r="M160" s="220">
        <f t="shared" si="140"/>
        <v>2139</v>
      </c>
      <c r="N160" s="220">
        <f t="shared" si="140"/>
        <v>2207</v>
      </c>
      <c r="O160" s="220">
        <f t="shared" si="140"/>
        <v>2359</v>
      </c>
      <c r="P160" s="220">
        <f t="shared" si="200"/>
        <v>2000</v>
      </c>
      <c r="Q160" s="220">
        <f t="shared" si="200"/>
        <v>2000</v>
      </c>
      <c r="R160" s="220">
        <f t="shared" si="200"/>
        <v>2000</v>
      </c>
      <c r="S160" s="220">
        <f t="shared" si="200"/>
        <v>2000</v>
      </c>
      <c r="T160" s="220">
        <f t="shared" si="200"/>
        <v>2000</v>
      </c>
      <c r="U160" s="220">
        <f t="shared" si="201"/>
        <v>428</v>
      </c>
      <c r="V160" s="220">
        <f t="shared" si="201"/>
        <v>181</v>
      </c>
      <c r="W160" s="220">
        <f t="shared" si="201"/>
        <v>139</v>
      </c>
      <c r="X160" s="220">
        <f t="shared" si="201"/>
        <v>207</v>
      </c>
      <c r="Y160" s="220">
        <f t="shared" si="201"/>
        <v>359</v>
      </c>
      <c r="Z160" s="220">
        <v>0</v>
      </c>
      <c r="AA160" s="220">
        <v>2</v>
      </c>
      <c r="AB160" s="220">
        <v>1</v>
      </c>
      <c r="AC160" s="220">
        <v>2</v>
      </c>
      <c r="AD160" s="220">
        <v>0</v>
      </c>
      <c r="AE160" s="220">
        <f t="shared" si="202"/>
        <v>-221</v>
      </c>
      <c r="AF160" s="220">
        <f t="shared" si="202"/>
        <v>-388</v>
      </c>
      <c r="AG160" s="220">
        <f t="shared" si="202"/>
        <v>-410</v>
      </c>
      <c r="AH160" s="220">
        <f t="shared" si="202"/>
        <v>-352</v>
      </c>
      <c r="AI160" s="220">
        <f t="shared" si="202"/>
        <v>-200</v>
      </c>
      <c r="AJ160" s="50">
        <f t="shared" si="182"/>
        <v>1.3390000000000075</v>
      </c>
      <c r="AK160" s="257"/>
      <c r="AL160" s="257">
        <f t="shared" si="183"/>
        <v>1.2</v>
      </c>
      <c r="AM160" s="52"/>
      <c r="AN160" s="88"/>
    </row>
    <row r="161" spans="1:40" s="29" customFormat="1" ht="17.25" customHeight="1">
      <c r="A161" s="48">
        <v>151</v>
      </c>
      <c r="B161" s="49">
        <f t="shared" si="175"/>
        <v>45726</v>
      </c>
      <c r="C161" s="220">
        <f t="shared" si="176"/>
        <v>1049</v>
      </c>
      <c r="D161" s="220">
        <f t="shared" ref="D161" si="205">D160-26</f>
        <v>1960</v>
      </c>
      <c r="E161" s="220">
        <f t="shared" si="178"/>
        <v>3009</v>
      </c>
      <c r="F161" s="220">
        <f t="shared" si="170"/>
        <v>582</v>
      </c>
      <c r="G161" s="220">
        <f t="shared" si="171"/>
        <v>828</v>
      </c>
      <c r="H161" s="220">
        <f t="shared" si="172"/>
        <v>871</v>
      </c>
      <c r="I161" s="220">
        <f t="shared" si="173"/>
        <v>802</v>
      </c>
      <c r="J161" s="220">
        <f t="shared" si="174"/>
        <v>650</v>
      </c>
      <c r="K161" s="220">
        <f t="shared" si="140"/>
        <v>2427</v>
      </c>
      <c r="L161" s="220">
        <f t="shared" si="140"/>
        <v>2181</v>
      </c>
      <c r="M161" s="220">
        <f t="shared" si="140"/>
        <v>2138</v>
      </c>
      <c r="N161" s="220">
        <f t="shared" si="140"/>
        <v>2207</v>
      </c>
      <c r="O161" s="220">
        <f t="shared" si="140"/>
        <v>2359</v>
      </c>
      <c r="P161" s="220">
        <f t="shared" si="200"/>
        <v>2000</v>
      </c>
      <c r="Q161" s="220">
        <f t="shared" si="200"/>
        <v>2000</v>
      </c>
      <c r="R161" s="220">
        <f t="shared" si="200"/>
        <v>2000</v>
      </c>
      <c r="S161" s="220">
        <f t="shared" si="200"/>
        <v>2000</v>
      </c>
      <c r="T161" s="220">
        <f t="shared" si="200"/>
        <v>2000</v>
      </c>
      <c r="U161" s="220">
        <f t="shared" si="201"/>
        <v>427</v>
      </c>
      <c r="V161" s="220">
        <f t="shared" si="201"/>
        <v>181</v>
      </c>
      <c r="W161" s="220">
        <f t="shared" si="201"/>
        <v>138</v>
      </c>
      <c r="X161" s="220">
        <f t="shared" si="201"/>
        <v>207</v>
      </c>
      <c r="Y161" s="220">
        <f t="shared" si="201"/>
        <v>359</v>
      </c>
      <c r="Z161" s="220">
        <v>1</v>
      </c>
      <c r="AA161" s="220">
        <v>0</v>
      </c>
      <c r="AB161" s="220">
        <v>1</v>
      </c>
      <c r="AC161" s="220">
        <v>0</v>
      </c>
      <c r="AD161" s="220">
        <v>0</v>
      </c>
      <c r="AE161" s="220">
        <f t="shared" si="202"/>
        <v>-222</v>
      </c>
      <c r="AF161" s="220">
        <f t="shared" si="202"/>
        <v>-388</v>
      </c>
      <c r="AG161" s="220">
        <f t="shared" si="202"/>
        <v>-411</v>
      </c>
      <c r="AH161" s="220">
        <f t="shared" si="202"/>
        <v>-352</v>
      </c>
      <c r="AI161" s="220">
        <f t="shared" si="202"/>
        <v>-200</v>
      </c>
      <c r="AJ161" s="50">
        <f t="shared" si="182"/>
        <v>1.3380000000000076</v>
      </c>
      <c r="AK161" s="257"/>
      <c r="AL161" s="257">
        <f t="shared" si="183"/>
        <v>1.2</v>
      </c>
      <c r="AM161" s="52"/>
      <c r="AN161" s="88"/>
    </row>
    <row r="162" spans="1:40" s="29" customFormat="1" ht="17.25" customHeight="1">
      <c r="A162" s="48">
        <v>152</v>
      </c>
      <c r="B162" s="49">
        <f t="shared" si="175"/>
        <v>45727</v>
      </c>
      <c r="C162" s="220">
        <f t="shared" si="176"/>
        <v>1049</v>
      </c>
      <c r="D162" s="220">
        <f t="shared" ref="D162" si="206">D161+15</f>
        <v>1975</v>
      </c>
      <c r="E162" s="220">
        <f t="shared" si="178"/>
        <v>3024</v>
      </c>
      <c r="F162" s="220">
        <f t="shared" si="170"/>
        <v>597</v>
      </c>
      <c r="G162" s="220">
        <f t="shared" si="171"/>
        <v>843</v>
      </c>
      <c r="H162" s="220">
        <f t="shared" si="172"/>
        <v>886</v>
      </c>
      <c r="I162" s="220">
        <f t="shared" si="173"/>
        <v>821</v>
      </c>
      <c r="J162" s="220">
        <f t="shared" si="174"/>
        <v>665</v>
      </c>
      <c r="K162" s="220">
        <f t="shared" si="140"/>
        <v>2427</v>
      </c>
      <c r="L162" s="220">
        <f t="shared" si="140"/>
        <v>2181</v>
      </c>
      <c r="M162" s="220">
        <f t="shared" si="140"/>
        <v>2138</v>
      </c>
      <c r="N162" s="220">
        <f t="shared" si="140"/>
        <v>2203</v>
      </c>
      <c r="O162" s="220">
        <f t="shared" si="140"/>
        <v>2359</v>
      </c>
      <c r="P162" s="220">
        <f t="shared" si="200"/>
        <v>2000</v>
      </c>
      <c r="Q162" s="220">
        <f t="shared" si="200"/>
        <v>2000</v>
      </c>
      <c r="R162" s="220">
        <f t="shared" si="200"/>
        <v>2000</v>
      </c>
      <c r="S162" s="220">
        <f t="shared" si="200"/>
        <v>2000</v>
      </c>
      <c r="T162" s="220">
        <f t="shared" si="200"/>
        <v>2000</v>
      </c>
      <c r="U162" s="220">
        <f t="shared" si="201"/>
        <v>427</v>
      </c>
      <c r="V162" s="220">
        <f t="shared" si="201"/>
        <v>181</v>
      </c>
      <c r="W162" s="220">
        <f t="shared" si="201"/>
        <v>138</v>
      </c>
      <c r="X162" s="220">
        <f t="shared" si="201"/>
        <v>203</v>
      </c>
      <c r="Y162" s="220">
        <f t="shared" si="201"/>
        <v>359</v>
      </c>
      <c r="Z162" s="220">
        <v>0</v>
      </c>
      <c r="AA162" s="220">
        <v>0</v>
      </c>
      <c r="AB162" s="220">
        <v>0</v>
      </c>
      <c r="AC162" s="220">
        <v>4</v>
      </c>
      <c r="AD162" s="220">
        <v>0</v>
      </c>
      <c r="AE162" s="220">
        <f t="shared" si="202"/>
        <v>-222</v>
      </c>
      <c r="AF162" s="220">
        <f t="shared" si="202"/>
        <v>-388</v>
      </c>
      <c r="AG162" s="220">
        <f t="shared" si="202"/>
        <v>-411</v>
      </c>
      <c r="AH162" s="220">
        <f t="shared" si="202"/>
        <v>-356</v>
      </c>
      <c r="AI162" s="220">
        <f t="shared" si="202"/>
        <v>-200</v>
      </c>
      <c r="AJ162" s="50">
        <f t="shared" si="182"/>
        <v>1.3380000000000076</v>
      </c>
      <c r="AK162" s="257"/>
      <c r="AL162" s="257">
        <f t="shared" si="183"/>
        <v>1.2</v>
      </c>
      <c r="AM162" s="52"/>
      <c r="AN162" s="88"/>
    </row>
    <row r="163" spans="1:40" s="29" customFormat="1" ht="17.25" customHeight="1">
      <c r="A163" s="48">
        <v>153</v>
      </c>
      <c r="B163" s="49">
        <f t="shared" si="175"/>
        <v>45728</v>
      </c>
      <c r="C163" s="220">
        <f t="shared" si="176"/>
        <v>1049</v>
      </c>
      <c r="D163" s="220">
        <f t="shared" ref="D163" si="207">D162+26</f>
        <v>2001</v>
      </c>
      <c r="E163" s="220">
        <f t="shared" si="178"/>
        <v>3050</v>
      </c>
      <c r="F163" s="220">
        <f t="shared" si="170"/>
        <v>623</v>
      </c>
      <c r="G163" s="220">
        <f t="shared" si="171"/>
        <v>869</v>
      </c>
      <c r="H163" s="220">
        <f t="shared" si="172"/>
        <v>913</v>
      </c>
      <c r="I163" s="220">
        <f t="shared" si="173"/>
        <v>851</v>
      </c>
      <c r="J163" s="220">
        <f t="shared" si="174"/>
        <v>691</v>
      </c>
      <c r="K163" s="220">
        <f t="shared" si="140"/>
        <v>2427</v>
      </c>
      <c r="L163" s="220">
        <f t="shared" si="140"/>
        <v>2181</v>
      </c>
      <c r="M163" s="220">
        <f t="shared" si="140"/>
        <v>2137</v>
      </c>
      <c r="N163" s="220">
        <f t="shared" si="140"/>
        <v>2199</v>
      </c>
      <c r="O163" s="220">
        <f t="shared" si="140"/>
        <v>2359</v>
      </c>
      <c r="P163" s="220">
        <f t="shared" si="200"/>
        <v>2000</v>
      </c>
      <c r="Q163" s="220">
        <f t="shared" si="200"/>
        <v>2000</v>
      </c>
      <c r="R163" s="220">
        <f t="shared" si="200"/>
        <v>2000</v>
      </c>
      <c r="S163" s="220">
        <f t="shared" si="200"/>
        <v>2000</v>
      </c>
      <c r="T163" s="220">
        <f t="shared" si="200"/>
        <v>2000</v>
      </c>
      <c r="U163" s="220">
        <f t="shared" si="201"/>
        <v>427</v>
      </c>
      <c r="V163" s="220">
        <f t="shared" si="201"/>
        <v>181</v>
      </c>
      <c r="W163" s="220">
        <f t="shared" si="201"/>
        <v>137</v>
      </c>
      <c r="X163" s="220">
        <f t="shared" si="201"/>
        <v>199</v>
      </c>
      <c r="Y163" s="220">
        <f t="shared" si="201"/>
        <v>359</v>
      </c>
      <c r="Z163" s="220">
        <v>0</v>
      </c>
      <c r="AA163" s="220">
        <v>0</v>
      </c>
      <c r="AB163" s="220">
        <v>1</v>
      </c>
      <c r="AC163" s="220">
        <v>4</v>
      </c>
      <c r="AD163" s="220">
        <v>0</v>
      </c>
      <c r="AE163" s="220">
        <f t="shared" si="202"/>
        <v>-222</v>
      </c>
      <c r="AF163" s="220">
        <f t="shared" si="202"/>
        <v>-388</v>
      </c>
      <c r="AG163" s="220">
        <f t="shared" si="202"/>
        <v>-412</v>
      </c>
      <c r="AH163" s="220">
        <f t="shared" si="202"/>
        <v>-360</v>
      </c>
      <c r="AI163" s="220">
        <f t="shared" si="202"/>
        <v>-200</v>
      </c>
      <c r="AJ163" s="50">
        <f t="shared" si="182"/>
        <v>1.3370000000000077</v>
      </c>
      <c r="AK163" s="257"/>
      <c r="AL163" s="257">
        <f t="shared" si="183"/>
        <v>1.2</v>
      </c>
      <c r="AM163" s="52"/>
      <c r="AN163" s="88"/>
    </row>
    <row r="164" spans="1:40" s="29" customFormat="1" ht="17.25" customHeight="1">
      <c r="A164" s="48">
        <v>154</v>
      </c>
      <c r="B164" s="49">
        <f t="shared" si="175"/>
        <v>45729</v>
      </c>
      <c r="C164" s="220">
        <f t="shared" si="176"/>
        <v>1049</v>
      </c>
      <c r="D164" s="220">
        <f t="shared" ref="D164" si="208">D163+32</f>
        <v>2033</v>
      </c>
      <c r="E164" s="220">
        <f t="shared" si="178"/>
        <v>3082</v>
      </c>
      <c r="F164" s="220">
        <f t="shared" si="170"/>
        <v>656</v>
      </c>
      <c r="G164" s="220">
        <f t="shared" si="171"/>
        <v>904</v>
      </c>
      <c r="H164" s="220">
        <f t="shared" si="172"/>
        <v>948</v>
      </c>
      <c r="I164" s="220">
        <f t="shared" si="173"/>
        <v>886</v>
      </c>
      <c r="J164" s="220">
        <f t="shared" si="174"/>
        <v>723</v>
      </c>
      <c r="K164" s="220">
        <f t="shared" si="140"/>
        <v>2426</v>
      </c>
      <c r="L164" s="220">
        <f t="shared" si="140"/>
        <v>2178</v>
      </c>
      <c r="M164" s="220">
        <f t="shared" si="140"/>
        <v>2134</v>
      </c>
      <c r="N164" s="220">
        <f t="shared" si="140"/>
        <v>2196</v>
      </c>
      <c r="O164" s="220">
        <f t="shared" si="140"/>
        <v>2359</v>
      </c>
      <c r="P164" s="220">
        <f t="shared" si="200"/>
        <v>2000</v>
      </c>
      <c r="Q164" s="220">
        <f t="shared" si="200"/>
        <v>2000</v>
      </c>
      <c r="R164" s="220">
        <f t="shared" si="200"/>
        <v>2000</v>
      </c>
      <c r="S164" s="220">
        <f t="shared" si="200"/>
        <v>2000</v>
      </c>
      <c r="T164" s="220">
        <f t="shared" si="200"/>
        <v>2000</v>
      </c>
      <c r="U164" s="220">
        <f t="shared" si="201"/>
        <v>426</v>
      </c>
      <c r="V164" s="220">
        <f t="shared" si="201"/>
        <v>178</v>
      </c>
      <c r="W164" s="220">
        <f t="shared" si="201"/>
        <v>134</v>
      </c>
      <c r="X164" s="220">
        <f t="shared" si="201"/>
        <v>196</v>
      </c>
      <c r="Y164" s="220">
        <f t="shared" si="201"/>
        <v>359</v>
      </c>
      <c r="Z164" s="220">
        <v>1</v>
      </c>
      <c r="AA164" s="220">
        <v>3</v>
      </c>
      <c r="AB164" s="220">
        <v>3</v>
      </c>
      <c r="AC164" s="220">
        <v>3</v>
      </c>
      <c r="AD164" s="220">
        <v>0</v>
      </c>
      <c r="AE164" s="220">
        <f t="shared" si="202"/>
        <v>-223</v>
      </c>
      <c r="AF164" s="220">
        <f t="shared" si="202"/>
        <v>-391</v>
      </c>
      <c r="AG164" s="220">
        <f t="shared" si="202"/>
        <v>-415</v>
      </c>
      <c r="AH164" s="220">
        <f t="shared" si="202"/>
        <v>-363</v>
      </c>
      <c r="AI164" s="220">
        <f t="shared" si="202"/>
        <v>-200</v>
      </c>
      <c r="AJ164" s="50">
        <f t="shared" si="182"/>
        <v>1.3340000000000078</v>
      </c>
      <c r="AK164" s="257"/>
      <c r="AL164" s="257">
        <f t="shared" si="183"/>
        <v>1.2</v>
      </c>
      <c r="AM164" s="52"/>
      <c r="AN164" s="88"/>
    </row>
    <row r="165" spans="1:40" s="29" customFormat="1" ht="17.25" customHeight="1">
      <c r="A165" s="48">
        <v>155</v>
      </c>
      <c r="B165" s="49">
        <f t="shared" si="175"/>
        <v>45730</v>
      </c>
      <c r="C165" s="220">
        <f t="shared" si="176"/>
        <v>1049</v>
      </c>
      <c r="D165" s="220">
        <f t="shared" ref="D165" si="209">D164-18</f>
        <v>2015</v>
      </c>
      <c r="E165" s="220">
        <f t="shared" si="178"/>
        <v>3064</v>
      </c>
      <c r="F165" s="220">
        <f t="shared" si="170"/>
        <v>638</v>
      </c>
      <c r="G165" s="220">
        <f t="shared" si="171"/>
        <v>886</v>
      </c>
      <c r="H165" s="220">
        <f t="shared" si="172"/>
        <v>933</v>
      </c>
      <c r="I165" s="220">
        <f t="shared" si="173"/>
        <v>870</v>
      </c>
      <c r="J165" s="220">
        <f t="shared" si="174"/>
        <v>705</v>
      </c>
      <c r="K165" s="220">
        <f t="shared" ref="K165:O215" si="210">P165+U165</f>
        <v>2426</v>
      </c>
      <c r="L165" s="220">
        <f t="shared" si="210"/>
        <v>2178</v>
      </c>
      <c r="M165" s="220">
        <f t="shared" si="210"/>
        <v>2131</v>
      </c>
      <c r="N165" s="220">
        <f t="shared" si="210"/>
        <v>2194</v>
      </c>
      <c r="O165" s="220">
        <f t="shared" si="210"/>
        <v>2359</v>
      </c>
      <c r="P165" s="220">
        <f t="shared" si="200"/>
        <v>2000</v>
      </c>
      <c r="Q165" s="220">
        <f t="shared" si="200"/>
        <v>2000</v>
      </c>
      <c r="R165" s="220">
        <f t="shared" si="200"/>
        <v>2000</v>
      </c>
      <c r="S165" s="220">
        <f t="shared" si="200"/>
        <v>2000</v>
      </c>
      <c r="T165" s="220">
        <f t="shared" si="200"/>
        <v>2000</v>
      </c>
      <c r="U165" s="220">
        <f t="shared" si="201"/>
        <v>426</v>
      </c>
      <c r="V165" s="220">
        <f t="shared" si="201"/>
        <v>178</v>
      </c>
      <c r="W165" s="220">
        <f t="shared" si="201"/>
        <v>131</v>
      </c>
      <c r="X165" s="220">
        <f t="shared" si="201"/>
        <v>194</v>
      </c>
      <c r="Y165" s="220">
        <f t="shared" si="201"/>
        <v>359</v>
      </c>
      <c r="Z165" s="220">
        <v>0</v>
      </c>
      <c r="AA165" s="220">
        <v>0</v>
      </c>
      <c r="AB165" s="220">
        <v>3</v>
      </c>
      <c r="AC165" s="220">
        <v>2</v>
      </c>
      <c r="AD165" s="220">
        <v>0</v>
      </c>
      <c r="AE165" s="220">
        <f t="shared" si="202"/>
        <v>-223</v>
      </c>
      <c r="AF165" s="220">
        <f t="shared" si="202"/>
        <v>-391</v>
      </c>
      <c r="AG165" s="220">
        <f t="shared" si="202"/>
        <v>-418</v>
      </c>
      <c r="AH165" s="220">
        <f t="shared" si="202"/>
        <v>-365</v>
      </c>
      <c r="AI165" s="220">
        <f t="shared" si="202"/>
        <v>-200</v>
      </c>
      <c r="AJ165" s="50">
        <f t="shared" si="182"/>
        <v>1.331000000000008</v>
      </c>
      <c r="AK165" s="257"/>
      <c r="AL165" s="257">
        <f t="shared" si="183"/>
        <v>1.2</v>
      </c>
      <c r="AM165" s="52"/>
      <c r="AN165" s="88"/>
    </row>
    <row r="166" spans="1:40" s="29" customFormat="1" ht="17.25" customHeight="1">
      <c r="A166" s="48">
        <v>156</v>
      </c>
      <c r="B166" s="49">
        <f t="shared" si="175"/>
        <v>45731</v>
      </c>
      <c r="C166" s="220">
        <f t="shared" si="176"/>
        <v>1049</v>
      </c>
      <c r="D166" s="220">
        <f t="shared" ref="D166" si="211">D165-26</f>
        <v>1989</v>
      </c>
      <c r="E166" s="220">
        <f t="shared" si="178"/>
        <v>3038</v>
      </c>
      <c r="F166" s="220">
        <f t="shared" si="170"/>
        <v>613</v>
      </c>
      <c r="G166" s="220">
        <f t="shared" si="171"/>
        <v>860</v>
      </c>
      <c r="H166" s="220">
        <f t="shared" si="172"/>
        <v>908</v>
      </c>
      <c r="I166" s="220">
        <f t="shared" si="173"/>
        <v>844</v>
      </c>
      <c r="J166" s="220">
        <f t="shared" si="174"/>
        <v>679</v>
      </c>
      <c r="K166" s="220">
        <f t="shared" si="210"/>
        <v>2425</v>
      </c>
      <c r="L166" s="220">
        <f t="shared" si="210"/>
        <v>2178</v>
      </c>
      <c r="M166" s="220">
        <f t="shared" si="210"/>
        <v>2130</v>
      </c>
      <c r="N166" s="220">
        <f t="shared" si="210"/>
        <v>2194</v>
      </c>
      <c r="O166" s="220">
        <f t="shared" si="210"/>
        <v>2359</v>
      </c>
      <c r="P166" s="220">
        <f t="shared" si="200"/>
        <v>2000</v>
      </c>
      <c r="Q166" s="220">
        <f t="shared" si="200"/>
        <v>2000</v>
      </c>
      <c r="R166" s="220">
        <f t="shared" si="200"/>
        <v>2000</v>
      </c>
      <c r="S166" s="220">
        <f t="shared" si="200"/>
        <v>2000</v>
      </c>
      <c r="T166" s="220">
        <f t="shared" si="200"/>
        <v>2000</v>
      </c>
      <c r="U166" s="220">
        <f t="shared" si="201"/>
        <v>425</v>
      </c>
      <c r="V166" s="220">
        <f t="shared" si="201"/>
        <v>178</v>
      </c>
      <c r="W166" s="220">
        <f t="shared" si="201"/>
        <v>130</v>
      </c>
      <c r="X166" s="220">
        <f t="shared" si="201"/>
        <v>194</v>
      </c>
      <c r="Y166" s="220">
        <f t="shared" si="201"/>
        <v>359</v>
      </c>
      <c r="Z166" s="220">
        <v>1</v>
      </c>
      <c r="AA166" s="220">
        <v>0</v>
      </c>
      <c r="AB166" s="220">
        <v>1</v>
      </c>
      <c r="AC166" s="220">
        <v>0</v>
      </c>
      <c r="AD166" s="220">
        <v>0</v>
      </c>
      <c r="AE166" s="220">
        <f t="shared" si="202"/>
        <v>-224</v>
      </c>
      <c r="AF166" s="220">
        <f t="shared" si="202"/>
        <v>-391</v>
      </c>
      <c r="AG166" s="220">
        <f t="shared" si="202"/>
        <v>-419</v>
      </c>
      <c r="AH166" s="220">
        <f t="shared" si="202"/>
        <v>-365</v>
      </c>
      <c r="AI166" s="220">
        <f t="shared" si="202"/>
        <v>-200</v>
      </c>
      <c r="AJ166" s="50">
        <f t="shared" si="182"/>
        <v>1.3300000000000081</v>
      </c>
      <c r="AK166" s="257"/>
      <c r="AL166" s="257">
        <f t="shared" si="183"/>
        <v>1.2</v>
      </c>
      <c r="AM166" s="52"/>
      <c r="AN166" s="88"/>
    </row>
    <row r="167" spans="1:40" s="29" customFormat="1" ht="17.25" customHeight="1">
      <c r="A167" s="48">
        <v>157</v>
      </c>
      <c r="B167" s="49">
        <f t="shared" si="175"/>
        <v>45732</v>
      </c>
      <c r="C167" s="220">
        <f t="shared" si="176"/>
        <v>1049</v>
      </c>
      <c r="D167" s="220">
        <f t="shared" ref="D167" si="212">D166+15</f>
        <v>2004</v>
      </c>
      <c r="E167" s="220">
        <f t="shared" si="178"/>
        <v>3053</v>
      </c>
      <c r="F167" s="220">
        <f t="shared" si="170"/>
        <v>628</v>
      </c>
      <c r="G167" s="220">
        <f t="shared" si="171"/>
        <v>879</v>
      </c>
      <c r="H167" s="220">
        <f t="shared" si="172"/>
        <v>925</v>
      </c>
      <c r="I167" s="220">
        <f t="shared" si="173"/>
        <v>859</v>
      </c>
      <c r="J167" s="220">
        <f t="shared" si="174"/>
        <v>694</v>
      </c>
      <c r="K167" s="220">
        <f t="shared" si="210"/>
        <v>2425</v>
      </c>
      <c r="L167" s="220">
        <f t="shared" si="210"/>
        <v>2174</v>
      </c>
      <c r="M167" s="220">
        <f t="shared" si="210"/>
        <v>2128</v>
      </c>
      <c r="N167" s="220">
        <f t="shared" si="210"/>
        <v>2194</v>
      </c>
      <c r="O167" s="220">
        <f t="shared" si="210"/>
        <v>2359</v>
      </c>
      <c r="P167" s="220">
        <f t="shared" si="200"/>
        <v>2000</v>
      </c>
      <c r="Q167" s="220">
        <f t="shared" si="200"/>
        <v>2000</v>
      </c>
      <c r="R167" s="220">
        <f t="shared" si="200"/>
        <v>2000</v>
      </c>
      <c r="S167" s="220">
        <f t="shared" si="200"/>
        <v>2000</v>
      </c>
      <c r="T167" s="220">
        <f t="shared" si="200"/>
        <v>2000</v>
      </c>
      <c r="U167" s="220">
        <f t="shared" si="201"/>
        <v>425</v>
      </c>
      <c r="V167" s="220">
        <f t="shared" si="201"/>
        <v>174</v>
      </c>
      <c r="W167" s="220">
        <f t="shared" si="201"/>
        <v>128</v>
      </c>
      <c r="X167" s="220">
        <f t="shared" si="201"/>
        <v>194</v>
      </c>
      <c r="Y167" s="220">
        <f t="shared" si="201"/>
        <v>359</v>
      </c>
      <c r="Z167" s="220">
        <v>0</v>
      </c>
      <c r="AA167" s="220">
        <v>4</v>
      </c>
      <c r="AB167" s="220">
        <v>2</v>
      </c>
      <c r="AC167" s="220">
        <v>0</v>
      </c>
      <c r="AD167" s="220">
        <v>0</v>
      </c>
      <c r="AE167" s="220">
        <f t="shared" si="202"/>
        <v>-224</v>
      </c>
      <c r="AF167" s="220">
        <f t="shared" si="202"/>
        <v>-395</v>
      </c>
      <c r="AG167" s="220">
        <f t="shared" si="202"/>
        <v>-421</v>
      </c>
      <c r="AH167" s="220">
        <f t="shared" si="202"/>
        <v>-365</v>
      </c>
      <c r="AI167" s="220">
        <f t="shared" si="202"/>
        <v>-200</v>
      </c>
      <c r="AJ167" s="50">
        <f t="shared" si="182"/>
        <v>1.3280000000000081</v>
      </c>
      <c r="AK167" s="257"/>
      <c r="AL167" s="257">
        <f t="shared" si="183"/>
        <v>1.2</v>
      </c>
      <c r="AM167" s="52"/>
      <c r="AN167" s="88"/>
    </row>
    <row r="168" spans="1:40" s="29" customFormat="1" ht="17.25" customHeight="1">
      <c r="A168" s="48">
        <v>158</v>
      </c>
      <c r="B168" s="49">
        <f t="shared" si="175"/>
        <v>45733</v>
      </c>
      <c r="C168" s="220">
        <f t="shared" si="176"/>
        <v>1049</v>
      </c>
      <c r="D168" s="220">
        <f t="shared" ref="D168" si="213">D167+26</f>
        <v>2030</v>
      </c>
      <c r="E168" s="220">
        <f t="shared" si="178"/>
        <v>3079</v>
      </c>
      <c r="F168" s="220">
        <f t="shared" si="170"/>
        <v>655</v>
      </c>
      <c r="G168" s="220">
        <f t="shared" si="171"/>
        <v>905</v>
      </c>
      <c r="H168" s="220">
        <f t="shared" si="172"/>
        <v>951</v>
      </c>
      <c r="I168" s="220">
        <f t="shared" si="173"/>
        <v>885</v>
      </c>
      <c r="J168" s="220">
        <f t="shared" si="174"/>
        <v>720</v>
      </c>
      <c r="K168" s="220">
        <f t="shared" si="210"/>
        <v>2424</v>
      </c>
      <c r="L168" s="220">
        <f t="shared" si="210"/>
        <v>2174</v>
      </c>
      <c r="M168" s="220">
        <f t="shared" si="210"/>
        <v>2128</v>
      </c>
      <c r="N168" s="220">
        <f t="shared" si="210"/>
        <v>2194</v>
      </c>
      <c r="O168" s="220">
        <f t="shared" si="210"/>
        <v>2359</v>
      </c>
      <c r="P168" s="220">
        <f t="shared" si="200"/>
        <v>2000</v>
      </c>
      <c r="Q168" s="220">
        <f t="shared" si="200"/>
        <v>2000</v>
      </c>
      <c r="R168" s="220">
        <f t="shared" si="200"/>
        <v>2000</v>
      </c>
      <c r="S168" s="220">
        <f t="shared" si="200"/>
        <v>2000</v>
      </c>
      <c r="T168" s="220">
        <f t="shared" si="200"/>
        <v>2000</v>
      </c>
      <c r="U168" s="220">
        <f t="shared" si="201"/>
        <v>424</v>
      </c>
      <c r="V168" s="220">
        <f t="shared" si="201"/>
        <v>174</v>
      </c>
      <c r="W168" s="220">
        <f t="shared" si="201"/>
        <v>128</v>
      </c>
      <c r="X168" s="220">
        <f t="shared" si="201"/>
        <v>194</v>
      </c>
      <c r="Y168" s="220">
        <f t="shared" si="201"/>
        <v>359</v>
      </c>
      <c r="Z168" s="220">
        <v>1</v>
      </c>
      <c r="AA168" s="220">
        <v>0</v>
      </c>
      <c r="AB168" s="220">
        <v>0</v>
      </c>
      <c r="AC168" s="220">
        <v>0</v>
      </c>
      <c r="AD168" s="220">
        <v>0</v>
      </c>
      <c r="AE168" s="220">
        <f t="shared" si="202"/>
        <v>-225</v>
      </c>
      <c r="AF168" s="220">
        <f t="shared" si="202"/>
        <v>-395</v>
      </c>
      <c r="AG168" s="220">
        <f t="shared" si="202"/>
        <v>-421</v>
      </c>
      <c r="AH168" s="220">
        <f t="shared" si="202"/>
        <v>-365</v>
      </c>
      <c r="AI168" s="220">
        <f t="shared" si="202"/>
        <v>-200</v>
      </c>
      <c r="AJ168" s="50">
        <f t="shared" si="182"/>
        <v>1.3280000000000081</v>
      </c>
      <c r="AK168" s="257"/>
      <c r="AL168" s="257">
        <f t="shared" si="183"/>
        <v>1.2</v>
      </c>
      <c r="AM168" s="52"/>
      <c r="AN168" s="88"/>
    </row>
    <row r="169" spans="1:40" s="29" customFormat="1" ht="17.25" customHeight="1">
      <c r="A169" s="48">
        <v>159</v>
      </c>
      <c r="B169" s="49">
        <f t="shared" si="175"/>
        <v>45734</v>
      </c>
      <c r="C169" s="220">
        <f t="shared" si="176"/>
        <v>1049</v>
      </c>
      <c r="D169" s="220">
        <f t="shared" ref="D169" si="214">D168+32</f>
        <v>2062</v>
      </c>
      <c r="E169" s="220">
        <f t="shared" si="178"/>
        <v>3111</v>
      </c>
      <c r="F169" s="220">
        <f t="shared" si="170"/>
        <v>687</v>
      </c>
      <c r="G169" s="220">
        <f t="shared" si="171"/>
        <v>937</v>
      </c>
      <c r="H169" s="220">
        <f t="shared" si="172"/>
        <v>984</v>
      </c>
      <c r="I169" s="220">
        <f t="shared" si="173"/>
        <v>917</v>
      </c>
      <c r="J169" s="220">
        <f t="shared" si="174"/>
        <v>754</v>
      </c>
      <c r="K169" s="220">
        <f t="shared" si="210"/>
        <v>2424</v>
      </c>
      <c r="L169" s="220">
        <f t="shared" si="210"/>
        <v>2174</v>
      </c>
      <c r="M169" s="220">
        <f t="shared" si="210"/>
        <v>2127</v>
      </c>
      <c r="N169" s="220">
        <f t="shared" si="210"/>
        <v>2194</v>
      </c>
      <c r="O169" s="220">
        <f t="shared" si="210"/>
        <v>2357</v>
      </c>
      <c r="P169" s="220">
        <f t="shared" si="200"/>
        <v>2000</v>
      </c>
      <c r="Q169" s="220">
        <f t="shared" si="200"/>
        <v>2000</v>
      </c>
      <c r="R169" s="220">
        <f t="shared" si="200"/>
        <v>2000</v>
      </c>
      <c r="S169" s="220">
        <f t="shared" si="200"/>
        <v>2000</v>
      </c>
      <c r="T169" s="220">
        <f t="shared" si="200"/>
        <v>2000</v>
      </c>
      <c r="U169" s="220">
        <f t="shared" si="201"/>
        <v>424</v>
      </c>
      <c r="V169" s="220">
        <f t="shared" si="201"/>
        <v>174</v>
      </c>
      <c r="W169" s="220">
        <f t="shared" si="201"/>
        <v>127</v>
      </c>
      <c r="X169" s="220">
        <f t="shared" si="201"/>
        <v>194</v>
      </c>
      <c r="Y169" s="220">
        <f t="shared" si="201"/>
        <v>357</v>
      </c>
      <c r="Z169" s="220">
        <v>0</v>
      </c>
      <c r="AA169" s="220">
        <v>0</v>
      </c>
      <c r="AB169" s="220">
        <v>1</v>
      </c>
      <c r="AC169" s="220">
        <v>0</v>
      </c>
      <c r="AD169" s="220">
        <v>2</v>
      </c>
      <c r="AE169" s="220">
        <f t="shared" si="202"/>
        <v>-225</v>
      </c>
      <c r="AF169" s="220">
        <f t="shared" si="202"/>
        <v>-395</v>
      </c>
      <c r="AG169" s="220">
        <f t="shared" si="202"/>
        <v>-422</v>
      </c>
      <c r="AH169" s="220">
        <f t="shared" si="202"/>
        <v>-365</v>
      </c>
      <c r="AI169" s="220">
        <f t="shared" si="202"/>
        <v>-202</v>
      </c>
      <c r="AJ169" s="50">
        <f t="shared" si="182"/>
        <v>1.3270000000000082</v>
      </c>
      <c r="AK169" s="257"/>
      <c r="AL169" s="257">
        <f t="shared" si="183"/>
        <v>1.2</v>
      </c>
      <c r="AM169" s="52"/>
      <c r="AN169" s="88"/>
    </row>
    <row r="170" spans="1:40" s="29" customFormat="1" ht="17.25" customHeight="1">
      <c r="A170" s="48">
        <v>160</v>
      </c>
      <c r="B170" s="49">
        <f t="shared" si="175"/>
        <v>45735</v>
      </c>
      <c r="C170" s="220">
        <f t="shared" si="176"/>
        <v>1049</v>
      </c>
      <c r="D170" s="220">
        <f t="shared" ref="D170" si="215">D169-18</f>
        <v>2044</v>
      </c>
      <c r="E170" s="220">
        <f t="shared" si="178"/>
        <v>3093</v>
      </c>
      <c r="F170" s="220">
        <f t="shared" si="170"/>
        <v>670</v>
      </c>
      <c r="G170" s="220">
        <f t="shared" si="171"/>
        <v>920</v>
      </c>
      <c r="H170" s="220">
        <f t="shared" si="172"/>
        <v>966</v>
      </c>
      <c r="I170" s="220">
        <f t="shared" si="173"/>
        <v>899</v>
      </c>
      <c r="J170" s="220">
        <f t="shared" si="174"/>
        <v>736</v>
      </c>
      <c r="K170" s="220">
        <f t="shared" si="210"/>
        <v>2423</v>
      </c>
      <c r="L170" s="220">
        <f t="shared" si="210"/>
        <v>2173</v>
      </c>
      <c r="M170" s="220">
        <f t="shared" si="210"/>
        <v>2127</v>
      </c>
      <c r="N170" s="220">
        <f t="shared" si="210"/>
        <v>2194</v>
      </c>
      <c r="O170" s="220">
        <f t="shared" si="210"/>
        <v>2357</v>
      </c>
      <c r="P170" s="220">
        <f t="shared" si="200"/>
        <v>2000</v>
      </c>
      <c r="Q170" s="220">
        <f t="shared" si="200"/>
        <v>2000</v>
      </c>
      <c r="R170" s="220">
        <f t="shared" si="200"/>
        <v>2000</v>
      </c>
      <c r="S170" s="220">
        <f t="shared" si="200"/>
        <v>2000</v>
      </c>
      <c r="T170" s="220">
        <f t="shared" si="200"/>
        <v>2000</v>
      </c>
      <c r="U170" s="220">
        <f t="shared" si="201"/>
        <v>423</v>
      </c>
      <c r="V170" s="220">
        <f t="shared" si="201"/>
        <v>173</v>
      </c>
      <c r="W170" s="220">
        <f t="shared" si="201"/>
        <v>127</v>
      </c>
      <c r="X170" s="220">
        <f t="shared" si="201"/>
        <v>194</v>
      </c>
      <c r="Y170" s="220">
        <f t="shared" si="201"/>
        <v>357</v>
      </c>
      <c r="Z170" s="220">
        <v>1</v>
      </c>
      <c r="AA170" s="220">
        <v>1</v>
      </c>
      <c r="AB170" s="220">
        <v>0</v>
      </c>
      <c r="AC170" s="220">
        <v>0</v>
      </c>
      <c r="AD170" s="220">
        <v>0</v>
      </c>
      <c r="AE170" s="220">
        <f t="shared" si="202"/>
        <v>-226</v>
      </c>
      <c r="AF170" s="220">
        <f t="shared" si="202"/>
        <v>-396</v>
      </c>
      <c r="AG170" s="220">
        <f t="shared" si="202"/>
        <v>-422</v>
      </c>
      <c r="AH170" s="220">
        <f t="shared" si="202"/>
        <v>-365</v>
      </c>
      <c r="AI170" s="220">
        <f t="shared" si="202"/>
        <v>-202</v>
      </c>
      <c r="AJ170" s="50">
        <f t="shared" si="182"/>
        <v>1.3270000000000082</v>
      </c>
      <c r="AK170" s="257"/>
      <c r="AL170" s="257">
        <f t="shared" si="183"/>
        <v>1.2</v>
      </c>
      <c r="AM170" s="52"/>
      <c r="AN170" s="88"/>
    </row>
    <row r="171" spans="1:40" s="29" customFormat="1" ht="17.25" customHeight="1">
      <c r="A171" s="48">
        <v>161</v>
      </c>
      <c r="B171" s="49">
        <f t="shared" si="175"/>
        <v>45736</v>
      </c>
      <c r="C171" s="220">
        <f t="shared" si="176"/>
        <v>1049</v>
      </c>
      <c r="D171" s="220">
        <f t="shared" ref="D171" si="216">D170-26</f>
        <v>2018</v>
      </c>
      <c r="E171" s="220">
        <f t="shared" si="178"/>
        <v>3067</v>
      </c>
      <c r="F171" s="220">
        <f t="shared" si="170"/>
        <v>644</v>
      </c>
      <c r="G171" s="220">
        <f t="shared" si="171"/>
        <v>895</v>
      </c>
      <c r="H171" s="220">
        <f t="shared" si="172"/>
        <v>941</v>
      </c>
      <c r="I171" s="220">
        <f t="shared" si="173"/>
        <v>873</v>
      </c>
      <c r="J171" s="220">
        <f t="shared" si="174"/>
        <v>710</v>
      </c>
      <c r="K171" s="220">
        <f t="shared" si="210"/>
        <v>2423</v>
      </c>
      <c r="L171" s="220">
        <f t="shared" si="210"/>
        <v>2172</v>
      </c>
      <c r="M171" s="220">
        <f t="shared" si="210"/>
        <v>2126</v>
      </c>
      <c r="N171" s="220">
        <f t="shared" si="210"/>
        <v>2194</v>
      </c>
      <c r="O171" s="220">
        <f t="shared" si="210"/>
        <v>2357</v>
      </c>
      <c r="P171" s="220">
        <f t="shared" si="200"/>
        <v>2000</v>
      </c>
      <c r="Q171" s="220">
        <f t="shared" si="200"/>
        <v>2000</v>
      </c>
      <c r="R171" s="220">
        <f t="shared" si="200"/>
        <v>2000</v>
      </c>
      <c r="S171" s="220">
        <f t="shared" si="200"/>
        <v>2000</v>
      </c>
      <c r="T171" s="220">
        <f t="shared" si="200"/>
        <v>2000</v>
      </c>
      <c r="U171" s="220">
        <f t="shared" si="201"/>
        <v>423</v>
      </c>
      <c r="V171" s="220">
        <f t="shared" si="201"/>
        <v>172</v>
      </c>
      <c r="W171" s="220">
        <f t="shared" si="201"/>
        <v>126</v>
      </c>
      <c r="X171" s="220">
        <f t="shared" si="201"/>
        <v>194</v>
      </c>
      <c r="Y171" s="220">
        <f t="shared" si="201"/>
        <v>357</v>
      </c>
      <c r="Z171" s="220">
        <v>0</v>
      </c>
      <c r="AA171" s="220">
        <v>1</v>
      </c>
      <c r="AB171" s="220">
        <v>1</v>
      </c>
      <c r="AC171" s="220">
        <v>0</v>
      </c>
      <c r="AD171" s="220">
        <v>0</v>
      </c>
      <c r="AE171" s="220">
        <f t="shared" si="202"/>
        <v>-226</v>
      </c>
      <c r="AF171" s="220">
        <f t="shared" si="202"/>
        <v>-397</v>
      </c>
      <c r="AG171" s="220">
        <f t="shared" si="202"/>
        <v>-423</v>
      </c>
      <c r="AH171" s="220">
        <f t="shared" si="202"/>
        <v>-365</v>
      </c>
      <c r="AI171" s="220">
        <f t="shared" si="202"/>
        <v>-202</v>
      </c>
      <c r="AJ171" s="50">
        <f t="shared" si="182"/>
        <v>1.3260000000000083</v>
      </c>
      <c r="AK171" s="257"/>
      <c r="AL171" s="257">
        <f t="shared" si="183"/>
        <v>1.2</v>
      </c>
      <c r="AM171" s="52"/>
      <c r="AN171" s="88"/>
    </row>
    <row r="172" spans="1:40" s="29" customFormat="1" ht="17.25" customHeight="1">
      <c r="A172" s="48">
        <v>162</v>
      </c>
      <c r="B172" s="49">
        <f t="shared" si="175"/>
        <v>45737</v>
      </c>
      <c r="C172" s="220">
        <f t="shared" si="176"/>
        <v>1049</v>
      </c>
      <c r="D172" s="220">
        <f t="shared" ref="D172" si="217">D171+15</f>
        <v>2033</v>
      </c>
      <c r="E172" s="220">
        <f t="shared" si="178"/>
        <v>3082</v>
      </c>
      <c r="F172" s="220">
        <f t="shared" si="170"/>
        <v>660</v>
      </c>
      <c r="G172" s="220">
        <f t="shared" si="171"/>
        <v>910</v>
      </c>
      <c r="H172" s="220">
        <f t="shared" si="172"/>
        <v>960</v>
      </c>
      <c r="I172" s="220">
        <f t="shared" si="173"/>
        <v>890</v>
      </c>
      <c r="J172" s="220">
        <f t="shared" si="174"/>
        <v>725</v>
      </c>
      <c r="K172" s="220">
        <f t="shared" si="210"/>
        <v>2422</v>
      </c>
      <c r="L172" s="220">
        <f t="shared" si="210"/>
        <v>2172</v>
      </c>
      <c r="M172" s="220">
        <f t="shared" si="210"/>
        <v>2122</v>
      </c>
      <c r="N172" s="220">
        <f t="shared" si="210"/>
        <v>2192</v>
      </c>
      <c r="O172" s="220">
        <f t="shared" si="210"/>
        <v>2357</v>
      </c>
      <c r="P172" s="220">
        <f t="shared" si="200"/>
        <v>2000</v>
      </c>
      <c r="Q172" s="220">
        <f t="shared" si="200"/>
        <v>2000</v>
      </c>
      <c r="R172" s="220">
        <f t="shared" si="200"/>
        <v>2000</v>
      </c>
      <c r="S172" s="220">
        <f t="shared" si="200"/>
        <v>2000</v>
      </c>
      <c r="T172" s="220">
        <f t="shared" si="200"/>
        <v>2000</v>
      </c>
      <c r="U172" s="220">
        <f t="shared" si="201"/>
        <v>422</v>
      </c>
      <c r="V172" s="220">
        <f t="shared" si="201"/>
        <v>172</v>
      </c>
      <c r="W172" s="220">
        <f t="shared" si="201"/>
        <v>122</v>
      </c>
      <c r="X172" s="220">
        <f t="shared" si="201"/>
        <v>192</v>
      </c>
      <c r="Y172" s="220">
        <f t="shared" si="201"/>
        <v>357</v>
      </c>
      <c r="Z172" s="220">
        <v>1</v>
      </c>
      <c r="AA172" s="220">
        <v>0</v>
      </c>
      <c r="AB172" s="220">
        <v>4</v>
      </c>
      <c r="AC172" s="220">
        <v>2</v>
      </c>
      <c r="AD172" s="220">
        <v>0</v>
      </c>
      <c r="AE172" s="220">
        <f t="shared" si="202"/>
        <v>-227</v>
      </c>
      <c r="AF172" s="220">
        <f t="shared" si="202"/>
        <v>-397</v>
      </c>
      <c r="AG172" s="220">
        <f t="shared" si="202"/>
        <v>-427</v>
      </c>
      <c r="AH172" s="220">
        <f t="shared" si="202"/>
        <v>-367</v>
      </c>
      <c r="AI172" s="220">
        <f t="shared" si="202"/>
        <v>-202</v>
      </c>
      <c r="AJ172" s="50">
        <f t="shared" si="182"/>
        <v>1.3220000000000083</v>
      </c>
      <c r="AK172" s="257"/>
      <c r="AL172" s="257">
        <f t="shared" si="183"/>
        <v>1.2</v>
      </c>
      <c r="AM172" s="52"/>
      <c r="AN172" s="88"/>
    </row>
    <row r="173" spans="1:40" s="29" customFormat="1" ht="17.25" customHeight="1">
      <c r="A173" s="48">
        <v>163</v>
      </c>
      <c r="B173" s="49">
        <f t="shared" si="175"/>
        <v>45738</v>
      </c>
      <c r="C173" s="220">
        <f t="shared" si="176"/>
        <v>1049</v>
      </c>
      <c r="D173" s="220">
        <f t="shared" ref="D173" si="218">D172+26</f>
        <v>2059</v>
      </c>
      <c r="E173" s="220">
        <f t="shared" si="178"/>
        <v>3108</v>
      </c>
      <c r="F173" s="220">
        <f t="shared" si="170"/>
        <v>687</v>
      </c>
      <c r="G173" s="220">
        <f t="shared" si="171"/>
        <v>937</v>
      </c>
      <c r="H173" s="220">
        <f t="shared" si="172"/>
        <v>987</v>
      </c>
      <c r="I173" s="220">
        <f t="shared" si="173"/>
        <v>916</v>
      </c>
      <c r="J173" s="220">
        <f t="shared" si="174"/>
        <v>751</v>
      </c>
      <c r="K173" s="220">
        <f t="shared" si="210"/>
        <v>2421</v>
      </c>
      <c r="L173" s="220">
        <f t="shared" si="210"/>
        <v>2171</v>
      </c>
      <c r="M173" s="220">
        <f t="shared" si="210"/>
        <v>2121</v>
      </c>
      <c r="N173" s="220">
        <f t="shared" si="210"/>
        <v>2192</v>
      </c>
      <c r="O173" s="220">
        <f t="shared" si="210"/>
        <v>2357</v>
      </c>
      <c r="P173" s="220">
        <f t="shared" ref="P173:T188" si="219">+P172</f>
        <v>2000</v>
      </c>
      <c r="Q173" s="220">
        <f t="shared" si="219"/>
        <v>2000</v>
      </c>
      <c r="R173" s="220">
        <f t="shared" si="219"/>
        <v>2000</v>
      </c>
      <c r="S173" s="220">
        <f t="shared" si="219"/>
        <v>2000</v>
      </c>
      <c r="T173" s="220">
        <f t="shared" si="219"/>
        <v>2000</v>
      </c>
      <c r="U173" s="220">
        <f t="shared" ref="U173:Y188" si="220">U172-Z173</f>
        <v>421</v>
      </c>
      <c r="V173" s="220">
        <f t="shared" si="220"/>
        <v>171</v>
      </c>
      <c r="W173" s="220">
        <f t="shared" si="220"/>
        <v>121</v>
      </c>
      <c r="X173" s="220">
        <f t="shared" si="220"/>
        <v>192</v>
      </c>
      <c r="Y173" s="220">
        <f t="shared" si="220"/>
        <v>357</v>
      </c>
      <c r="Z173" s="220">
        <v>1</v>
      </c>
      <c r="AA173" s="220">
        <v>1</v>
      </c>
      <c r="AB173" s="220">
        <v>1</v>
      </c>
      <c r="AC173" s="220">
        <v>0</v>
      </c>
      <c r="AD173" s="220">
        <v>0</v>
      </c>
      <c r="AE173" s="220">
        <f t="shared" ref="AE173:AI188" si="221">AE172-Z173</f>
        <v>-228</v>
      </c>
      <c r="AF173" s="220">
        <f t="shared" si="221"/>
        <v>-398</v>
      </c>
      <c r="AG173" s="220">
        <f t="shared" si="221"/>
        <v>-428</v>
      </c>
      <c r="AH173" s="220">
        <f t="shared" si="221"/>
        <v>-367</v>
      </c>
      <c r="AI173" s="220">
        <f t="shared" si="221"/>
        <v>-202</v>
      </c>
      <c r="AJ173" s="50">
        <f t="shared" si="182"/>
        <v>1.3210000000000084</v>
      </c>
      <c r="AK173" s="257"/>
      <c r="AL173" s="257">
        <f t="shared" si="183"/>
        <v>1.2</v>
      </c>
      <c r="AM173" s="52"/>
      <c r="AN173" s="88"/>
    </row>
    <row r="174" spans="1:40" s="29" customFormat="1" ht="17.25" customHeight="1">
      <c r="A174" s="48">
        <v>164</v>
      </c>
      <c r="B174" s="49">
        <f t="shared" si="175"/>
        <v>45739</v>
      </c>
      <c r="C174" s="220">
        <f t="shared" si="176"/>
        <v>1049</v>
      </c>
      <c r="D174" s="220">
        <f t="shared" ref="D174" si="222">D173+32</f>
        <v>2091</v>
      </c>
      <c r="E174" s="220">
        <f t="shared" si="178"/>
        <v>3140</v>
      </c>
      <c r="F174" s="220">
        <f t="shared" si="170"/>
        <v>719</v>
      </c>
      <c r="G174" s="220">
        <f t="shared" si="171"/>
        <v>969</v>
      </c>
      <c r="H174" s="220">
        <f t="shared" si="172"/>
        <v>1019</v>
      </c>
      <c r="I174" s="220">
        <f t="shared" si="173"/>
        <v>948</v>
      </c>
      <c r="J174" s="220">
        <f t="shared" si="174"/>
        <v>783</v>
      </c>
      <c r="K174" s="220">
        <f t="shared" si="210"/>
        <v>2421</v>
      </c>
      <c r="L174" s="220">
        <f t="shared" si="210"/>
        <v>2171</v>
      </c>
      <c r="M174" s="220">
        <f t="shared" si="210"/>
        <v>2121</v>
      </c>
      <c r="N174" s="220">
        <f t="shared" si="210"/>
        <v>2192</v>
      </c>
      <c r="O174" s="220">
        <f t="shared" si="210"/>
        <v>2357</v>
      </c>
      <c r="P174" s="220">
        <f t="shared" si="219"/>
        <v>2000</v>
      </c>
      <c r="Q174" s="220">
        <f t="shared" si="219"/>
        <v>2000</v>
      </c>
      <c r="R174" s="220">
        <f t="shared" si="219"/>
        <v>2000</v>
      </c>
      <c r="S174" s="220">
        <f t="shared" si="219"/>
        <v>2000</v>
      </c>
      <c r="T174" s="220">
        <f t="shared" si="219"/>
        <v>2000</v>
      </c>
      <c r="U174" s="220">
        <f t="shared" si="220"/>
        <v>421</v>
      </c>
      <c r="V174" s="220">
        <f t="shared" si="220"/>
        <v>171</v>
      </c>
      <c r="W174" s="220">
        <f t="shared" si="220"/>
        <v>121</v>
      </c>
      <c r="X174" s="220">
        <f t="shared" si="220"/>
        <v>192</v>
      </c>
      <c r="Y174" s="220">
        <f t="shared" si="220"/>
        <v>357</v>
      </c>
      <c r="Z174" s="220">
        <v>0</v>
      </c>
      <c r="AA174" s="220">
        <v>0</v>
      </c>
      <c r="AB174" s="220">
        <v>0</v>
      </c>
      <c r="AC174" s="220">
        <v>0</v>
      </c>
      <c r="AD174" s="220">
        <v>0</v>
      </c>
      <c r="AE174" s="220">
        <f t="shared" si="221"/>
        <v>-228</v>
      </c>
      <c r="AF174" s="220">
        <f t="shared" si="221"/>
        <v>-398</v>
      </c>
      <c r="AG174" s="220">
        <f t="shared" si="221"/>
        <v>-428</v>
      </c>
      <c r="AH174" s="220">
        <f t="shared" si="221"/>
        <v>-367</v>
      </c>
      <c r="AI174" s="220">
        <f t="shared" si="221"/>
        <v>-202</v>
      </c>
      <c r="AJ174" s="50">
        <f t="shared" si="182"/>
        <v>1.3210000000000084</v>
      </c>
      <c r="AK174" s="257"/>
      <c r="AL174" s="257">
        <f t="shared" si="183"/>
        <v>1.2</v>
      </c>
      <c r="AM174" s="52"/>
      <c r="AN174" s="88"/>
    </row>
    <row r="175" spans="1:40" s="29" customFormat="1" ht="17.25" customHeight="1">
      <c r="A175" s="48">
        <v>165</v>
      </c>
      <c r="B175" s="49">
        <f t="shared" si="175"/>
        <v>45740</v>
      </c>
      <c r="C175" s="220">
        <f t="shared" si="176"/>
        <v>1049</v>
      </c>
      <c r="D175" s="220">
        <f t="shared" ref="D175" si="223">D174-18</f>
        <v>2073</v>
      </c>
      <c r="E175" s="220">
        <f t="shared" si="178"/>
        <v>3122</v>
      </c>
      <c r="F175" s="220">
        <f t="shared" si="170"/>
        <v>701</v>
      </c>
      <c r="G175" s="220">
        <f t="shared" si="171"/>
        <v>952</v>
      </c>
      <c r="H175" s="220">
        <f t="shared" si="172"/>
        <v>1002</v>
      </c>
      <c r="I175" s="220">
        <f t="shared" si="173"/>
        <v>931</v>
      </c>
      <c r="J175" s="220">
        <f t="shared" si="174"/>
        <v>765</v>
      </c>
      <c r="K175" s="220">
        <f t="shared" si="210"/>
        <v>2421</v>
      </c>
      <c r="L175" s="220">
        <f t="shared" si="210"/>
        <v>2170</v>
      </c>
      <c r="M175" s="220">
        <f t="shared" si="210"/>
        <v>2120</v>
      </c>
      <c r="N175" s="220">
        <f t="shared" si="210"/>
        <v>2191</v>
      </c>
      <c r="O175" s="220">
        <f t="shared" si="210"/>
        <v>2357</v>
      </c>
      <c r="P175" s="220">
        <f t="shared" si="219"/>
        <v>2000</v>
      </c>
      <c r="Q175" s="220">
        <f t="shared" si="219"/>
        <v>2000</v>
      </c>
      <c r="R175" s="220">
        <f t="shared" si="219"/>
        <v>2000</v>
      </c>
      <c r="S175" s="220">
        <f t="shared" si="219"/>
        <v>2000</v>
      </c>
      <c r="T175" s="220">
        <f t="shared" si="219"/>
        <v>2000</v>
      </c>
      <c r="U175" s="220">
        <f t="shared" si="220"/>
        <v>421</v>
      </c>
      <c r="V175" s="220">
        <f t="shared" si="220"/>
        <v>170</v>
      </c>
      <c r="W175" s="220">
        <f t="shared" si="220"/>
        <v>120</v>
      </c>
      <c r="X175" s="220">
        <f t="shared" si="220"/>
        <v>191</v>
      </c>
      <c r="Y175" s="220">
        <f t="shared" si="220"/>
        <v>357</v>
      </c>
      <c r="Z175" s="220">
        <v>0</v>
      </c>
      <c r="AA175" s="220">
        <v>1</v>
      </c>
      <c r="AB175" s="220">
        <v>1</v>
      </c>
      <c r="AC175" s="220">
        <v>1</v>
      </c>
      <c r="AD175" s="220">
        <v>0</v>
      </c>
      <c r="AE175" s="220">
        <f t="shared" si="221"/>
        <v>-228</v>
      </c>
      <c r="AF175" s="220">
        <f t="shared" si="221"/>
        <v>-399</v>
      </c>
      <c r="AG175" s="220">
        <f t="shared" si="221"/>
        <v>-429</v>
      </c>
      <c r="AH175" s="220">
        <f t="shared" si="221"/>
        <v>-368</v>
      </c>
      <c r="AI175" s="220">
        <f t="shared" si="221"/>
        <v>-202</v>
      </c>
      <c r="AJ175" s="50">
        <f t="shared" si="182"/>
        <v>1.3200000000000085</v>
      </c>
      <c r="AK175" s="257"/>
      <c r="AL175" s="257">
        <f t="shared" si="183"/>
        <v>1.2</v>
      </c>
      <c r="AM175" s="52"/>
      <c r="AN175" s="88"/>
    </row>
    <row r="176" spans="1:40" s="29" customFormat="1" ht="17.25" customHeight="1">
      <c r="A176" s="48">
        <v>166</v>
      </c>
      <c r="B176" s="49">
        <f t="shared" si="175"/>
        <v>45741</v>
      </c>
      <c r="C176" s="220">
        <f t="shared" si="176"/>
        <v>1049</v>
      </c>
      <c r="D176" s="220">
        <f t="shared" ref="D176:D239" si="224">D175-26</f>
        <v>2047</v>
      </c>
      <c r="E176" s="220">
        <f t="shared" si="178"/>
        <v>3096</v>
      </c>
      <c r="F176" s="220">
        <f t="shared" si="170"/>
        <v>676</v>
      </c>
      <c r="G176" s="220">
        <f t="shared" si="171"/>
        <v>928</v>
      </c>
      <c r="H176" s="220">
        <f t="shared" si="172"/>
        <v>976</v>
      </c>
      <c r="I176" s="220">
        <f t="shared" si="173"/>
        <v>906</v>
      </c>
      <c r="J176" s="220">
        <f t="shared" si="174"/>
        <v>739</v>
      </c>
      <c r="K176" s="220">
        <f t="shared" si="210"/>
        <v>2420</v>
      </c>
      <c r="L176" s="220">
        <f t="shared" si="210"/>
        <v>2168</v>
      </c>
      <c r="M176" s="220">
        <f t="shared" si="210"/>
        <v>2120</v>
      </c>
      <c r="N176" s="220">
        <f t="shared" si="210"/>
        <v>2190</v>
      </c>
      <c r="O176" s="220">
        <f t="shared" si="210"/>
        <v>2357</v>
      </c>
      <c r="P176" s="220">
        <f t="shared" si="219"/>
        <v>2000</v>
      </c>
      <c r="Q176" s="220">
        <f t="shared" si="219"/>
        <v>2000</v>
      </c>
      <c r="R176" s="220">
        <f t="shared" si="219"/>
        <v>2000</v>
      </c>
      <c r="S176" s="220">
        <f t="shared" si="219"/>
        <v>2000</v>
      </c>
      <c r="T176" s="220">
        <f t="shared" si="219"/>
        <v>2000</v>
      </c>
      <c r="U176" s="220">
        <f t="shared" si="220"/>
        <v>420</v>
      </c>
      <c r="V176" s="220">
        <f t="shared" si="220"/>
        <v>168</v>
      </c>
      <c r="W176" s="220">
        <f t="shared" si="220"/>
        <v>120</v>
      </c>
      <c r="X176" s="220">
        <f t="shared" si="220"/>
        <v>190</v>
      </c>
      <c r="Y176" s="220">
        <f t="shared" si="220"/>
        <v>357</v>
      </c>
      <c r="Z176" s="220">
        <v>1</v>
      </c>
      <c r="AA176" s="220">
        <v>2</v>
      </c>
      <c r="AB176" s="220">
        <v>0</v>
      </c>
      <c r="AC176" s="220">
        <v>1</v>
      </c>
      <c r="AD176" s="220">
        <v>0</v>
      </c>
      <c r="AE176" s="220">
        <f t="shared" si="221"/>
        <v>-229</v>
      </c>
      <c r="AF176" s="220">
        <f t="shared" si="221"/>
        <v>-401</v>
      </c>
      <c r="AG176" s="220">
        <f t="shared" si="221"/>
        <v>-429</v>
      </c>
      <c r="AH176" s="220">
        <f t="shared" si="221"/>
        <v>-369</v>
      </c>
      <c r="AI176" s="220">
        <f t="shared" si="221"/>
        <v>-202</v>
      </c>
      <c r="AJ176" s="50">
        <f t="shared" si="182"/>
        <v>1.3200000000000085</v>
      </c>
      <c r="AK176" s="257"/>
      <c r="AL176" s="257">
        <f t="shared" si="183"/>
        <v>1.2</v>
      </c>
      <c r="AM176" s="52"/>
      <c r="AN176" s="88"/>
    </row>
    <row r="177" spans="1:40" s="29" customFormat="1" ht="17.25" customHeight="1">
      <c r="A177" s="48">
        <v>167</v>
      </c>
      <c r="B177" s="49">
        <f t="shared" si="175"/>
        <v>45742</v>
      </c>
      <c r="C177" s="220">
        <f t="shared" si="176"/>
        <v>1049</v>
      </c>
      <c r="D177" s="220">
        <f t="shared" ref="D177:D217" si="225">D176+15</f>
        <v>2062</v>
      </c>
      <c r="E177" s="220">
        <f t="shared" si="178"/>
        <v>3111</v>
      </c>
      <c r="F177" s="220">
        <f t="shared" si="170"/>
        <v>692</v>
      </c>
      <c r="G177" s="220">
        <f t="shared" si="171"/>
        <v>947</v>
      </c>
      <c r="H177" s="220">
        <f t="shared" si="172"/>
        <v>994</v>
      </c>
      <c r="I177" s="220">
        <f t="shared" si="173"/>
        <v>925</v>
      </c>
      <c r="J177" s="220">
        <f t="shared" si="174"/>
        <v>754</v>
      </c>
      <c r="K177" s="220">
        <f t="shared" si="210"/>
        <v>2419</v>
      </c>
      <c r="L177" s="220">
        <f t="shared" si="210"/>
        <v>2164</v>
      </c>
      <c r="M177" s="220">
        <f t="shared" si="210"/>
        <v>2117</v>
      </c>
      <c r="N177" s="220">
        <f t="shared" si="210"/>
        <v>2186</v>
      </c>
      <c r="O177" s="220">
        <f t="shared" si="210"/>
        <v>2357</v>
      </c>
      <c r="P177" s="220">
        <f t="shared" si="219"/>
        <v>2000</v>
      </c>
      <c r="Q177" s="220">
        <f t="shared" si="219"/>
        <v>2000</v>
      </c>
      <c r="R177" s="220">
        <f t="shared" si="219"/>
        <v>2000</v>
      </c>
      <c r="S177" s="220">
        <f t="shared" si="219"/>
        <v>2000</v>
      </c>
      <c r="T177" s="220">
        <f t="shared" si="219"/>
        <v>2000</v>
      </c>
      <c r="U177" s="220">
        <f t="shared" si="220"/>
        <v>419</v>
      </c>
      <c r="V177" s="220">
        <f t="shared" si="220"/>
        <v>164</v>
      </c>
      <c r="W177" s="220">
        <f t="shared" si="220"/>
        <v>117</v>
      </c>
      <c r="X177" s="220">
        <f t="shared" si="220"/>
        <v>186</v>
      </c>
      <c r="Y177" s="220">
        <f t="shared" si="220"/>
        <v>357</v>
      </c>
      <c r="Z177" s="220">
        <v>1</v>
      </c>
      <c r="AA177" s="220">
        <v>4</v>
      </c>
      <c r="AB177" s="220">
        <v>3</v>
      </c>
      <c r="AC177" s="220">
        <v>4</v>
      </c>
      <c r="AD177" s="220">
        <v>0</v>
      </c>
      <c r="AE177" s="220">
        <f t="shared" si="221"/>
        <v>-230</v>
      </c>
      <c r="AF177" s="220">
        <f t="shared" si="221"/>
        <v>-405</v>
      </c>
      <c r="AG177" s="220">
        <f t="shared" si="221"/>
        <v>-432</v>
      </c>
      <c r="AH177" s="220">
        <f t="shared" si="221"/>
        <v>-373</v>
      </c>
      <c r="AI177" s="220">
        <f t="shared" si="221"/>
        <v>-202</v>
      </c>
      <c r="AJ177" s="50">
        <f t="shared" si="182"/>
        <v>1.3170000000000086</v>
      </c>
      <c r="AK177" s="257"/>
      <c r="AL177" s="257">
        <f t="shared" si="183"/>
        <v>1.2</v>
      </c>
      <c r="AM177" s="52"/>
      <c r="AN177" s="88"/>
    </row>
    <row r="178" spans="1:40" s="29" customFormat="1" ht="17.25" customHeight="1">
      <c r="A178" s="48">
        <v>168</v>
      </c>
      <c r="B178" s="49">
        <f t="shared" si="175"/>
        <v>45743</v>
      </c>
      <c r="C178" s="220">
        <f t="shared" si="176"/>
        <v>1049</v>
      </c>
      <c r="D178" s="220">
        <f t="shared" ref="D178" si="226">D177+26</f>
        <v>2088</v>
      </c>
      <c r="E178" s="220">
        <f t="shared" si="178"/>
        <v>3137</v>
      </c>
      <c r="F178" s="220">
        <f t="shared" si="170"/>
        <v>718</v>
      </c>
      <c r="G178" s="220">
        <f t="shared" si="171"/>
        <v>974</v>
      </c>
      <c r="H178" s="220">
        <f t="shared" si="172"/>
        <v>1021</v>
      </c>
      <c r="I178" s="220">
        <f t="shared" si="173"/>
        <v>952</v>
      </c>
      <c r="J178" s="220">
        <f t="shared" si="174"/>
        <v>780</v>
      </c>
      <c r="K178" s="220">
        <f t="shared" si="210"/>
        <v>2419</v>
      </c>
      <c r="L178" s="220">
        <f t="shared" si="210"/>
        <v>2163</v>
      </c>
      <c r="M178" s="220">
        <f t="shared" si="210"/>
        <v>2116</v>
      </c>
      <c r="N178" s="220">
        <f t="shared" si="210"/>
        <v>2185</v>
      </c>
      <c r="O178" s="220">
        <f t="shared" si="210"/>
        <v>2357</v>
      </c>
      <c r="P178" s="220">
        <f t="shared" si="219"/>
        <v>2000</v>
      </c>
      <c r="Q178" s="220">
        <f t="shared" si="219"/>
        <v>2000</v>
      </c>
      <c r="R178" s="220">
        <f t="shared" si="219"/>
        <v>2000</v>
      </c>
      <c r="S178" s="220">
        <f t="shared" si="219"/>
        <v>2000</v>
      </c>
      <c r="T178" s="220">
        <f t="shared" si="219"/>
        <v>2000</v>
      </c>
      <c r="U178" s="220">
        <f t="shared" si="220"/>
        <v>419</v>
      </c>
      <c r="V178" s="220">
        <f t="shared" si="220"/>
        <v>163</v>
      </c>
      <c r="W178" s="220">
        <f t="shared" si="220"/>
        <v>116</v>
      </c>
      <c r="X178" s="220">
        <f t="shared" si="220"/>
        <v>185</v>
      </c>
      <c r="Y178" s="220">
        <f t="shared" si="220"/>
        <v>357</v>
      </c>
      <c r="Z178" s="220">
        <v>0</v>
      </c>
      <c r="AA178" s="220">
        <v>1</v>
      </c>
      <c r="AB178" s="220">
        <v>1</v>
      </c>
      <c r="AC178" s="220">
        <v>1</v>
      </c>
      <c r="AD178" s="220">
        <v>0</v>
      </c>
      <c r="AE178" s="220">
        <f t="shared" si="221"/>
        <v>-230</v>
      </c>
      <c r="AF178" s="220">
        <f t="shared" si="221"/>
        <v>-406</v>
      </c>
      <c r="AG178" s="220">
        <f t="shared" si="221"/>
        <v>-433</v>
      </c>
      <c r="AH178" s="220">
        <f t="shared" si="221"/>
        <v>-374</v>
      </c>
      <c r="AI178" s="220">
        <f t="shared" si="221"/>
        <v>-202</v>
      </c>
      <c r="AJ178" s="50">
        <f t="shared" si="182"/>
        <v>1.3160000000000087</v>
      </c>
      <c r="AK178" s="257"/>
      <c r="AL178" s="257">
        <f t="shared" si="183"/>
        <v>1.2</v>
      </c>
      <c r="AM178" s="52"/>
      <c r="AN178" s="88"/>
    </row>
    <row r="179" spans="1:40" s="29" customFormat="1" ht="17.25" customHeight="1">
      <c r="A179" s="48">
        <v>169</v>
      </c>
      <c r="B179" s="49">
        <f t="shared" si="175"/>
        <v>45744</v>
      </c>
      <c r="C179" s="220">
        <f t="shared" si="176"/>
        <v>1049</v>
      </c>
      <c r="D179" s="220">
        <f t="shared" ref="D179" si="227">D178+32</f>
        <v>2120</v>
      </c>
      <c r="E179" s="220">
        <f t="shared" si="178"/>
        <v>3169</v>
      </c>
      <c r="F179" s="220">
        <f t="shared" si="170"/>
        <v>751</v>
      </c>
      <c r="G179" s="220">
        <f t="shared" si="171"/>
        <v>1006</v>
      </c>
      <c r="H179" s="220">
        <f t="shared" si="172"/>
        <v>1053</v>
      </c>
      <c r="I179" s="220">
        <f t="shared" si="173"/>
        <v>984</v>
      </c>
      <c r="J179" s="220">
        <f t="shared" si="174"/>
        <v>813</v>
      </c>
      <c r="K179" s="220">
        <f t="shared" si="210"/>
        <v>2418</v>
      </c>
      <c r="L179" s="220">
        <f t="shared" si="210"/>
        <v>2163</v>
      </c>
      <c r="M179" s="220">
        <f t="shared" si="210"/>
        <v>2116</v>
      </c>
      <c r="N179" s="220">
        <f t="shared" si="210"/>
        <v>2185</v>
      </c>
      <c r="O179" s="220">
        <f t="shared" si="210"/>
        <v>2356</v>
      </c>
      <c r="P179" s="220">
        <f t="shared" si="219"/>
        <v>2000</v>
      </c>
      <c r="Q179" s="220">
        <f t="shared" si="219"/>
        <v>2000</v>
      </c>
      <c r="R179" s="220">
        <f t="shared" si="219"/>
        <v>2000</v>
      </c>
      <c r="S179" s="220">
        <f t="shared" si="219"/>
        <v>2000</v>
      </c>
      <c r="T179" s="220">
        <f t="shared" si="219"/>
        <v>2000</v>
      </c>
      <c r="U179" s="220">
        <f t="shared" si="220"/>
        <v>418</v>
      </c>
      <c r="V179" s="220">
        <f t="shared" si="220"/>
        <v>163</v>
      </c>
      <c r="W179" s="220">
        <f t="shared" si="220"/>
        <v>116</v>
      </c>
      <c r="X179" s="220">
        <f t="shared" si="220"/>
        <v>185</v>
      </c>
      <c r="Y179" s="220">
        <f t="shared" si="220"/>
        <v>356</v>
      </c>
      <c r="Z179" s="220">
        <v>1</v>
      </c>
      <c r="AA179" s="220">
        <v>0</v>
      </c>
      <c r="AB179" s="220">
        <v>0</v>
      </c>
      <c r="AC179" s="220">
        <v>0</v>
      </c>
      <c r="AD179" s="220">
        <v>1</v>
      </c>
      <c r="AE179" s="220">
        <f t="shared" si="221"/>
        <v>-231</v>
      </c>
      <c r="AF179" s="220">
        <f t="shared" si="221"/>
        <v>-406</v>
      </c>
      <c r="AG179" s="220">
        <f t="shared" si="221"/>
        <v>-433</v>
      </c>
      <c r="AH179" s="220">
        <f t="shared" si="221"/>
        <v>-374</v>
      </c>
      <c r="AI179" s="220">
        <f t="shared" si="221"/>
        <v>-203</v>
      </c>
      <c r="AJ179" s="50">
        <f t="shared" si="182"/>
        <v>1.3160000000000087</v>
      </c>
      <c r="AK179" s="257"/>
      <c r="AL179" s="257">
        <f t="shared" si="183"/>
        <v>1.2</v>
      </c>
      <c r="AM179" s="52"/>
      <c r="AN179" s="88"/>
    </row>
    <row r="180" spans="1:40" s="29" customFormat="1" ht="17.25" customHeight="1">
      <c r="A180" s="48">
        <v>170</v>
      </c>
      <c r="B180" s="49">
        <f t="shared" si="175"/>
        <v>45745</v>
      </c>
      <c r="C180" s="220">
        <f t="shared" si="176"/>
        <v>1049</v>
      </c>
      <c r="D180" s="220">
        <f t="shared" ref="D180" si="228">D179-18</f>
        <v>2102</v>
      </c>
      <c r="E180" s="220">
        <f t="shared" si="178"/>
        <v>3151</v>
      </c>
      <c r="F180" s="220">
        <f t="shared" si="170"/>
        <v>733</v>
      </c>
      <c r="G180" s="220">
        <f t="shared" si="171"/>
        <v>988</v>
      </c>
      <c r="H180" s="220">
        <f t="shared" si="172"/>
        <v>1035</v>
      </c>
      <c r="I180" s="220">
        <f t="shared" si="173"/>
        <v>967</v>
      </c>
      <c r="J180" s="220">
        <f t="shared" si="174"/>
        <v>795</v>
      </c>
      <c r="K180" s="220">
        <f t="shared" si="210"/>
        <v>2418</v>
      </c>
      <c r="L180" s="220">
        <f t="shared" si="210"/>
        <v>2163</v>
      </c>
      <c r="M180" s="220">
        <f t="shared" si="210"/>
        <v>2116</v>
      </c>
      <c r="N180" s="220">
        <f t="shared" si="210"/>
        <v>2184</v>
      </c>
      <c r="O180" s="220">
        <f t="shared" si="210"/>
        <v>2356</v>
      </c>
      <c r="P180" s="220">
        <f t="shared" si="219"/>
        <v>2000</v>
      </c>
      <c r="Q180" s="220">
        <f t="shared" si="219"/>
        <v>2000</v>
      </c>
      <c r="R180" s="220">
        <f t="shared" si="219"/>
        <v>2000</v>
      </c>
      <c r="S180" s="220">
        <f t="shared" si="219"/>
        <v>2000</v>
      </c>
      <c r="T180" s="220">
        <f t="shared" si="219"/>
        <v>2000</v>
      </c>
      <c r="U180" s="220">
        <f t="shared" si="220"/>
        <v>418</v>
      </c>
      <c r="V180" s="220">
        <f t="shared" si="220"/>
        <v>163</v>
      </c>
      <c r="W180" s="220">
        <f t="shared" si="220"/>
        <v>116</v>
      </c>
      <c r="X180" s="220">
        <f t="shared" si="220"/>
        <v>184</v>
      </c>
      <c r="Y180" s="220">
        <f t="shared" si="220"/>
        <v>356</v>
      </c>
      <c r="Z180" s="220">
        <v>0</v>
      </c>
      <c r="AA180" s="220">
        <v>0</v>
      </c>
      <c r="AB180" s="220">
        <v>0</v>
      </c>
      <c r="AC180" s="220">
        <v>1</v>
      </c>
      <c r="AD180" s="220">
        <v>0</v>
      </c>
      <c r="AE180" s="220">
        <f t="shared" si="221"/>
        <v>-231</v>
      </c>
      <c r="AF180" s="220">
        <f t="shared" si="221"/>
        <v>-406</v>
      </c>
      <c r="AG180" s="220">
        <f t="shared" si="221"/>
        <v>-433</v>
      </c>
      <c r="AH180" s="220">
        <f t="shared" si="221"/>
        <v>-375</v>
      </c>
      <c r="AI180" s="220">
        <f t="shared" si="221"/>
        <v>-203</v>
      </c>
      <c r="AJ180" s="50">
        <f t="shared" si="182"/>
        <v>1.3160000000000087</v>
      </c>
      <c r="AK180" s="257"/>
      <c r="AL180" s="257">
        <f t="shared" si="183"/>
        <v>1.2</v>
      </c>
      <c r="AM180" s="52"/>
      <c r="AN180" s="88"/>
    </row>
    <row r="181" spans="1:40" s="29" customFormat="1" ht="17.25" customHeight="1">
      <c r="A181" s="48">
        <v>171</v>
      </c>
      <c r="B181" s="49">
        <f t="shared" si="175"/>
        <v>45746</v>
      </c>
      <c r="C181" s="220">
        <f t="shared" si="176"/>
        <v>1049</v>
      </c>
      <c r="D181" s="220">
        <f t="shared" ref="D181" si="229">D180-26</f>
        <v>2076</v>
      </c>
      <c r="E181" s="220">
        <f t="shared" si="178"/>
        <v>3125</v>
      </c>
      <c r="F181" s="220">
        <f t="shared" si="170"/>
        <v>708</v>
      </c>
      <c r="G181" s="220">
        <f t="shared" si="171"/>
        <v>965</v>
      </c>
      <c r="H181" s="220">
        <f t="shared" si="172"/>
        <v>1011</v>
      </c>
      <c r="I181" s="220">
        <f t="shared" si="173"/>
        <v>943</v>
      </c>
      <c r="J181" s="220">
        <f t="shared" si="174"/>
        <v>769</v>
      </c>
      <c r="K181" s="220">
        <f t="shared" si="210"/>
        <v>2417</v>
      </c>
      <c r="L181" s="220">
        <f t="shared" si="210"/>
        <v>2160</v>
      </c>
      <c r="M181" s="220">
        <f t="shared" si="210"/>
        <v>2114</v>
      </c>
      <c r="N181" s="220">
        <f t="shared" si="210"/>
        <v>2182</v>
      </c>
      <c r="O181" s="220">
        <f t="shared" si="210"/>
        <v>2356</v>
      </c>
      <c r="P181" s="220">
        <f t="shared" si="219"/>
        <v>2000</v>
      </c>
      <c r="Q181" s="220">
        <f t="shared" si="219"/>
        <v>2000</v>
      </c>
      <c r="R181" s="220">
        <f t="shared" si="219"/>
        <v>2000</v>
      </c>
      <c r="S181" s="220">
        <f t="shared" si="219"/>
        <v>2000</v>
      </c>
      <c r="T181" s="220">
        <f t="shared" si="219"/>
        <v>2000</v>
      </c>
      <c r="U181" s="220">
        <f t="shared" si="220"/>
        <v>417</v>
      </c>
      <c r="V181" s="220">
        <f t="shared" si="220"/>
        <v>160</v>
      </c>
      <c r="W181" s="220">
        <f t="shared" si="220"/>
        <v>114</v>
      </c>
      <c r="X181" s="220">
        <f t="shared" si="220"/>
        <v>182</v>
      </c>
      <c r="Y181" s="220">
        <f t="shared" si="220"/>
        <v>356</v>
      </c>
      <c r="Z181" s="220">
        <v>1</v>
      </c>
      <c r="AA181" s="220">
        <v>3</v>
      </c>
      <c r="AB181" s="220">
        <v>2</v>
      </c>
      <c r="AC181" s="220">
        <v>2</v>
      </c>
      <c r="AD181" s="220">
        <v>0</v>
      </c>
      <c r="AE181" s="220">
        <f t="shared" si="221"/>
        <v>-232</v>
      </c>
      <c r="AF181" s="220">
        <f t="shared" si="221"/>
        <v>-409</v>
      </c>
      <c r="AG181" s="220">
        <f t="shared" si="221"/>
        <v>-435</v>
      </c>
      <c r="AH181" s="220">
        <f t="shared" si="221"/>
        <v>-377</v>
      </c>
      <c r="AI181" s="220">
        <f t="shared" si="221"/>
        <v>-203</v>
      </c>
      <c r="AJ181" s="50">
        <f t="shared" si="182"/>
        <v>1.3140000000000087</v>
      </c>
      <c r="AK181" s="257"/>
      <c r="AL181" s="257">
        <f t="shared" si="183"/>
        <v>1.2</v>
      </c>
      <c r="AM181" s="52"/>
      <c r="AN181" s="88"/>
    </row>
    <row r="182" spans="1:40" s="29" customFormat="1" ht="17.25" customHeight="1">
      <c r="A182" s="48">
        <v>172</v>
      </c>
      <c r="B182" s="49">
        <f t="shared" si="175"/>
        <v>45747</v>
      </c>
      <c r="C182" s="220">
        <f t="shared" si="176"/>
        <v>1049</v>
      </c>
      <c r="D182" s="220">
        <f t="shared" ref="D182" si="230">D181+15</f>
        <v>2091</v>
      </c>
      <c r="E182" s="220">
        <f t="shared" si="178"/>
        <v>3140</v>
      </c>
      <c r="F182" s="220">
        <f t="shared" si="170"/>
        <v>724</v>
      </c>
      <c r="G182" s="220">
        <f t="shared" si="171"/>
        <v>980</v>
      </c>
      <c r="H182" s="220">
        <f t="shared" si="172"/>
        <v>1028</v>
      </c>
      <c r="I182" s="220">
        <f t="shared" si="173"/>
        <v>960</v>
      </c>
      <c r="J182" s="220">
        <f t="shared" si="174"/>
        <v>785</v>
      </c>
      <c r="K182" s="220">
        <f t="shared" si="210"/>
        <v>2416</v>
      </c>
      <c r="L182" s="220">
        <f t="shared" si="210"/>
        <v>2160</v>
      </c>
      <c r="M182" s="220">
        <f t="shared" si="210"/>
        <v>2112</v>
      </c>
      <c r="N182" s="220">
        <f t="shared" si="210"/>
        <v>2180</v>
      </c>
      <c r="O182" s="220">
        <f t="shared" si="210"/>
        <v>2355</v>
      </c>
      <c r="P182" s="220">
        <f t="shared" si="219"/>
        <v>2000</v>
      </c>
      <c r="Q182" s="220">
        <f t="shared" si="219"/>
        <v>2000</v>
      </c>
      <c r="R182" s="220">
        <f t="shared" si="219"/>
        <v>2000</v>
      </c>
      <c r="S182" s="220">
        <f t="shared" si="219"/>
        <v>2000</v>
      </c>
      <c r="T182" s="220">
        <f t="shared" si="219"/>
        <v>2000</v>
      </c>
      <c r="U182" s="220">
        <f t="shared" si="220"/>
        <v>416</v>
      </c>
      <c r="V182" s="220">
        <f t="shared" si="220"/>
        <v>160</v>
      </c>
      <c r="W182" s="220">
        <f t="shared" si="220"/>
        <v>112</v>
      </c>
      <c r="X182" s="220">
        <f t="shared" si="220"/>
        <v>180</v>
      </c>
      <c r="Y182" s="220">
        <f t="shared" si="220"/>
        <v>355</v>
      </c>
      <c r="Z182" s="220">
        <v>1</v>
      </c>
      <c r="AA182" s="220">
        <v>0</v>
      </c>
      <c r="AB182" s="220">
        <v>2</v>
      </c>
      <c r="AC182" s="220">
        <v>2</v>
      </c>
      <c r="AD182" s="220">
        <v>1</v>
      </c>
      <c r="AE182" s="220">
        <f t="shared" si="221"/>
        <v>-233</v>
      </c>
      <c r="AF182" s="220">
        <f t="shared" si="221"/>
        <v>-409</v>
      </c>
      <c r="AG182" s="220">
        <f t="shared" si="221"/>
        <v>-437</v>
      </c>
      <c r="AH182" s="220">
        <f t="shared" si="221"/>
        <v>-379</v>
      </c>
      <c r="AI182" s="220">
        <f t="shared" si="221"/>
        <v>-204</v>
      </c>
      <c r="AJ182" s="50">
        <f t="shared" si="182"/>
        <v>1.3120000000000087</v>
      </c>
      <c r="AK182" s="257"/>
      <c r="AL182" s="257">
        <f t="shared" si="183"/>
        <v>1.2</v>
      </c>
      <c r="AM182" s="52"/>
      <c r="AN182" s="88"/>
    </row>
    <row r="183" spans="1:40" s="29" customFormat="1" ht="17.25" customHeight="1">
      <c r="A183" s="48">
        <v>173</v>
      </c>
      <c r="B183" s="49">
        <f t="shared" si="175"/>
        <v>45748</v>
      </c>
      <c r="C183" s="220">
        <f t="shared" si="176"/>
        <v>1049</v>
      </c>
      <c r="D183" s="220">
        <f t="shared" ref="D183" si="231">D182+26</f>
        <v>2117</v>
      </c>
      <c r="E183" s="220">
        <f t="shared" si="178"/>
        <v>3166</v>
      </c>
      <c r="F183" s="220">
        <f t="shared" si="170"/>
        <v>750</v>
      </c>
      <c r="G183" s="220">
        <f t="shared" si="171"/>
        <v>1006</v>
      </c>
      <c r="H183" s="220">
        <f t="shared" si="172"/>
        <v>1054</v>
      </c>
      <c r="I183" s="220">
        <f t="shared" si="173"/>
        <v>987</v>
      </c>
      <c r="J183" s="220">
        <f t="shared" si="174"/>
        <v>811</v>
      </c>
      <c r="K183" s="220">
        <f t="shared" si="210"/>
        <v>2416</v>
      </c>
      <c r="L183" s="220">
        <f t="shared" si="210"/>
        <v>2160</v>
      </c>
      <c r="M183" s="220">
        <f t="shared" si="210"/>
        <v>2112</v>
      </c>
      <c r="N183" s="220">
        <f t="shared" si="210"/>
        <v>2179</v>
      </c>
      <c r="O183" s="220">
        <f t="shared" si="210"/>
        <v>2355</v>
      </c>
      <c r="P183" s="220">
        <f t="shared" si="219"/>
        <v>2000</v>
      </c>
      <c r="Q183" s="220">
        <f t="shared" si="219"/>
        <v>2000</v>
      </c>
      <c r="R183" s="220">
        <f t="shared" si="219"/>
        <v>2000</v>
      </c>
      <c r="S183" s="220">
        <f t="shared" si="219"/>
        <v>2000</v>
      </c>
      <c r="T183" s="220">
        <f t="shared" si="219"/>
        <v>2000</v>
      </c>
      <c r="U183" s="220">
        <f t="shared" si="220"/>
        <v>416</v>
      </c>
      <c r="V183" s="220">
        <f t="shared" si="220"/>
        <v>160</v>
      </c>
      <c r="W183" s="220">
        <f t="shared" si="220"/>
        <v>112</v>
      </c>
      <c r="X183" s="220">
        <f t="shared" si="220"/>
        <v>179</v>
      </c>
      <c r="Y183" s="220">
        <f t="shared" si="220"/>
        <v>355</v>
      </c>
      <c r="Z183" s="220">
        <v>0</v>
      </c>
      <c r="AA183" s="220">
        <v>0</v>
      </c>
      <c r="AB183" s="220">
        <v>0</v>
      </c>
      <c r="AC183" s="220">
        <v>1</v>
      </c>
      <c r="AD183" s="220">
        <v>0</v>
      </c>
      <c r="AE183" s="220">
        <f t="shared" si="221"/>
        <v>-233</v>
      </c>
      <c r="AF183" s="220">
        <f t="shared" si="221"/>
        <v>-409</v>
      </c>
      <c r="AG183" s="220">
        <f t="shared" si="221"/>
        <v>-437</v>
      </c>
      <c r="AH183" s="220">
        <f t="shared" si="221"/>
        <v>-380</v>
      </c>
      <c r="AI183" s="220">
        <f t="shared" si="221"/>
        <v>-204</v>
      </c>
      <c r="AJ183" s="50">
        <f t="shared" si="182"/>
        <v>1.3120000000000087</v>
      </c>
      <c r="AK183" s="257"/>
      <c r="AL183" s="257">
        <f t="shared" si="183"/>
        <v>1.2</v>
      </c>
      <c r="AM183" s="52"/>
      <c r="AN183" s="88"/>
    </row>
    <row r="184" spans="1:40" s="29" customFormat="1" ht="17.25" customHeight="1">
      <c r="A184" s="48">
        <v>174</v>
      </c>
      <c r="B184" s="49">
        <f t="shared" si="175"/>
        <v>45749</v>
      </c>
      <c r="C184" s="220">
        <f t="shared" si="176"/>
        <v>1049</v>
      </c>
      <c r="D184" s="220">
        <f t="shared" si="224"/>
        <v>2091</v>
      </c>
      <c r="E184" s="220">
        <f t="shared" si="178"/>
        <v>3140</v>
      </c>
      <c r="F184" s="220">
        <f t="shared" si="170"/>
        <v>725</v>
      </c>
      <c r="G184" s="220">
        <f t="shared" si="171"/>
        <v>981</v>
      </c>
      <c r="H184" s="220">
        <f t="shared" si="172"/>
        <v>1029</v>
      </c>
      <c r="I184" s="220">
        <f t="shared" si="173"/>
        <v>961</v>
      </c>
      <c r="J184" s="220">
        <f t="shared" si="174"/>
        <v>785</v>
      </c>
      <c r="K184" s="220">
        <f t="shared" si="210"/>
        <v>2415</v>
      </c>
      <c r="L184" s="220">
        <f t="shared" si="210"/>
        <v>2159</v>
      </c>
      <c r="M184" s="220">
        <f t="shared" si="210"/>
        <v>2111</v>
      </c>
      <c r="N184" s="220">
        <f t="shared" si="210"/>
        <v>2179</v>
      </c>
      <c r="O184" s="220">
        <f t="shared" si="210"/>
        <v>2355</v>
      </c>
      <c r="P184" s="220">
        <f t="shared" si="219"/>
        <v>2000</v>
      </c>
      <c r="Q184" s="220">
        <f t="shared" si="219"/>
        <v>2000</v>
      </c>
      <c r="R184" s="220">
        <f t="shared" si="219"/>
        <v>2000</v>
      </c>
      <c r="S184" s="220">
        <f t="shared" si="219"/>
        <v>2000</v>
      </c>
      <c r="T184" s="220">
        <f t="shared" si="219"/>
        <v>2000</v>
      </c>
      <c r="U184" s="220">
        <f t="shared" si="220"/>
        <v>415</v>
      </c>
      <c r="V184" s="220">
        <f t="shared" si="220"/>
        <v>159</v>
      </c>
      <c r="W184" s="220">
        <f t="shared" si="220"/>
        <v>111</v>
      </c>
      <c r="X184" s="220">
        <f t="shared" si="220"/>
        <v>179</v>
      </c>
      <c r="Y184" s="220">
        <f t="shared" si="220"/>
        <v>355</v>
      </c>
      <c r="Z184" s="220">
        <v>1</v>
      </c>
      <c r="AA184" s="220">
        <v>1</v>
      </c>
      <c r="AB184" s="220">
        <v>1</v>
      </c>
      <c r="AC184" s="220">
        <v>0</v>
      </c>
      <c r="AD184" s="220">
        <v>0</v>
      </c>
      <c r="AE184" s="220">
        <f t="shared" si="221"/>
        <v>-234</v>
      </c>
      <c r="AF184" s="220">
        <f t="shared" si="221"/>
        <v>-410</v>
      </c>
      <c r="AG184" s="220">
        <f t="shared" si="221"/>
        <v>-438</v>
      </c>
      <c r="AH184" s="220">
        <f t="shared" si="221"/>
        <v>-380</v>
      </c>
      <c r="AI184" s="220">
        <f t="shared" si="221"/>
        <v>-204</v>
      </c>
      <c r="AJ184" s="50">
        <f t="shared" si="182"/>
        <v>1.3110000000000088</v>
      </c>
      <c r="AK184" s="257"/>
      <c r="AL184" s="257">
        <f t="shared" si="183"/>
        <v>1.2</v>
      </c>
      <c r="AM184" s="52"/>
      <c r="AN184" s="88"/>
    </row>
    <row r="185" spans="1:40" s="29" customFormat="1" ht="17.25" customHeight="1">
      <c r="A185" s="48">
        <v>175</v>
      </c>
      <c r="B185" s="49">
        <f t="shared" si="175"/>
        <v>45750</v>
      </c>
      <c r="C185" s="220">
        <f t="shared" si="176"/>
        <v>1049</v>
      </c>
      <c r="D185" s="220">
        <f t="shared" si="225"/>
        <v>2106</v>
      </c>
      <c r="E185" s="220">
        <f t="shared" si="178"/>
        <v>3155</v>
      </c>
      <c r="F185" s="220">
        <f t="shared" si="170"/>
        <v>741</v>
      </c>
      <c r="G185" s="220">
        <f t="shared" si="171"/>
        <v>996</v>
      </c>
      <c r="H185" s="220">
        <f t="shared" si="172"/>
        <v>1044</v>
      </c>
      <c r="I185" s="220">
        <f t="shared" si="173"/>
        <v>976</v>
      </c>
      <c r="J185" s="220">
        <f t="shared" si="174"/>
        <v>800</v>
      </c>
      <c r="K185" s="220">
        <f t="shared" si="210"/>
        <v>2414</v>
      </c>
      <c r="L185" s="220">
        <f t="shared" si="210"/>
        <v>2159</v>
      </c>
      <c r="M185" s="220">
        <f t="shared" si="210"/>
        <v>2111</v>
      </c>
      <c r="N185" s="220">
        <f t="shared" si="210"/>
        <v>2179</v>
      </c>
      <c r="O185" s="220">
        <f t="shared" si="210"/>
        <v>2355</v>
      </c>
      <c r="P185" s="220">
        <f t="shared" si="219"/>
        <v>2000</v>
      </c>
      <c r="Q185" s="220">
        <f t="shared" si="219"/>
        <v>2000</v>
      </c>
      <c r="R185" s="220">
        <f t="shared" si="219"/>
        <v>2000</v>
      </c>
      <c r="S185" s="220">
        <f t="shared" si="219"/>
        <v>2000</v>
      </c>
      <c r="T185" s="220">
        <f t="shared" si="219"/>
        <v>2000</v>
      </c>
      <c r="U185" s="220">
        <f t="shared" si="220"/>
        <v>414</v>
      </c>
      <c r="V185" s="220">
        <f t="shared" si="220"/>
        <v>159</v>
      </c>
      <c r="W185" s="220">
        <f t="shared" si="220"/>
        <v>111</v>
      </c>
      <c r="X185" s="220">
        <f t="shared" si="220"/>
        <v>179</v>
      </c>
      <c r="Y185" s="220">
        <f t="shared" si="220"/>
        <v>355</v>
      </c>
      <c r="Z185" s="220">
        <v>1</v>
      </c>
      <c r="AA185" s="220">
        <v>0</v>
      </c>
      <c r="AB185" s="220">
        <v>0</v>
      </c>
      <c r="AC185" s="220">
        <v>0</v>
      </c>
      <c r="AD185" s="220">
        <v>0</v>
      </c>
      <c r="AE185" s="220">
        <f t="shared" si="221"/>
        <v>-235</v>
      </c>
      <c r="AF185" s="220">
        <f t="shared" si="221"/>
        <v>-410</v>
      </c>
      <c r="AG185" s="220">
        <f t="shared" si="221"/>
        <v>-438</v>
      </c>
      <c r="AH185" s="220">
        <f t="shared" si="221"/>
        <v>-380</v>
      </c>
      <c r="AI185" s="220">
        <f t="shared" si="221"/>
        <v>-204</v>
      </c>
      <c r="AJ185" s="50">
        <f t="shared" si="182"/>
        <v>1.3110000000000088</v>
      </c>
      <c r="AK185" s="257"/>
      <c r="AL185" s="257">
        <f t="shared" si="183"/>
        <v>1.2</v>
      </c>
      <c r="AM185" s="52"/>
      <c r="AN185" s="88"/>
    </row>
    <row r="186" spans="1:40" s="29" customFormat="1" ht="17.25" customHeight="1">
      <c r="A186" s="48">
        <v>176</v>
      </c>
      <c r="B186" s="49">
        <f t="shared" si="175"/>
        <v>45751</v>
      </c>
      <c r="C186" s="220">
        <f t="shared" si="176"/>
        <v>1049</v>
      </c>
      <c r="D186" s="220">
        <f t="shared" ref="D186:D218" si="232">D185+26</f>
        <v>2132</v>
      </c>
      <c r="E186" s="220">
        <f t="shared" si="178"/>
        <v>3181</v>
      </c>
      <c r="F186" s="220">
        <f t="shared" si="170"/>
        <v>767</v>
      </c>
      <c r="G186" s="220">
        <f t="shared" si="171"/>
        <v>1022</v>
      </c>
      <c r="H186" s="220">
        <f t="shared" si="172"/>
        <v>1071</v>
      </c>
      <c r="I186" s="220">
        <f t="shared" si="173"/>
        <v>1002</v>
      </c>
      <c r="J186" s="220">
        <f t="shared" si="174"/>
        <v>826</v>
      </c>
      <c r="K186" s="220">
        <f t="shared" si="210"/>
        <v>2414</v>
      </c>
      <c r="L186" s="220">
        <f t="shared" si="210"/>
        <v>2159</v>
      </c>
      <c r="M186" s="220">
        <f t="shared" si="210"/>
        <v>2110</v>
      </c>
      <c r="N186" s="220">
        <f t="shared" si="210"/>
        <v>2179</v>
      </c>
      <c r="O186" s="220">
        <f t="shared" si="210"/>
        <v>2355</v>
      </c>
      <c r="P186" s="220">
        <f t="shared" si="219"/>
        <v>2000</v>
      </c>
      <c r="Q186" s="220">
        <f t="shared" si="219"/>
        <v>2000</v>
      </c>
      <c r="R186" s="220">
        <f t="shared" si="219"/>
        <v>2000</v>
      </c>
      <c r="S186" s="220">
        <f t="shared" si="219"/>
        <v>2000</v>
      </c>
      <c r="T186" s="220">
        <f t="shared" si="219"/>
        <v>2000</v>
      </c>
      <c r="U186" s="220">
        <f t="shared" si="220"/>
        <v>414</v>
      </c>
      <c r="V186" s="220">
        <f t="shared" si="220"/>
        <v>159</v>
      </c>
      <c r="W186" s="220">
        <f t="shared" si="220"/>
        <v>110</v>
      </c>
      <c r="X186" s="220">
        <f t="shared" si="220"/>
        <v>179</v>
      </c>
      <c r="Y186" s="220">
        <f t="shared" si="220"/>
        <v>355</v>
      </c>
      <c r="Z186" s="220">
        <v>0</v>
      </c>
      <c r="AA186" s="220">
        <v>0</v>
      </c>
      <c r="AB186" s="220">
        <v>1</v>
      </c>
      <c r="AC186" s="220">
        <v>0</v>
      </c>
      <c r="AD186" s="220">
        <v>0</v>
      </c>
      <c r="AE186" s="220">
        <f t="shared" si="221"/>
        <v>-235</v>
      </c>
      <c r="AF186" s="220">
        <f t="shared" si="221"/>
        <v>-410</v>
      </c>
      <c r="AG186" s="220">
        <f t="shared" si="221"/>
        <v>-439</v>
      </c>
      <c r="AH186" s="220">
        <f t="shared" si="221"/>
        <v>-380</v>
      </c>
      <c r="AI186" s="220">
        <f t="shared" si="221"/>
        <v>-204</v>
      </c>
      <c r="AJ186" s="50">
        <f t="shared" si="182"/>
        <v>1.3100000000000089</v>
      </c>
      <c r="AK186" s="257"/>
      <c r="AL186" s="257">
        <f t="shared" si="183"/>
        <v>1.2</v>
      </c>
      <c r="AM186" s="52"/>
      <c r="AN186" s="88"/>
    </row>
    <row r="187" spans="1:40" s="29" customFormat="1" ht="17.25" customHeight="1">
      <c r="A187" s="48">
        <v>177</v>
      </c>
      <c r="B187" s="49">
        <f t="shared" si="175"/>
        <v>45752</v>
      </c>
      <c r="C187" s="220">
        <f t="shared" si="176"/>
        <v>1049</v>
      </c>
      <c r="D187" s="220">
        <f t="shared" ref="D187:D219" si="233">D186+32</f>
        <v>2164</v>
      </c>
      <c r="E187" s="220">
        <f t="shared" si="178"/>
        <v>3213</v>
      </c>
      <c r="F187" s="220">
        <f t="shared" si="170"/>
        <v>800</v>
      </c>
      <c r="G187" s="220">
        <f t="shared" si="171"/>
        <v>1057</v>
      </c>
      <c r="H187" s="220">
        <f t="shared" si="172"/>
        <v>1104</v>
      </c>
      <c r="I187" s="220">
        <f t="shared" si="173"/>
        <v>1034</v>
      </c>
      <c r="J187" s="220">
        <f t="shared" si="174"/>
        <v>858</v>
      </c>
      <c r="K187" s="220">
        <f t="shared" si="210"/>
        <v>2413</v>
      </c>
      <c r="L187" s="220">
        <f t="shared" si="210"/>
        <v>2156</v>
      </c>
      <c r="M187" s="220">
        <f t="shared" si="210"/>
        <v>2109</v>
      </c>
      <c r="N187" s="220">
        <f t="shared" si="210"/>
        <v>2179</v>
      </c>
      <c r="O187" s="220">
        <f t="shared" si="210"/>
        <v>2355</v>
      </c>
      <c r="P187" s="220">
        <f t="shared" si="219"/>
        <v>2000</v>
      </c>
      <c r="Q187" s="220">
        <f t="shared" si="219"/>
        <v>2000</v>
      </c>
      <c r="R187" s="220">
        <f t="shared" si="219"/>
        <v>2000</v>
      </c>
      <c r="S187" s="220">
        <f t="shared" si="219"/>
        <v>2000</v>
      </c>
      <c r="T187" s="220">
        <f t="shared" si="219"/>
        <v>2000</v>
      </c>
      <c r="U187" s="220">
        <f t="shared" si="220"/>
        <v>413</v>
      </c>
      <c r="V187" s="220">
        <f t="shared" si="220"/>
        <v>156</v>
      </c>
      <c r="W187" s="220">
        <f t="shared" si="220"/>
        <v>109</v>
      </c>
      <c r="X187" s="220">
        <f t="shared" si="220"/>
        <v>179</v>
      </c>
      <c r="Y187" s="220">
        <f t="shared" si="220"/>
        <v>355</v>
      </c>
      <c r="Z187" s="220">
        <v>1</v>
      </c>
      <c r="AA187" s="220">
        <v>3</v>
      </c>
      <c r="AB187" s="220">
        <v>1</v>
      </c>
      <c r="AC187" s="220">
        <v>0</v>
      </c>
      <c r="AD187" s="220">
        <v>0</v>
      </c>
      <c r="AE187" s="220">
        <f t="shared" si="221"/>
        <v>-236</v>
      </c>
      <c r="AF187" s="220">
        <f t="shared" si="221"/>
        <v>-413</v>
      </c>
      <c r="AG187" s="220">
        <f t="shared" si="221"/>
        <v>-440</v>
      </c>
      <c r="AH187" s="220">
        <f t="shared" si="221"/>
        <v>-380</v>
      </c>
      <c r="AI187" s="220">
        <f t="shared" si="221"/>
        <v>-204</v>
      </c>
      <c r="AJ187" s="50">
        <f t="shared" si="182"/>
        <v>1.309000000000009</v>
      </c>
      <c r="AK187" s="257"/>
      <c r="AL187" s="257">
        <f t="shared" si="183"/>
        <v>1.2</v>
      </c>
      <c r="AM187" s="52"/>
      <c r="AN187" s="88"/>
    </row>
    <row r="188" spans="1:40" s="29" customFormat="1" ht="17.25" customHeight="1">
      <c r="A188" s="48">
        <v>178</v>
      </c>
      <c r="B188" s="49">
        <f t="shared" si="175"/>
        <v>45753</v>
      </c>
      <c r="C188" s="220">
        <f t="shared" si="176"/>
        <v>1049</v>
      </c>
      <c r="D188" s="220">
        <f t="shared" ref="D188:D220" si="234">D187-18</f>
        <v>2146</v>
      </c>
      <c r="E188" s="220">
        <f t="shared" si="178"/>
        <v>3195</v>
      </c>
      <c r="F188" s="220">
        <f t="shared" si="170"/>
        <v>782</v>
      </c>
      <c r="G188" s="220">
        <f t="shared" si="171"/>
        <v>1041</v>
      </c>
      <c r="H188" s="220">
        <f t="shared" si="172"/>
        <v>1086</v>
      </c>
      <c r="I188" s="220">
        <f t="shared" si="173"/>
        <v>1016</v>
      </c>
      <c r="J188" s="220">
        <f t="shared" si="174"/>
        <v>841</v>
      </c>
      <c r="K188" s="220">
        <f t="shared" si="210"/>
        <v>2413</v>
      </c>
      <c r="L188" s="220">
        <f t="shared" si="210"/>
        <v>2154</v>
      </c>
      <c r="M188" s="220">
        <f t="shared" si="210"/>
        <v>2109</v>
      </c>
      <c r="N188" s="220">
        <f t="shared" si="210"/>
        <v>2179</v>
      </c>
      <c r="O188" s="220">
        <f t="shared" si="210"/>
        <v>2354</v>
      </c>
      <c r="P188" s="220">
        <f t="shared" si="219"/>
        <v>2000</v>
      </c>
      <c r="Q188" s="220">
        <f t="shared" si="219"/>
        <v>2000</v>
      </c>
      <c r="R188" s="220">
        <f t="shared" si="219"/>
        <v>2000</v>
      </c>
      <c r="S188" s="220">
        <f t="shared" si="219"/>
        <v>2000</v>
      </c>
      <c r="T188" s="220">
        <f t="shared" si="219"/>
        <v>2000</v>
      </c>
      <c r="U188" s="220">
        <f t="shared" si="220"/>
        <v>413</v>
      </c>
      <c r="V188" s="220">
        <f t="shared" si="220"/>
        <v>154</v>
      </c>
      <c r="W188" s="220">
        <f t="shared" si="220"/>
        <v>109</v>
      </c>
      <c r="X188" s="220">
        <f t="shared" si="220"/>
        <v>179</v>
      </c>
      <c r="Y188" s="220">
        <f t="shared" si="220"/>
        <v>354</v>
      </c>
      <c r="Z188" s="220">
        <v>0</v>
      </c>
      <c r="AA188" s="220">
        <v>2</v>
      </c>
      <c r="AB188" s="220">
        <v>0</v>
      </c>
      <c r="AC188" s="220">
        <v>0</v>
      </c>
      <c r="AD188" s="220">
        <v>1</v>
      </c>
      <c r="AE188" s="220">
        <f t="shared" si="221"/>
        <v>-236</v>
      </c>
      <c r="AF188" s="220">
        <f t="shared" si="221"/>
        <v>-415</v>
      </c>
      <c r="AG188" s="220">
        <f t="shared" si="221"/>
        <v>-440</v>
      </c>
      <c r="AH188" s="220">
        <f t="shared" si="221"/>
        <v>-380</v>
      </c>
      <c r="AI188" s="220">
        <f t="shared" si="221"/>
        <v>-205</v>
      </c>
      <c r="AJ188" s="50">
        <f t="shared" si="182"/>
        <v>1.309000000000009</v>
      </c>
      <c r="AK188" s="257"/>
      <c r="AL188" s="257">
        <f t="shared" si="183"/>
        <v>1.2</v>
      </c>
      <c r="AM188" s="52"/>
      <c r="AN188" s="88"/>
    </row>
    <row r="189" spans="1:40" s="29" customFormat="1" ht="17.25" customHeight="1">
      <c r="A189" s="48">
        <v>179</v>
      </c>
      <c r="B189" s="49">
        <f t="shared" si="175"/>
        <v>45754</v>
      </c>
      <c r="C189" s="220">
        <f t="shared" si="176"/>
        <v>1049</v>
      </c>
      <c r="D189" s="220">
        <f t="shared" ref="D189:D221" si="235">D188-26</f>
        <v>2120</v>
      </c>
      <c r="E189" s="220">
        <f t="shared" si="178"/>
        <v>3169</v>
      </c>
      <c r="F189" s="220">
        <f t="shared" si="170"/>
        <v>756</v>
      </c>
      <c r="G189" s="220">
        <f t="shared" si="171"/>
        <v>1015</v>
      </c>
      <c r="H189" s="220">
        <f t="shared" si="172"/>
        <v>1061</v>
      </c>
      <c r="I189" s="220">
        <f t="shared" si="173"/>
        <v>991</v>
      </c>
      <c r="J189" s="220">
        <f t="shared" si="174"/>
        <v>815</v>
      </c>
      <c r="K189" s="220">
        <f t="shared" si="210"/>
        <v>2413</v>
      </c>
      <c r="L189" s="220">
        <f t="shared" si="210"/>
        <v>2154</v>
      </c>
      <c r="M189" s="220">
        <f t="shared" si="210"/>
        <v>2108</v>
      </c>
      <c r="N189" s="220">
        <f t="shared" si="210"/>
        <v>2178</v>
      </c>
      <c r="O189" s="220">
        <f t="shared" si="210"/>
        <v>2354</v>
      </c>
      <c r="P189" s="220">
        <f t="shared" ref="P189:T204" si="236">+P188</f>
        <v>2000</v>
      </c>
      <c r="Q189" s="220">
        <f t="shared" si="236"/>
        <v>2000</v>
      </c>
      <c r="R189" s="220">
        <f t="shared" si="236"/>
        <v>2000</v>
      </c>
      <c r="S189" s="220">
        <f t="shared" si="236"/>
        <v>2000</v>
      </c>
      <c r="T189" s="220">
        <f t="shared" si="236"/>
        <v>2000</v>
      </c>
      <c r="U189" s="220">
        <f t="shared" ref="U189:Y204" si="237">U188-Z189</f>
        <v>413</v>
      </c>
      <c r="V189" s="220">
        <f t="shared" si="237"/>
        <v>154</v>
      </c>
      <c r="W189" s="220">
        <f t="shared" si="237"/>
        <v>108</v>
      </c>
      <c r="X189" s="220">
        <f t="shared" si="237"/>
        <v>178</v>
      </c>
      <c r="Y189" s="220">
        <f t="shared" si="237"/>
        <v>354</v>
      </c>
      <c r="Z189" s="220">
        <v>0</v>
      </c>
      <c r="AA189" s="220">
        <v>0</v>
      </c>
      <c r="AB189" s="220">
        <v>1</v>
      </c>
      <c r="AC189" s="220">
        <v>1</v>
      </c>
      <c r="AD189" s="220">
        <v>0</v>
      </c>
      <c r="AE189" s="220">
        <f t="shared" ref="AE189:AI204" si="238">AE188-Z189</f>
        <v>-236</v>
      </c>
      <c r="AF189" s="220">
        <f t="shared" si="238"/>
        <v>-415</v>
      </c>
      <c r="AG189" s="220">
        <f t="shared" si="238"/>
        <v>-441</v>
      </c>
      <c r="AH189" s="220">
        <f t="shared" si="238"/>
        <v>-381</v>
      </c>
      <c r="AI189" s="220">
        <f t="shared" si="238"/>
        <v>-205</v>
      </c>
      <c r="AJ189" s="50">
        <f t="shared" si="182"/>
        <v>1.3080000000000092</v>
      </c>
      <c r="AK189" s="257"/>
      <c r="AL189" s="257">
        <f t="shared" si="183"/>
        <v>1.2</v>
      </c>
      <c r="AM189" s="52"/>
      <c r="AN189" s="88"/>
    </row>
    <row r="190" spans="1:40" s="29" customFormat="1" ht="17.25" customHeight="1">
      <c r="A190" s="48">
        <v>180</v>
      </c>
      <c r="B190" s="49">
        <f t="shared" si="175"/>
        <v>45755</v>
      </c>
      <c r="C190" s="220">
        <f t="shared" si="176"/>
        <v>1049</v>
      </c>
      <c r="D190" s="220">
        <f t="shared" ref="D190:D222" si="239">D189+15</f>
        <v>2135</v>
      </c>
      <c r="E190" s="220">
        <f t="shared" si="178"/>
        <v>3184</v>
      </c>
      <c r="F190" s="220">
        <f t="shared" si="170"/>
        <v>772</v>
      </c>
      <c r="G190" s="220">
        <f t="shared" si="171"/>
        <v>1030</v>
      </c>
      <c r="H190" s="220">
        <f t="shared" si="172"/>
        <v>1077</v>
      </c>
      <c r="I190" s="220">
        <f t="shared" si="173"/>
        <v>1006</v>
      </c>
      <c r="J190" s="220">
        <f t="shared" si="174"/>
        <v>832</v>
      </c>
      <c r="K190" s="220">
        <f t="shared" si="210"/>
        <v>2412</v>
      </c>
      <c r="L190" s="220">
        <f t="shared" si="210"/>
        <v>2154</v>
      </c>
      <c r="M190" s="220">
        <f t="shared" si="210"/>
        <v>2107</v>
      </c>
      <c r="N190" s="220">
        <f t="shared" si="210"/>
        <v>2178</v>
      </c>
      <c r="O190" s="220">
        <f t="shared" si="210"/>
        <v>2352</v>
      </c>
      <c r="P190" s="220">
        <f t="shared" si="236"/>
        <v>2000</v>
      </c>
      <c r="Q190" s="220">
        <f t="shared" si="236"/>
        <v>2000</v>
      </c>
      <c r="R190" s="220">
        <f t="shared" si="236"/>
        <v>2000</v>
      </c>
      <c r="S190" s="220">
        <f t="shared" si="236"/>
        <v>2000</v>
      </c>
      <c r="T190" s="220">
        <f t="shared" si="236"/>
        <v>2000</v>
      </c>
      <c r="U190" s="220">
        <f t="shared" si="237"/>
        <v>412</v>
      </c>
      <c r="V190" s="220">
        <f t="shared" si="237"/>
        <v>154</v>
      </c>
      <c r="W190" s="220">
        <f t="shared" si="237"/>
        <v>107</v>
      </c>
      <c r="X190" s="220">
        <f t="shared" si="237"/>
        <v>178</v>
      </c>
      <c r="Y190" s="220">
        <f t="shared" si="237"/>
        <v>352</v>
      </c>
      <c r="Z190" s="220">
        <v>1</v>
      </c>
      <c r="AA190" s="220">
        <v>0</v>
      </c>
      <c r="AB190" s="220">
        <v>1</v>
      </c>
      <c r="AC190" s="220">
        <v>0</v>
      </c>
      <c r="AD190" s="220">
        <v>2</v>
      </c>
      <c r="AE190" s="220">
        <f t="shared" si="238"/>
        <v>-237</v>
      </c>
      <c r="AF190" s="220">
        <f t="shared" si="238"/>
        <v>-415</v>
      </c>
      <c r="AG190" s="220">
        <f t="shared" si="238"/>
        <v>-442</v>
      </c>
      <c r="AH190" s="220">
        <f t="shared" si="238"/>
        <v>-381</v>
      </c>
      <c r="AI190" s="220">
        <f t="shared" si="238"/>
        <v>-207</v>
      </c>
      <c r="AJ190" s="50">
        <f t="shared" si="182"/>
        <v>1.3070000000000093</v>
      </c>
      <c r="AK190" s="257"/>
      <c r="AL190" s="257">
        <f t="shared" si="183"/>
        <v>1.2</v>
      </c>
      <c r="AM190" s="52"/>
      <c r="AN190" s="88"/>
    </row>
    <row r="191" spans="1:40" s="29" customFormat="1" ht="17.25" customHeight="1">
      <c r="A191" s="48">
        <v>181</v>
      </c>
      <c r="B191" s="49">
        <f t="shared" si="175"/>
        <v>45756</v>
      </c>
      <c r="C191" s="220">
        <f t="shared" si="176"/>
        <v>1049</v>
      </c>
      <c r="D191" s="220">
        <f t="shared" ref="D191:D223" si="240">D190+26</f>
        <v>2161</v>
      </c>
      <c r="E191" s="220">
        <f t="shared" si="178"/>
        <v>3210</v>
      </c>
      <c r="F191" s="220">
        <f t="shared" si="170"/>
        <v>798</v>
      </c>
      <c r="G191" s="220">
        <f t="shared" si="171"/>
        <v>1056</v>
      </c>
      <c r="H191" s="220">
        <f t="shared" si="172"/>
        <v>1104</v>
      </c>
      <c r="I191" s="220">
        <f t="shared" si="173"/>
        <v>1032</v>
      </c>
      <c r="J191" s="220">
        <f t="shared" si="174"/>
        <v>858</v>
      </c>
      <c r="K191" s="220">
        <f t="shared" si="210"/>
        <v>2412</v>
      </c>
      <c r="L191" s="220">
        <f t="shared" si="210"/>
        <v>2154</v>
      </c>
      <c r="M191" s="220">
        <f t="shared" si="210"/>
        <v>2106</v>
      </c>
      <c r="N191" s="220">
        <f t="shared" si="210"/>
        <v>2178</v>
      </c>
      <c r="O191" s="220">
        <f t="shared" si="210"/>
        <v>2352</v>
      </c>
      <c r="P191" s="220">
        <f t="shared" si="236"/>
        <v>2000</v>
      </c>
      <c r="Q191" s="220">
        <f t="shared" si="236"/>
        <v>2000</v>
      </c>
      <c r="R191" s="220">
        <f t="shared" si="236"/>
        <v>2000</v>
      </c>
      <c r="S191" s="220">
        <f t="shared" si="236"/>
        <v>2000</v>
      </c>
      <c r="T191" s="220">
        <f t="shared" si="236"/>
        <v>2000</v>
      </c>
      <c r="U191" s="220">
        <f t="shared" si="237"/>
        <v>412</v>
      </c>
      <c r="V191" s="220">
        <f t="shared" si="237"/>
        <v>154</v>
      </c>
      <c r="W191" s="220">
        <f t="shared" si="237"/>
        <v>106</v>
      </c>
      <c r="X191" s="220">
        <f t="shared" si="237"/>
        <v>178</v>
      </c>
      <c r="Y191" s="220">
        <f t="shared" si="237"/>
        <v>352</v>
      </c>
      <c r="Z191" s="220">
        <v>0</v>
      </c>
      <c r="AA191" s="220">
        <v>0</v>
      </c>
      <c r="AB191" s="220">
        <v>1</v>
      </c>
      <c r="AC191" s="220">
        <v>0</v>
      </c>
      <c r="AD191" s="220">
        <v>0</v>
      </c>
      <c r="AE191" s="220">
        <f t="shared" si="238"/>
        <v>-237</v>
      </c>
      <c r="AF191" s="220">
        <f t="shared" si="238"/>
        <v>-415</v>
      </c>
      <c r="AG191" s="220">
        <f t="shared" si="238"/>
        <v>-443</v>
      </c>
      <c r="AH191" s="220">
        <f t="shared" si="238"/>
        <v>-381</v>
      </c>
      <c r="AI191" s="220">
        <f t="shared" si="238"/>
        <v>-207</v>
      </c>
      <c r="AJ191" s="50">
        <f t="shared" si="182"/>
        <v>1.3060000000000094</v>
      </c>
      <c r="AK191" s="257"/>
      <c r="AL191" s="257">
        <f t="shared" si="183"/>
        <v>1.2</v>
      </c>
      <c r="AM191" s="52"/>
      <c r="AN191" s="88"/>
    </row>
    <row r="192" spans="1:40" s="261" customFormat="1" ht="17.25" customHeight="1">
      <c r="A192" s="76">
        <v>182</v>
      </c>
      <c r="B192" s="77">
        <f t="shared" si="175"/>
        <v>45757</v>
      </c>
      <c r="C192" s="213">
        <f t="shared" si="176"/>
        <v>1049</v>
      </c>
      <c r="D192" s="213">
        <f t="shared" si="224"/>
        <v>2135</v>
      </c>
      <c r="E192" s="213">
        <f t="shared" si="178"/>
        <v>3184</v>
      </c>
      <c r="F192" s="213">
        <f t="shared" si="170"/>
        <v>772</v>
      </c>
      <c r="G192" s="213">
        <f t="shared" si="171"/>
        <v>1039</v>
      </c>
      <c r="H192" s="213">
        <f t="shared" si="172"/>
        <v>1087</v>
      </c>
      <c r="I192" s="213">
        <f t="shared" si="173"/>
        <v>1015</v>
      </c>
      <c r="J192" s="213">
        <f t="shared" si="174"/>
        <v>832</v>
      </c>
      <c r="K192" s="213">
        <f t="shared" si="210"/>
        <v>2412</v>
      </c>
      <c r="L192" s="213">
        <f t="shared" si="210"/>
        <v>2145</v>
      </c>
      <c r="M192" s="213">
        <f t="shared" si="210"/>
        <v>2097</v>
      </c>
      <c r="N192" s="213">
        <f t="shared" si="210"/>
        <v>2169</v>
      </c>
      <c r="O192" s="213">
        <f t="shared" si="210"/>
        <v>2352</v>
      </c>
      <c r="P192" s="213">
        <f t="shared" si="236"/>
        <v>2000</v>
      </c>
      <c r="Q192" s="213">
        <f t="shared" si="236"/>
        <v>2000</v>
      </c>
      <c r="R192" s="213">
        <f t="shared" si="236"/>
        <v>2000</v>
      </c>
      <c r="S192" s="213">
        <f t="shared" si="236"/>
        <v>2000</v>
      </c>
      <c r="T192" s="213">
        <f t="shared" si="236"/>
        <v>2000</v>
      </c>
      <c r="U192" s="213">
        <f t="shared" si="237"/>
        <v>412</v>
      </c>
      <c r="V192" s="213">
        <f t="shared" si="237"/>
        <v>145</v>
      </c>
      <c r="W192" s="213">
        <f t="shared" si="237"/>
        <v>97</v>
      </c>
      <c r="X192" s="213">
        <f t="shared" si="237"/>
        <v>169</v>
      </c>
      <c r="Y192" s="213">
        <f t="shared" si="237"/>
        <v>352</v>
      </c>
      <c r="Z192" s="213">
        <v>0</v>
      </c>
      <c r="AA192" s="213">
        <v>9</v>
      </c>
      <c r="AB192" s="213">
        <v>9</v>
      </c>
      <c r="AC192" s="213">
        <v>9</v>
      </c>
      <c r="AD192" s="213">
        <v>0</v>
      </c>
      <c r="AE192" s="213">
        <f t="shared" si="238"/>
        <v>-237</v>
      </c>
      <c r="AF192" s="213">
        <f t="shared" si="238"/>
        <v>-424</v>
      </c>
      <c r="AG192" s="213">
        <f t="shared" si="238"/>
        <v>-452</v>
      </c>
      <c r="AH192" s="213">
        <f t="shared" si="238"/>
        <v>-390</v>
      </c>
      <c r="AI192" s="213">
        <f t="shared" si="238"/>
        <v>-207</v>
      </c>
      <c r="AJ192" s="78">
        <f t="shared" si="182"/>
        <v>1.2970000000000095</v>
      </c>
      <c r="AK192" s="259"/>
      <c r="AL192" s="259">
        <f t="shared" si="183"/>
        <v>1.2</v>
      </c>
      <c r="AM192" s="81"/>
      <c r="AN192" s="260"/>
    </row>
    <row r="193" spans="1:40" s="29" customFormat="1" ht="17.25" customHeight="1">
      <c r="A193" s="48">
        <v>183</v>
      </c>
      <c r="B193" s="49">
        <f t="shared" si="175"/>
        <v>45758</v>
      </c>
      <c r="C193" s="220">
        <f t="shared" si="176"/>
        <v>1049</v>
      </c>
      <c r="D193" s="220">
        <f t="shared" si="225"/>
        <v>2150</v>
      </c>
      <c r="E193" s="220">
        <f t="shared" si="178"/>
        <v>3199</v>
      </c>
      <c r="F193" s="220">
        <f t="shared" si="170"/>
        <v>788</v>
      </c>
      <c r="G193" s="220">
        <f t="shared" si="171"/>
        <v>1063</v>
      </c>
      <c r="H193" s="220">
        <f t="shared" si="172"/>
        <v>1111</v>
      </c>
      <c r="I193" s="220">
        <f t="shared" si="173"/>
        <v>1039</v>
      </c>
      <c r="J193" s="220">
        <f t="shared" si="174"/>
        <v>847</v>
      </c>
      <c r="K193" s="220">
        <f t="shared" si="210"/>
        <v>2411</v>
      </c>
      <c r="L193" s="220">
        <f t="shared" si="210"/>
        <v>2136</v>
      </c>
      <c r="M193" s="220">
        <f t="shared" si="210"/>
        <v>2088</v>
      </c>
      <c r="N193" s="220">
        <f t="shared" si="210"/>
        <v>2160</v>
      </c>
      <c r="O193" s="220">
        <f t="shared" si="210"/>
        <v>2352</v>
      </c>
      <c r="P193" s="220">
        <f t="shared" si="236"/>
        <v>2000</v>
      </c>
      <c r="Q193" s="220">
        <f t="shared" si="236"/>
        <v>2000</v>
      </c>
      <c r="R193" s="220">
        <f t="shared" si="236"/>
        <v>2000</v>
      </c>
      <c r="S193" s="220">
        <f t="shared" si="236"/>
        <v>2000</v>
      </c>
      <c r="T193" s="220">
        <f t="shared" si="236"/>
        <v>2000</v>
      </c>
      <c r="U193" s="220">
        <f t="shared" si="237"/>
        <v>411</v>
      </c>
      <c r="V193" s="220">
        <f t="shared" si="237"/>
        <v>136</v>
      </c>
      <c r="W193" s="220">
        <f t="shared" si="237"/>
        <v>88</v>
      </c>
      <c r="X193" s="220">
        <f t="shared" si="237"/>
        <v>160</v>
      </c>
      <c r="Y193" s="220">
        <f t="shared" si="237"/>
        <v>352</v>
      </c>
      <c r="Z193" s="220">
        <v>1</v>
      </c>
      <c r="AA193" s="220">
        <v>9</v>
      </c>
      <c r="AB193" s="220">
        <v>9</v>
      </c>
      <c r="AC193" s="220">
        <v>9</v>
      </c>
      <c r="AD193" s="220">
        <v>0</v>
      </c>
      <c r="AE193" s="220">
        <f t="shared" si="238"/>
        <v>-238</v>
      </c>
      <c r="AF193" s="220">
        <f t="shared" si="238"/>
        <v>-433</v>
      </c>
      <c r="AG193" s="220">
        <f t="shared" si="238"/>
        <v>-461</v>
      </c>
      <c r="AH193" s="220">
        <f t="shared" si="238"/>
        <v>-399</v>
      </c>
      <c r="AI193" s="220">
        <f t="shared" si="238"/>
        <v>-207</v>
      </c>
      <c r="AJ193" s="50">
        <f t="shared" si="182"/>
        <v>1.2880000000000096</v>
      </c>
      <c r="AK193" s="257"/>
      <c r="AL193" s="257">
        <f t="shared" si="183"/>
        <v>1.2</v>
      </c>
      <c r="AM193" s="52"/>
      <c r="AN193" s="88"/>
    </row>
    <row r="194" spans="1:40" s="29" customFormat="1" ht="17.25" customHeight="1">
      <c r="A194" s="48">
        <v>184</v>
      </c>
      <c r="B194" s="49">
        <f t="shared" si="175"/>
        <v>45759</v>
      </c>
      <c r="C194" s="220">
        <f t="shared" si="176"/>
        <v>1049</v>
      </c>
      <c r="D194" s="220">
        <f t="shared" si="232"/>
        <v>2176</v>
      </c>
      <c r="E194" s="220">
        <f t="shared" si="178"/>
        <v>3225</v>
      </c>
      <c r="F194" s="220">
        <f t="shared" si="170"/>
        <v>814</v>
      </c>
      <c r="G194" s="220">
        <f t="shared" si="171"/>
        <v>1098</v>
      </c>
      <c r="H194" s="220">
        <f t="shared" si="172"/>
        <v>1146</v>
      </c>
      <c r="I194" s="220">
        <f t="shared" si="173"/>
        <v>1074</v>
      </c>
      <c r="J194" s="220">
        <f t="shared" si="174"/>
        <v>873</v>
      </c>
      <c r="K194" s="220">
        <f t="shared" si="210"/>
        <v>2411</v>
      </c>
      <c r="L194" s="220">
        <f t="shared" si="210"/>
        <v>2127</v>
      </c>
      <c r="M194" s="220">
        <f t="shared" si="210"/>
        <v>2079</v>
      </c>
      <c r="N194" s="220">
        <f t="shared" si="210"/>
        <v>2151</v>
      </c>
      <c r="O194" s="220">
        <f t="shared" si="210"/>
        <v>2352</v>
      </c>
      <c r="P194" s="220">
        <f t="shared" si="236"/>
        <v>2000</v>
      </c>
      <c r="Q194" s="220">
        <f t="shared" si="236"/>
        <v>2000</v>
      </c>
      <c r="R194" s="220">
        <f t="shared" si="236"/>
        <v>2000</v>
      </c>
      <c r="S194" s="220">
        <f t="shared" si="236"/>
        <v>2000</v>
      </c>
      <c r="T194" s="220">
        <f t="shared" si="236"/>
        <v>2000</v>
      </c>
      <c r="U194" s="220">
        <f t="shared" si="237"/>
        <v>411</v>
      </c>
      <c r="V194" s="220">
        <f t="shared" si="237"/>
        <v>127</v>
      </c>
      <c r="W194" s="220">
        <f t="shared" si="237"/>
        <v>79</v>
      </c>
      <c r="X194" s="220">
        <f t="shared" si="237"/>
        <v>151</v>
      </c>
      <c r="Y194" s="220">
        <f t="shared" si="237"/>
        <v>352</v>
      </c>
      <c r="Z194" s="220">
        <v>0</v>
      </c>
      <c r="AA194" s="220">
        <v>9</v>
      </c>
      <c r="AB194" s="220">
        <v>9</v>
      </c>
      <c r="AC194" s="220">
        <v>9</v>
      </c>
      <c r="AD194" s="220">
        <v>0</v>
      </c>
      <c r="AE194" s="220">
        <f t="shared" si="238"/>
        <v>-238</v>
      </c>
      <c r="AF194" s="220">
        <f t="shared" si="238"/>
        <v>-442</v>
      </c>
      <c r="AG194" s="220">
        <f t="shared" si="238"/>
        <v>-470</v>
      </c>
      <c r="AH194" s="220">
        <f t="shared" si="238"/>
        <v>-408</v>
      </c>
      <c r="AI194" s="220">
        <f t="shared" si="238"/>
        <v>-207</v>
      </c>
      <c r="AJ194" s="50">
        <f t="shared" si="182"/>
        <v>1.2790000000000097</v>
      </c>
      <c r="AK194" s="257"/>
      <c r="AL194" s="257">
        <f t="shared" si="183"/>
        <v>1.2</v>
      </c>
      <c r="AM194" s="52"/>
      <c r="AN194" s="88"/>
    </row>
    <row r="195" spans="1:40" s="29" customFormat="1" ht="17.25" customHeight="1">
      <c r="A195" s="48">
        <v>185</v>
      </c>
      <c r="B195" s="49">
        <f t="shared" si="175"/>
        <v>45760</v>
      </c>
      <c r="C195" s="220">
        <f t="shared" si="176"/>
        <v>1049</v>
      </c>
      <c r="D195" s="220">
        <f t="shared" si="233"/>
        <v>2208</v>
      </c>
      <c r="E195" s="220">
        <f t="shared" si="178"/>
        <v>3257</v>
      </c>
      <c r="F195" s="220">
        <f t="shared" si="170"/>
        <v>847</v>
      </c>
      <c r="G195" s="220">
        <f t="shared" si="171"/>
        <v>1138</v>
      </c>
      <c r="H195" s="220">
        <f t="shared" si="172"/>
        <v>1187</v>
      </c>
      <c r="I195" s="220">
        <f t="shared" si="173"/>
        <v>1114</v>
      </c>
      <c r="J195" s="220">
        <f t="shared" si="174"/>
        <v>907</v>
      </c>
      <c r="K195" s="220">
        <f t="shared" si="210"/>
        <v>2410</v>
      </c>
      <c r="L195" s="220">
        <f t="shared" si="210"/>
        <v>2119</v>
      </c>
      <c r="M195" s="220">
        <f t="shared" si="210"/>
        <v>2070</v>
      </c>
      <c r="N195" s="220">
        <f t="shared" si="210"/>
        <v>2143</v>
      </c>
      <c r="O195" s="220">
        <f t="shared" si="210"/>
        <v>2350</v>
      </c>
      <c r="P195" s="220">
        <f t="shared" si="236"/>
        <v>2000</v>
      </c>
      <c r="Q195" s="220">
        <f t="shared" si="236"/>
        <v>2000</v>
      </c>
      <c r="R195" s="220">
        <f t="shared" si="236"/>
        <v>2000</v>
      </c>
      <c r="S195" s="220">
        <f t="shared" si="236"/>
        <v>2000</v>
      </c>
      <c r="T195" s="220">
        <f t="shared" si="236"/>
        <v>2000</v>
      </c>
      <c r="U195" s="220">
        <f t="shared" si="237"/>
        <v>410</v>
      </c>
      <c r="V195" s="220">
        <f t="shared" si="237"/>
        <v>119</v>
      </c>
      <c r="W195" s="220">
        <f t="shared" si="237"/>
        <v>70</v>
      </c>
      <c r="X195" s="220">
        <f t="shared" si="237"/>
        <v>143</v>
      </c>
      <c r="Y195" s="220">
        <f t="shared" si="237"/>
        <v>350</v>
      </c>
      <c r="Z195" s="220">
        <v>1</v>
      </c>
      <c r="AA195" s="220">
        <v>8</v>
      </c>
      <c r="AB195" s="220">
        <v>9</v>
      </c>
      <c r="AC195" s="220">
        <v>8</v>
      </c>
      <c r="AD195" s="220">
        <v>2</v>
      </c>
      <c r="AE195" s="220">
        <f t="shared" si="238"/>
        <v>-239</v>
      </c>
      <c r="AF195" s="220">
        <f t="shared" si="238"/>
        <v>-450</v>
      </c>
      <c r="AG195" s="220">
        <f t="shared" si="238"/>
        <v>-479</v>
      </c>
      <c r="AH195" s="220">
        <f t="shared" si="238"/>
        <v>-416</v>
      </c>
      <c r="AI195" s="220">
        <f t="shared" si="238"/>
        <v>-209</v>
      </c>
      <c r="AJ195" s="50">
        <f t="shared" si="182"/>
        <v>1.2700000000000098</v>
      </c>
      <c r="AK195" s="257"/>
      <c r="AL195" s="257">
        <f t="shared" si="183"/>
        <v>1.2</v>
      </c>
      <c r="AM195" s="52"/>
      <c r="AN195" s="88"/>
    </row>
    <row r="196" spans="1:40" s="29" customFormat="1" ht="17.25" customHeight="1">
      <c r="A196" s="48">
        <v>186</v>
      </c>
      <c r="B196" s="49">
        <f t="shared" si="175"/>
        <v>45761</v>
      </c>
      <c r="C196" s="220">
        <f t="shared" si="176"/>
        <v>1049</v>
      </c>
      <c r="D196" s="220">
        <f t="shared" si="234"/>
        <v>2190</v>
      </c>
      <c r="E196" s="220">
        <f t="shared" si="178"/>
        <v>3239</v>
      </c>
      <c r="F196" s="220">
        <f t="shared" si="170"/>
        <v>829</v>
      </c>
      <c r="G196" s="220">
        <f t="shared" si="171"/>
        <v>1129</v>
      </c>
      <c r="H196" s="220">
        <f t="shared" si="172"/>
        <v>1177</v>
      </c>
      <c r="I196" s="220">
        <f t="shared" si="173"/>
        <v>1105</v>
      </c>
      <c r="J196" s="220">
        <f t="shared" si="174"/>
        <v>889</v>
      </c>
      <c r="K196" s="220">
        <f t="shared" si="210"/>
        <v>2410</v>
      </c>
      <c r="L196" s="220">
        <f t="shared" si="210"/>
        <v>2110</v>
      </c>
      <c r="M196" s="220">
        <f t="shared" si="210"/>
        <v>2062</v>
      </c>
      <c r="N196" s="220">
        <f t="shared" si="210"/>
        <v>2134</v>
      </c>
      <c r="O196" s="220">
        <f t="shared" si="210"/>
        <v>2350</v>
      </c>
      <c r="P196" s="220">
        <f t="shared" si="236"/>
        <v>2000</v>
      </c>
      <c r="Q196" s="220">
        <f t="shared" si="236"/>
        <v>2000</v>
      </c>
      <c r="R196" s="220">
        <f t="shared" si="236"/>
        <v>2000</v>
      </c>
      <c r="S196" s="220">
        <f t="shared" si="236"/>
        <v>2000</v>
      </c>
      <c r="T196" s="220">
        <f t="shared" si="236"/>
        <v>2000</v>
      </c>
      <c r="U196" s="220">
        <f t="shared" si="237"/>
        <v>410</v>
      </c>
      <c r="V196" s="220">
        <f t="shared" si="237"/>
        <v>110</v>
      </c>
      <c r="W196" s="220">
        <f t="shared" si="237"/>
        <v>62</v>
      </c>
      <c r="X196" s="220">
        <f t="shared" si="237"/>
        <v>134</v>
      </c>
      <c r="Y196" s="220">
        <f t="shared" si="237"/>
        <v>350</v>
      </c>
      <c r="Z196" s="220">
        <v>0</v>
      </c>
      <c r="AA196" s="220">
        <v>9</v>
      </c>
      <c r="AB196" s="220">
        <v>8</v>
      </c>
      <c r="AC196" s="220">
        <v>9</v>
      </c>
      <c r="AD196" s="220">
        <v>0</v>
      </c>
      <c r="AE196" s="220">
        <f t="shared" si="238"/>
        <v>-239</v>
      </c>
      <c r="AF196" s="220">
        <f t="shared" si="238"/>
        <v>-459</v>
      </c>
      <c r="AG196" s="220">
        <f t="shared" si="238"/>
        <v>-487</v>
      </c>
      <c r="AH196" s="220">
        <f t="shared" si="238"/>
        <v>-425</v>
      </c>
      <c r="AI196" s="220">
        <f t="shared" si="238"/>
        <v>-209</v>
      </c>
      <c r="AJ196" s="50">
        <f t="shared" si="182"/>
        <v>1.2620000000000098</v>
      </c>
      <c r="AK196" s="257"/>
      <c r="AL196" s="257">
        <f t="shared" si="183"/>
        <v>1.2</v>
      </c>
      <c r="AM196" s="52"/>
      <c r="AN196" s="88"/>
    </row>
    <row r="197" spans="1:40" s="29" customFormat="1" ht="17.25" customHeight="1">
      <c r="A197" s="48">
        <v>187</v>
      </c>
      <c r="B197" s="49">
        <f t="shared" si="175"/>
        <v>45762</v>
      </c>
      <c r="C197" s="220">
        <f t="shared" si="176"/>
        <v>1049</v>
      </c>
      <c r="D197" s="220">
        <f t="shared" si="235"/>
        <v>2164</v>
      </c>
      <c r="E197" s="220">
        <f t="shared" si="178"/>
        <v>3213</v>
      </c>
      <c r="F197" s="220">
        <f t="shared" si="170"/>
        <v>804</v>
      </c>
      <c r="G197" s="220">
        <f t="shared" si="171"/>
        <v>1112</v>
      </c>
      <c r="H197" s="220">
        <f t="shared" si="172"/>
        <v>1160</v>
      </c>
      <c r="I197" s="220">
        <f t="shared" si="173"/>
        <v>1088</v>
      </c>
      <c r="J197" s="220">
        <f t="shared" si="174"/>
        <v>863</v>
      </c>
      <c r="K197" s="220">
        <f t="shared" si="210"/>
        <v>2409</v>
      </c>
      <c r="L197" s="220">
        <f t="shared" si="210"/>
        <v>2101</v>
      </c>
      <c r="M197" s="220">
        <f t="shared" si="210"/>
        <v>2053</v>
      </c>
      <c r="N197" s="220">
        <f t="shared" si="210"/>
        <v>2125</v>
      </c>
      <c r="O197" s="220">
        <f t="shared" si="210"/>
        <v>2350</v>
      </c>
      <c r="P197" s="220">
        <f t="shared" si="236"/>
        <v>2000</v>
      </c>
      <c r="Q197" s="220">
        <f t="shared" si="236"/>
        <v>2000</v>
      </c>
      <c r="R197" s="220">
        <f t="shared" si="236"/>
        <v>2000</v>
      </c>
      <c r="S197" s="220">
        <f t="shared" si="236"/>
        <v>2000</v>
      </c>
      <c r="T197" s="220">
        <f t="shared" si="236"/>
        <v>2000</v>
      </c>
      <c r="U197" s="220">
        <f t="shared" si="237"/>
        <v>409</v>
      </c>
      <c r="V197" s="220">
        <f t="shared" si="237"/>
        <v>101</v>
      </c>
      <c r="W197" s="220">
        <f t="shared" si="237"/>
        <v>53</v>
      </c>
      <c r="X197" s="220">
        <f t="shared" si="237"/>
        <v>125</v>
      </c>
      <c r="Y197" s="220">
        <f t="shared" si="237"/>
        <v>350</v>
      </c>
      <c r="Z197" s="220">
        <v>1</v>
      </c>
      <c r="AA197" s="220">
        <v>9</v>
      </c>
      <c r="AB197" s="220">
        <v>9</v>
      </c>
      <c r="AC197" s="220">
        <v>9</v>
      </c>
      <c r="AD197" s="220">
        <v>0</v>
      </c>
      <c r="AE197" s="220">
        <f t="shared" si="238"/>
        <v>-240</v>
      </c>
      <c r="AF197" s="220">
        <f t="shared" si="238"/>
        <v>-468</v>
      </c>
      <c r="AG197" s="220">
        <f t="shared" si="238"/>
        <v>-496</v>
      </c>
      <c r="AH197" s="220">
        <f t="shared" si="238"/>
        <v>-434</v>
      </c>
      <c r="AI197" s="220">
        <f t="shared" si="238"/>
        <v>-209</v>
      </c>
      <c r="AJ197" s="50">
        <f t="shared" si="182"/>
        <v>1.2530000000000099</v>
      </c>
      <c r="AK197" s="257"/>
      <c r="AL197" s="257">
        <f t="shared" si="183"/>
        <v>1.2</v>
      </c>
      <c r="AM197" s="52"/>
      <c r="AN197" s="88"/>
    </row>
    <row r="198" spans="1:40" s="29" customFormat="1" ht="17.25" customHeight="1">
      <c r="A198" s="48">
        <v>188</v>
      </c>
      <c r="B198" s="49">
        <f t="shared" si="175"/>
        <v>45763</v>
      </c>
      <c r="C198" s="220">
        <f t="shared" si="176"/>
        <v>1049</v>
      </c>
      <c r="D198" s="220">
        <f t="shared" si="239"/>
        <v>2179</v>
      </c>
      <c r="E198" s="220">
        <f t="shared" si="178"/>
        <v>3228</v>
      </c>
      <c r="F198" s="220">
        <f t="shared" si="170"/>
        <v>819</v>
      </c>
      <c r="G198" s="220">
        <f t="shared" si="171"/>
        <v>1136</v>
      </c>
      <c r="H198" s="220">
        <f t="shared" si="172"/>
        <v>1184</v>
      </c>
      <c r="I198" s="220">
        <f t="shared" si="173"/>
        <v>1112</v>
      </c>
      <c r="J198" s="220">
        <f t="shared" si="174"/>
        <v>879</v>
      </c>
      <c r="K198" s="220">
        <f t="shared" si="210"/>
        <v>2409</v>
      </c>
      <c r="L198" s="220">
        <f t="shared" si="210"/>
        <v>2092</v>
      </c>
      <c r="M198" s="220">
        <f t="shared" si="210"/>
        <v>2044</v>
      </c>
      <c r="N198" s="220">
        <f t="shared" si="210"/>
        <v>2116</v>
      </c>
      <c r="O198" s="220">
        <f t="shared" si="210"/>
        <v>2349</v>
      </c>
      <c r="P198" s="220">
        <f t="shared" si="236"/>
        <v>2000</v>
      </c>
      <c r="Q198" s="220">
        <f t="shared" si="236"/>
        <v>2000</v>
      </c>
      <c r="R198" s="220">
        <f t="shared" si="236"/>
        <v>2000</v>
      </c>
      <c r="S198" s="220">
        <f t="shared" si="236"/>
        <v>2000</v>
      </c>
      <c r="T198" s="220">
        <f t="shared" si="236"/>
        <v>2000</v>
      </c>
      <c r="U198" s="220">
        <f t="shared" si="237"/>
        <v>409</v>
      </c>
      <c r="V198" s="220">
        <f t="shared" si="237"/>
        <v>92</v>
      </c>
      <c r="W198" s="220">
        <f t="shared" si="237"/>
        <v>44</v>
      </c>
      <c r="X198" s="220">
        <f t="shared" si="237"/>
        <v>116</v>
      </c>
      <c r="Y198" s="220">
        <f t="shared" si="237"/>
        <v>349</v>
      </c>
      <c r="Z198" s="220">
        <v>0</v>
      </c>
      <c r="AA198" s="220">
        <v>9</v>
      </c>
      <c r="AB198" s="220">
        <v>9</v>
      </c>
      <c r="AC198" s="220">
        <v>9</v>
      </c>
      <c r="AD198" s="220">
        <v>1</v>
      </c>
      <c r="AE198" s="220">
        <f t="shared" si="238"/>
        <v>-240</v>
      </c>
      <c r="AF198" s="220">
        <f t="shared" si="238"/>
        <v>-477</v>
      </c>
      <c r="AG198" s="220">
        <f t="shared" si="238"/>
        <v>-505</v>
      </c>
      <c r="AH198" s="220">
        <f t="shared" si="238"/>
        <v>-443</v>
      </c>
      <c r="AI198" s="220">
        <f t="shared" si="238"/>
        <v>-210</v>
      </c>
      <c r="AJ198" s="50">
        <f t="shared" si="182"/>
        <v>1.24400000000001</v>
      </c>
      <c r="AK198" s="257"/>
      <c r="AL198" s="257">
        <f t="shared" si="183"/>
        <v>1.2</v>
      </c>
      <c r="AM198" s="52"/>
      <c r="AN198" s="88"/>
    </row>
    <row r="199" spans="1:40" s="29" customFormat="1" ht="17.25" customHeight="1">
      <c r="A199" s="48">
        <v>189</v>
      </c>
      <c r="B199" s="49">
        <f t="shared" si="175"/>
        <v>45764</v>
      </c>
      <c r="C199" s="220">
        <f t="shared" si="176"/>
        <v>1049</v>
      </c>
      <c r="D199" s="220">
        <f t="shared" si="240"/>
        <v>2205</v>
      </c>
      <c r="E199" s="220">
        <f t="shared" si="178"/>
        <v>3254</v>
      </c>
      <c r="F199" s="220">
        <f t="shared" si="170"/>
        <v>846</v>
      </c>
      <c r="G199" s="220">
        <f t="shared" si="171"/>
        <v>1170</v>
      </c>
      <c r="H199" s="220">
        <f t="shared" si="172"/>
        <v>1219</v>
      </c>
      <c r="I199" s="220">
        <f t="shared" si="173"/>
        <v>1146</v>
      </c>
      <c r="J199" s="220">
        <f t="shared" si="174"/>
        <v>907</v>
      </c>
      <c r="K199" s="220">
        <f t="shared" si="210"/>
        <v>2408</v>
      </c>
      <c r="L199" s="220">
        <f t="shared" si="210"/>
        <v>2084</v>
      </c>
      <c r="M199" s="220">
        <f t="shared" si="210"/>
        <v>2035</v>
      </c>
      <c r="N199" s="220">
        <f t="shared" si="210"/>
        <v>2108</v>
      </c>
      <c r="O199" s="220">
        <f t="shared" si="210"/>
        <v>2347</v>
      </c>
      <c r="P199" s="220">
        <f t="shared" si="236"/>
        <v>2000</v>
      </c>
      <c r="Q199" s="220">
        <f t="shared" si="236"/>
        <v>2000</v>
      </c>
      <c r="R199" s="220">
        <f t="shared" si="236"/>
        <v>2000</v>
      </c>
      <c r="S199" s="220">
        <f t="shared" si="236"/>
        <v>2000</v>
      </c>
      <c r="T199" s="220">
        <f t="shared" si="236"/>
        <v>2000</v>
      </c>
      <c r="U199" s="220">
        <f t="shared" si="237"/>
        <v>408</v>
      </c>
      <c r="V199" s="220">
        <f t="shared" si="237"/>
        <v>84</v>
      </c>
      <c r="W199" s="220">
        <f t="shared" si="237"/>
        <v>35</v>
      </c>
      <c r="X199" s="220">
        <f t="shared" si="237"/>
        <v>108</v>
      </c>
      <c r="Y199" s="220">
        <f t="shared" si="237"/>
        <v>347</v>
      </c>
      <c r="Z199" s="220">
        <v>1</v>
      </c>
      <c r="AA199" s="220">
        <v>8</v>
      </c>
      <c r="AB199" s="220">
        <v>9</v>
      </c>
      <c r="AC199" s="220">
        <v>8</v>
      </c>
      <c r="AD199" s="220">
        <v>2</v>
      </c>
      <c r="AE199" s="220">
        <f t="shared" si="238"/>
        <v>-241</v>
      </c>
      <c r="AF199" s="220">
        <f t="shared" si="238"/>
        <v>-485</v>
      </c>
      <c r="AG199" s="220">
        <f t="shared" si="238"/>
        <v>-514</v>
      </c>
      <c r="AH199" s="220">
        <f t="shared" si="238"/>
        <v>-451</v>
      </c>
      <c r="AI199" s="220">
        <f t="shared" si="238"/>
        <v>-212</v>
      </c>
      <c r="AJ199" s="50">
        <f t="shared" si="182"/>
        <v>1.2350000000000101</v>
      </c>
      <c r="AK199" s="257"/>
      <c r="AL199" s="257">
        <f t="shared" si="183"/>
        <v>1.2</v>
      </c>
      <c r="AM199" s="52"/>
      <c r="AN199" s="88"/>
    </row>
    <row r="200" spans="1:40" s="29" customFormat="1" ht="17.25" customHeight="1">
      <c r="A200" s="48">
        <v>190</v>
      </c>
      <c r="B200" s="49">
        <f t="shared" si="175"/>
        <v>45765</v>
      </c>
      <c r="C200" s="220">
        <f t="shared" si="176"/>
        <v>1049</v>
      </c>
      <c r="D200" s="220">
        <f t="shared" si="224"/>
        <v>2179</v>
      </c>
      <c r="E200" s="220">
        <f t="shared" si="178"/>
        <v>3228</v>
      </c>
      <c r="F200" s="220">
        <f t="shared" si="170"/>
        <v>820</v>
      </c>
      <c r="G200" s="220">
        <f t="shared" si="171"/>
        <v>1153</v>
      </c>
      <c r="H200" s="220">
        <f t="shared" si="172"/>
        <v>1202</v>
      </c>
      <c r="I200" s="220">
        <f t="shared" si="173"/>
        <v>1129</v>
      </c>
      <c r="J200" s="220">
        <f t="shared" si="174"/>
        <v>881</v>
      </c>
      <c r="K200" s="220">
        <f t="shared" si="210"/>
        <v>2408</v>
      </c>
      <c r="L200" s="220">
        <f t="shared" si="210"/>
        <v>2075</v>
      </c>
      <c r="M200" s="220">
        <f t="shared" si="210"/>
        <v>2026</v>
      </c>
      <c r="N200" s="220">
        <f t="shared" si="210"/>
        <v>2099</v>
      </c>
      <c r="O200" s="220">
        <f t="shared" si="210"/>
        <v>2347</v>
      </c>
      <c r="P200" s="220">
        <f t="shared" si="236"/>
        <v>2000</v>
      </c>
      <c r="Q200" s="220">
        <f t="shared" si="236"/>
        <v>2000</v>
      </c>
      <c r="R200" s="220">
        <f t="shared" si="236"/>
        <v>2000</v>
      </c>
      <c r="S200" s="220">
        <f t="shared" si="236"/>
        <v>2000</v>
      </c>
      <c r="T200" s="220">
        <f t="shared" si="236"/>
        <v>2000</v>
      </c>
      <c r="U200" s="220">
        <f t="shared" si="237"/>
        <v>408</v>
      </c>
      <c r="V200" s="220">
        <f t="shared" si="237"/>
        <v>75</v>
      </c>
      <c r="W200" s="220">
        <f t="shared" si="237"/>
        <v>26</v>
      </c>
      <c r="X200" s="220">
        <f t="shared" si="237"/>
        <v>99</v>
      </c>
      <c r="Y200" s="220">
        <f t="shared" si="237"/>
        <v>347</v>
      </c>
      <c r="Z200" s="220">
        <v>0</v>
      </c>
      <c r="AA200" s="220">
        <v>9</v>
      </c>
      <c r="AB200" s="220">
        <v>9</v>
      </c>
      <c r="AC200" s="220">
        <v>9</v>
      </c>
      <c r="AD200" s="220">
        <v>0</v>
      </c>
      <c r="AE200" s="220">
        <f t="shared" si="238"/>
        <v>-241</v>
      </c>
      <c r="AF200" s="220">
        <f t="shared" si="238"/>
        <v>-494</v>
      </c>
      <c r="AG200" s="220">
        <f t="shared" si="238"/>
        <v>-523</v>
      </c>
      <c r="AH200" s="220">
        <f t="shared" si="238"/>
        <v>-460</v>
      </c>
      <c r="AI200" s="220">
        <f t="shared" si="238"/>
        <v>-212</v>
      </c>
      <c r="AJ200" s="50">
        <f t="shared" si="182"/>
        <v>1.2260000000000102</v>
      </c>
      <c r="AK200" s="257"/>
      <c r="AL200" s="257">
        <f t="shared" si="183"/>
        <v>1.2</v>
      </c>
      <c r="AM200" s="52"/>
      <c r="AN200" s="88"/>
    </row>
    <row r="201" spans="1:40" s="29" customFormat="1" ht="17.25" customHeight="1">
      <c r="A201" s="48">
        <v>191</v>
      </c>
      <c r="B201" s="49">
        <f t="shared" si="175"/>
        <v>45766</v>
      </c>
      <c r="C201" s="220">
        <f t="shared" si="176"/>
        <v>1049</v>
      </c>
      <c r="D201" s="220">
        <f t="shared" si="225"/>
        <v>2194</v>
      </c>
      <c r="E201" s="220">
        <f t="shared" si="178"/>
        <v>3243</v>
      </c>
      <c r="F201" s="220">
        <f t="shared" si="170"/>
        <v>836</v>
      </c>
      <c r="G201" s="220">
        <f t="shared" si="171"/>
        <v>1176</v>
      </c>
      <c r="H201" s="220">
        <f t="shared" si="172"/>
        <v>1225</v>
      </c>
      <c r="I201" s="220">
        <f t="shared" si="173"/>
        <v>1153</v>
      </c>
      <c r="J201" s="220">
        <f t="shared" si="174"/>
        <v>896</v>
      </c>
      <c r="K201" s="220">
        <f t="shared" si="210"/>
        <v>2407</v>
      </c>
      <c r="L201" s="220">
        <f t="shared" si="210"/>
        <v>2067</v>
      </c>
      <c r="M201" s="220">
        <f t="shared" si="210"/>
        <v>2018</v>
      </c>
      <c r="N201" s="220">
        <f t="shared" si="210"/>
        <v>2090</v>
      </c>
      <c r="O201" s="220">
        <f t="shared" si="210"/>
        <v>2347</v>
      </c>
      <c r="P201" s="220">
        <f t="shared" si="236"/>
        <v>2000</v>
      </c>
      <c r="Q201" s="220">
        <f t="shared" si="236"/>
        <v>2000</v>
      </c>
      <c r="R201" s="220">
        <f t="shared" si="236"/>
        <v>2000</v>
      </c>
      <c r="S201" s="220">
        <f t="shared" si="236"/>
        <v>2000</v>
      </c>
      <c r="T201" s="220">
        <f t="shared" si="236"/>
        <v>2000</v>
      </c>
      <c r="U201" s="220">
        <f t="shared" si="237"/>
        <v>407</v>
      </c>
      <c r="V201" s="220">
        <f t="shared" si="237"/>
        <v>67</v>
      </c>
      <c r="W201" s="220">
        <f t="shared" si="237"/>
        <v>18</v>
      </c>
      <c r="X201" s="220">
        <f t="shared" si="237"/>
        <v>90</v>
      </c>
      <c r="Y201" s="220">
        <f t="shared" si="237"/>
        <v>347</v>
      </c>
      <c r="Z201" s="220">
        <v>1</v>
      </c>
      <c r="AA201" s="220">
        <v>8</v>
      </c>
      <c r="AB201" s="220">
        <v>8</v>
      </c>
      <c r="AC201" s="220">
        <v>9</v>
      </c>
      <c r="AD201" s="220">
        <v>0</v>
      </c>
      <c r="AE201" s="220">
        <f t="shared" si="238"/>
        <v>-242</v>
      </c>
      <c r="AF201" s="220">
        <f t="shared" si="238"/>
        <v>-502</v>
      </c>
      <c r="AG201" s="220">
        <f t="shared" si="238"/>
        <v>-531</v>
      </c>
      <c r="AH201" s="220">
        <f t="shared" si="238"/>
        <v>-469</v>
      </c>
      <c r="AI201" s="220">
        <f t="shared" si="238"/>
        <v>-212</v>
      </c>
      <c r="AJ201" s="50">
        <f t="shared" si="182"/>
        <v>1.2180000000000102</v>
      </c>
      <c r="AK201" s="257"/>
      <c r="AL201" s="257">
        <f t="shared" si="183"/>
        <v>1.2</v>
      </c>
      <c r="AM201" s="52"/>
      <c r="AN201" s="88"/>
    </row>
    <row r="202" spans="1:40" s="29" customFormat="1" ht="17.25" customHeight="1">
      <c r="A202" s="48">
        <v>192</v>
      </c>
      <c r="B202" s="49">
        <f t="shared" si="175"/>
        <v>45767</v>
      </c>
      <c r="C202" s="220">
        <f t="shared" si="176"/>
        <v>1049</v>
      </c>
      <c r="D202" s="220">
        <f t="shared" si="232"/>
        <v>2220</v>
      </c>
      <c r="E202" s="220">
        <f t="shared" si="178"/>
        <v>3269</v>
      </c>
      <c r="F202" s="220">
        <f t="shared" si="170"/>
        <v>862</v>
      </c>
      <c r="G202" s="220">
        <f t="shared" si="171"/>
        <v>1210</v>
      </c>
      <c r="H202" s="220">
        <f t="shared" si="172"/>
        <v>1260</v>
      </c>
      <c r="I202" s="220">
        <f t="shared" si="173"/>
        <v>1188</v>
      </c>
      <c r="J202" s="220">
        <f t="shared" si="174"/>
        <v>922</v>
      </c>
      <c r="K202" s="220">
        <f t="shared" si="210"/>
        <v>2407</v>
      </c>
      <c r="L202" s="220">
        <f t="shared" si="210"/>
        <v>2059</v>
      </c>
      <c r="M202" s="220">
        <f t="shared" si="210"/>
        <v>2009</v>
      </c>
      <c r="N202" s="220">
        <f t="shared" si="210"/>
        <v>2081</v>
      </c>
      <c r="O202" s="220">
        <f t="shared" si="210"/>
        <v>2347</v>
      </c>
      <c r="P202" s="220">
        <f t="shared" si="236"/>
        <v>2000</v>
      </c>
      <c r="Q202" s="220">
        <f t="shared" si="236"/>
        <v>2000</v>
      </c>
      <c r="R202" s="220">
        <f t="shared" si="236"/>
        <v>2000</v>
      </c>
      <c r="S202" s="220">
        <f t="shared" si="236"/>
        <v>2000</v>
      </c>
      <c r="T202" s="220">
        <f t="shared" si="236"/>
        <v>2000</v>
      </c>
      <c r="U202" s="220">
        <f t="shared" si="237"/>
        <v>407</v>
      </c>
      <c r="V202" s="220">
        <f t="shared" si="237"/>
        <v>59</v>
      </c>
      <c r="W202" s="220">
        <f t="shared" si="237"/>
        <v>9</v>
      </c>
      <c r="X202" s="220">
        <f t="shared" si="237"/>
        <v>81</v>
      </c>
      <c r="Y202" s="220">
        <f t="shared" si="237"/>
        <v>347</v>
      </c>
      <c r="Z202" s="220">
        <v>0</v>
      </c>
      <c r="AA202" s="220">
        <v>8</v>
      </c>
      <c r="AB202" s="220">
        <v>9</v>
      </c>
      <c r="AC202" s="220">
        <v>9</v>
      </c>
      <c r="AD202" s="220">
        <v>0</v>
      </c>
      <c r="AE202" s="220">
        <f t="shared" si="238"/>
        <v>-242</v>
      </c>
      <c r="AF202" s="220">
        <f t="shared" si="238"/>
        <v>-510</v>
      </c>
      <c r="AG202" s="220">
        <f t="shared" si="238"/>
        <v>-540</v>
      </c>
      <c r="AH202" s="220">
        <f t="shared" si="238"/>
        <v>-478</v>
      </c>
      <c r="AI202" s="220">
        <f t="shared" si="238"/>
        <v>-212</v>
      </c>
      <c r="AJ202" s="50">
        <f t="shared" si="182"/>
        <v>1.2090000000000103</v>
      </c>
      <c r="AK202" s="257"/>
      <c r="AL202" s="257">
        <f t="shared" si="183"/>
        <v>1.2</v>
      </c>
      <c r="AM202" s="52"/>
      <c r="AN202" s="88"/>
    </row>
    <row r="203" spans="1:40" s="29" customFormat="1" ht="17.25" customHeight="1">
      <c r="A203" s="48">
        <v>193</v>
      </c>
      <c r="B203" s="49">
        <f t="shared" si="175"/>
        <v>45768</v>
      </c>
      <c r="C203" s="220">
        <f t="shared" si="176"/>
        <v>1049</v>
      </c>
      <c r="D203" s="220">
        <f t="shared" si="233"/>
        <v>2252</v>
      </c>
      <c r="E203" s="220">
        <f t="shared" si="178"/>
        <v>3301</v>
      </c>
      <c r="F203" s="220">
        <f t="shared" si="170"/>
        <v>894</v>
      </c>
      <c r="G203" s="220">
        <f t="shared" si="171"/>
        <v>1248</v>
      </c>
      <c r="H203" s="220">
        <f t="shared" si="172"/>
        <v>1300</v>
      </c>
      <c r="I203" s="220">
        <f t="shared" si="173"/>
        <v>1228</v>
      </c>
      <c r="J203" s="220">
        <f t="shared" si="174"/>
        <v>954</v>
      </c>
      <c r="K203" s="220">
        <f t="shared" si="210"/>
        <v>2407</v>
      </c>
      <c r="L203" s="220">
        <f t="shared" si="210"/>
        <v>2053</v>
      </c>
      <c r="M203" s="220">
        <f t="shared" si="210"/>
        <v>2001</v>
      </c>
      <c r="N203" s="220">
        <f t="shared" si="210"/>
        <v>2073</v>
      </c>
      <c r="O203" s="220">
        <f t="shared" si="210"/>
        <v>2347</v>
      </c>
      <c r="P203" s="220">
        <f t="shared" si="236"/>
        <v>2000</v>
      </c>
      <c r="Q203" s="220">
        <f t="shared" si="236"/>
        <v>2000</v>
      </c>
      <c r="R203" s="220">
        <f t="shared" si="236"/>
        <v>2000</v>
      </c>
      <c r="S203" s="220">
        <f t="shared" si="236"/>
        <v>2000</v>
      </c>
      <c r="T203" s="220">
        <f t="shared" si="236"/>
        <v>2000</v>
      </c>
      <c r="U203" s="220">
        <f t="shared" si="237"/>
        <v>407</v>
      </c>
      <c r="V203" s="220">
        <f t="shared" si="237"/>
        <v>53</v>
      </c>
      <c r="W203" s="220">
        <f t="shared" si="237"/>
        <v>1</v>
      </c>
      <c r="X203" s="220">
        <f t="shared" si="237"/>
        <v>73</v>
      </c>
      <c r="Y203" s="220">
        <f t="shared" si="237"/>
        <v>347</v>
      </c>
      <c r="Z203" s="220">
        <v>0</v>
      </c>
      <c r="AA203" s="220">
        <v>6</v>
      </c>
      <c r="AB203" s="220">
        <v>8</v>
      </c>
      <c r="AC203" s="220">
        <v>8</v>
      </c>
      <c r="AD203" s="220">
        <v>0</v>
      </c>
      <c r="AE203" s="220">
        <f t="shared" si="238"/>
        <v>-242</v>
      </c>
      <c r="AF203" s="220">
        <f t="shared" si="238"/>
        <v>-516</v>
      </c>
      <c r="AG203" s="220">
        <f t="shared" si="238"/>
        <v>-548</v>
      </c>
      <c r="AH203" s="220">
        <f t="shared" si="238"/>
        <v>-486</v>
      </c>
      <c r="AI203" s="220">
        <f t="shared" si="238"/>
        <v>-212</v>
      </c>
      <c r="AJ203" s="50">
        <f t="shared" si="182"/>
        <v>1.2010000000000103</v>
      </c>
      <c r="AK203" s="257"/>
      <c r="AL203" s="257">
        <f t="shared" si="183"/>
        <v>1.2</v>
      </c>
      <c r="AM203" s="52"/>
      <c r="AN203" s="88"/>
    </row>
    <row r="204" spans="1:40" s="29" customFormat="1" ht="17.25" customHeight="1">
      <c r="A204" s="48">
        <v>194</v>
      </c>
      <c r="B204" s="49">
        <f t="shared" si="175"/>
        <v>45769</v>
      </c>
      <c r="C204" s="220">
        <f t="shared" si="176"/>
        <v>1049</v>
      </c>
      <c r="D204" s="220">
        <f t="shared" si="234"/>
        <v>2234</v>
      </c>
      <c r="E204" s="220">
        <f t="shared" si="178"/>
        <v>3283</v>
      </c>
      <c r="F204" s="220">
        <f t="shared" ref="F204:F224" si="241">E204-K204</f>
        <v>876</v>
      </c>
      <c r="G204" s="220">
        <f t="shared" ref="G204:G224" si="242">E204-L204</f>
        <v>1238</v>
      </c>
      <c r="H204" s="220">
        <f t="shared" ref="H204:H224" si="243">E204-M204</f>
        <v>1290</v>
      </c>
      <c r="I204" s="220">
        <f t="shared" ref="I204:I224" si="244">E204-N204</f>
        <v>1217</v>
      </c>
      <c r="J204" s="220">
        <f t="shared" ref="J204:J224" si="245">E204-O204</f>
        <v>936</v>
      </c>
      <c r="K204" s="220">
        <f t="shared" si="210"/>
        <v>2407</v>
      </c>
      <c r="L204" s="220">
        <f t="shared" si="210"/>
        <v>2045</v>
      </c>
      <c r="M204" s="220">
        <f t="shared" si="210"/>
        <v>1993</v>
      </c>
      <c r="N204" s="220">
        <f t="shared" si="210"/>
        <v>2066</v>
      </c>
      <c r="O204" s="220">
        <f t="shared" si="210"/>
        <v>2347</v>
      </c>
      <c r="P204" s="220">
        <f t="shared" si="236"/>
        <v>2000</v>
      </c>
      <c r="Q204" s="220">
        <f t="shared" si="236"/>
        <v>2000</v>
      </c>
      <c r="R204" s="220">
        <f t="shared" si="236"/>
        <v>2000</v>
      </c>
      <c r="S204" s="220">
        <f t="shared" si="236"/>
        <v>2000</v>
      </c>
      <c r="T204" s="220">
        <f t="shared" si="236"/>
        <v>2000</v>
      </c>
      <c r="U204" s="220">
        <f t="shared" si="237"/>
        <v>407</v>
      </c>
      <c r="V204" s="220">
        <f t="shared" si="237"/>
        <v>45</v>
      </c>
      <c r="W204" s="220">
        <f t="shared" si="237"/>
        <v>-7</v>
      </c>
      <c r="X204" s="220">
        <f t="shared" si="237"/>
        <v>66</v>
      </c>
      <c r="Y204" s="220">
        <f t="shared" si="237"/>
        <v>347</v>
      </c>
      <c r="Z204" s="220">
        <v>0</v>
      </c>
      <c r="AA204" s="220">
        <v>8</v>
      </c>
      <c r="AB204" s="220">
        <v>8</v>
      </c>
      <c r="AC204" s="220">
        <v>7</v>
      </c>
      <c r="AD204" s="220">
        <v>0</v>
      </c>
      <c r="AE204" s="220">
        <f t="shared" si="238"/>
        <v>-242</v>
      </c>
      <c r="AF204" s="220">
        <f t="shared" si="238"/>
        <v>-524</v>
      </c>
      <c r="AG204" s="220">
        <f t="shared" si="238"/>
        <v>-556</v>
      </c>
      <c r="AH204" s="220">
        <f t="shared" si="238"/>
        <v>-493</v>
      </c>
      <c r="AI204" s="220">
        <f t="shared" si="238"/>
        <v>-212</v>
      </c>
      <c r="AJ204" s="50">
        <f t="shared" si="182"/>
        <v>1.1930000000000103</v>
      </c>
      <c r="AK204" s="257"/>
      <c r="AL204" s="257">
        <f t="shared" si="183"/>
        <v>1.2</v>
      </c>
      <c r="AM204" s="52"/>
      <c r="AN204" s="88"/>
    </row>
    <row r="205" spans="1:40" s="29" customFormat="1" ht="17.25" customHeight="1">
      <c r="A205" s="48">
        <v>195</v>
      </c>
      <c r="B205" s="49">
        <f t="shared" ref="B205:B243" si="246">B204+1</f>
        <v>45770</v>
      </c>
      <c r="C205" s="220">
        <f t="shared" ref="C205:C243" si="247">+C204</f>
        <v>1049</v>
      </c>
      <c r="D205" s="220">
        <f t="shared" si="235"/>
        <v>2208</v>
      </c>
      <c r="E205" s="220">
        <f t="shared" ref="E205:E224" si="248">+C205+D205</f>
        <v>3257</v>
      </c>
      <c r="F205" s="220">
        <f t="shared" si="241"/>
        <v>851</v>
      </c>
      <c r="G205" s="220">
        <f t="shared" si="242"/>
        <v>1219</v>
      </c>
      <c r="H205" s="220">
        <f t="shared" si="243"/>
        <v>1272</v>
      </c>
      <c r="I205" s="220">
        <f t="shared" si="244"/>
        <v>1199</v>
      </c>
      <c r="J205" s="220">
        <f t="shared" si="245"/>
        <v>910</v>
      </c>
      <c r="K205" s="220">
        <f t="shared" si="210"/>
        <v>2406</v>
      </c>
      <c r="L205" s="220">
        <f t="shared" si="210"/>
        <v>2038</v>
      </c>
      <c r="M205" s="220">
        <f t="shared" si="210"/>
        <v>1985</v>
      </c>
      <c r="N205" s="220">
        <f t="shared" si="210"/>
        <v>2058</v>
      </c>
      <c r="O205" s="220">
        <f t="shared" si="210"/>
        <v>2347</v>
      </c>
      <c r="P205" s="220">
        <f t="shared" ref="P205:T220" si="249">+P204</f>
        <v>2000</v>
      </c>
      <c r="Q205" s="220">
        <f t="shared" si="249"/>
        <v>2000</v>
      </c>
      <c r="R205" s="220">
        <f t="shared" si="249"/>
        <v>2000</v>
      </c>
      <c r="S205" s="220">
        <f t="shared" si="249"/>
        <v>2000</v>
      </c>
      <c r="T205" s="220">
        <f t="shared" si="249"/>
        <v>2000</v>
      </c>
      <c r="U205" s="220">
        <f t="shared" ref="U205:Y220" si="250">U204-Z205</f>
        <v>406</v>
      </c>
      <c r="V205" s="220">
        <f t="shared" si="250"/>
        <v>38</v>
      </c>
      <c r="W205" s="220">
        <f t="shared" si="250"/>
        <v>-15</v>
      </c>
      <c r="X205" s="220">
        <f t="shared" si="250"/>
        <v>58</v>
      </c>
      <c r="Y205" s="220">
        <f t="shared" si="250"/>
        <v>347</v>
      </c>
      <c r="Z205" s="220">
        <v>1</v>
      </c>
      <c r="AA205" s="220">
        <v>7</v>
      </c>
      <c r="AB205" s="220">
        <v>8</v>
      </c>
      <c r="AC205" s="220">
        <v>8</v>
      </c>
      <c r="AD205" s="220">
        <v>0</v>
      </c>
      <c r="AE205" s="220">
        <f t="shared" ref="AE205:AI220" si="251">AE204-Z205</f>
        <v>-243</v>
      </c>
      <c r="AF205" s="220">
        <f t="shared" si="251"/>
        <v>-531</v>
      </c>
      <c r="AG205" s="220">
        <f t="shared" si="251"/>
        <v>-564</v>
      </c>
      <c r="AH205" s="220">
        <f t="shared" si="251"/>
        <v>-501</v>
      </c>
      <c r="AI205" s="220">
        <f t="shared" si="251"/>
        <v>-212</v>
      </c>
      <c r="AJ205" s="50">
        <f t="shared" ref="AJ205:AJ224" si="252">AJ204-AB205/1000+AK205</f>
        <v>1.1850000000000103</v>
      </c>
      <c r="AK205" s="257"/>
      <c r="AL205" s="257">
        <f t="shared" ref="AL205:AL224" si="253">AL204+AK205</f>
        <v>1.2</v>
      </c>
      <c r="AM205" s="52"/>
      <c r="AN205" s="88"/>
    </row>
    <row r="206" spans="1:40" s="29" customFormat="1" ht="17.25" customHeight="1">
      <c r="A206" s="48">
        <v>196</v>
      </c>
      <c r="B206" s="49">
        <f t="shared" si="246"/>
        <v>45771</v>
      </c>
      <c r="C206" s="220">
        <f t="shared" si="247"/>
        <v>1049</v>
      </c>
      <c r="D206" s="220">
        <f t="shared" si="239"/>
        <v>2223</v>
      </c>
      <c r="E206" s="220">
        <f t="shared" si="248"/>
        <v>3272</v>
      </c>
      <c r="F206" s="220">
        <f t="shared" si="241"/>
        <v>866</v>
      </c>
      <c r="G206" s="220">
        <f t="shared" si="242"/>
        <v>1241</v>
      </c>
      <c r="H206" s="220">
        <f t="shared" si="243"/>
        <v>1296</v>
      </c>
      <c r="I206" s="220">
        <f t="shared" si="244"/>
        <v>1222</v>
      </c>
      <c r="J206" s="220">
        <f t="shared" si="245"/>
        <v>925</v>
      </c>
      <c r="K206" s="220">
        <f t="shared" si="210"/>
        <v>2406</v>
      </c>
      <c r="L206" s="220">
        <f t="shared" si="210"/>
        <v>2031</v>
      </c>
      <c r="M206" s="220">
        <f t="shared" si="210"/>
        <v>1976</v>
      </c>
      <c r="N206" s="220">
        <f t="shared" si="210"/>
        <v>2050</v>
      </c>
      <c r="O206" s="220">
        <f t="shared" si="210"/>
        <v>2347</v>
      </c>
      <c r="P206" s="220">
        <f t="shared" si="249"/>
        <v>2000</v>
      </c>
      <c r="Q206" s="220">
        <f t="shared" si="249"/>
        <v>2000</v>
      </c>
      <c r="R206" s="220">
        <f t="shared" si="249"/>
        <v>2000</v>
      </c>
      <c r="S206" s="220">
        <f t="shared" si="249"/>
        <v>2000</v>
      </c>
      <c r="T206" s="220">
        <f t="shared" si="249"/>
        <v>2000</v>
      </c>
      <c r="U206" s="220">
        <f t="shared" si="250"/>
        <v>406</v>
      </c>
      <c r="V206" s="220">
        <f t="shared" si="250"/>
        <v>31</v>
      </c>
      <c r="W206" s="220">
        <f t="shared" si="250"/>
        <v>-24</v>
      </c>
      <c r="X206" s="220">
        <f t="shared" si="250"/>
        <v>50</v>
      </c>
      <c r="Y206" s="220">
        <f t="shared" si="250"/>
        <v>347</v>
      </c>
      <c r="Z206" s="220">
        <v>0</v>
      </c>
      <c r="AA206" s="220">
        <v>7</v>
      </c>
      <c r="AB206" s="220">
        <v>9</v>
      </c>
      <c r="AC206" s="220">
        <v>8</v>
      </c>
      <c r="AD206" s="220">
        <v>0</v>
      </c>
      <c r="AE206" s="220">
        <f t="shared" si="251"/>
        <v>-243</v>
      </c>
      <c r="AF206" s="220">
        <f t="shared" si="251"/>
        <v>-538</v>
      </c>
      <c r="AG206" s="220">
        <f t="shared" si="251"/>
        <v>-573</v>
      </c>
      <c r="AH206" s="220">
        <f t="shared" si="251"/>
        <v>-509</v>
      </c>
      <c r="AI206" s="220">
        <f t="shared" si="251"/>
        <v>-212</v>
      </c>
      <c r="AJ206" s="50">
        <f t="shared" si="252"/>
        <v>1.1760000000000104</v>
      </c>
      <c r="AK206" s="257"/>
      <c r="AL206" s="257">
        <f t="shared" si="253"/>
        <v>1.2</v>
      </c>
      <c r="AM206" s="52"/>
      <c r="AN206" s="88"/>
    </row>
    <row r="207" spans="1:40" s="29" customFormat="1" ht="17.25" customHeight="1">
      <c r="A207" s="48">
        <v>197</v>
      </c>
      <c r="B207" s="49">
        <f t="shared" si="246"/>
        <v>45772</v>
      </c>
      <c r="C207" s="220">
        <f t="shared" si="247"/>
        <v>1049</v>
      </c>
      <c r="D207" s="220">
        <f t="shared" si="240"/>
        <v>2249</v>
      </c>
      <c r="E207" s="220">
        <f t="shared" si="248"/>
        <v>3298</v>
      </c>
      <c r="F207" s="220">
        <f t="shared" si="241"/>
        <v>893</v>
      </c>
      <c r="G207" s="220">
        <f t="shared" si="242"/>
        <v>1275</v>
      </c>
      <c r="H207" s="220">
        <f t="shared" si="243"/>
        <v>1330</v>
      </c>
      <c r="I207" s="220">
        <f t="shared" si="244"/>
        <v>1256</v>
      </c>
      <c r="J207" s="220">
        <f t="shared" si="245"/>
        <v>952</v>
      </c>
      <c r="K207" s="220">
        <f t="shared" si="210"/>
        <v>2405</v>
      </c>
      <c r="L207" s="220">
        <f t="shared" si="210"/>
        <v>2023</v>
      </c>
      <c r="M207" s="220">
        <f t="shared" si="210"/>
        <v>1968</v>
      </c>
      <c r="N207" s="220">
        <f t="shared" si="210"/>
        <v>2042</v>
      </c>
      <c r="O207" s="220">
        <f t="shared" si="210"/>
        <v>2346</v>
      </c>
      <c r="P207" s="220">
        <f t="shared" si="249"/>
        <v>2000</v>
      </c>
      <c r="Q207" s="220">
        <f t="shared" si="249"/>
        <v>2000</v>
      </c>
      <c r="R207" s="220">
        <f t="shared" si="249"/>
        <v>2000</v>
      </c>
      <c r="S207" s="220">
        <f t="shared" si="249"/>
        <v>2000</v>
      </c>
      <c r="T207" s="220">
        <f t="shared" si="249"/>
        <v>2000</v>
      </c>
      <c r="U207" s="220">
        <f t="shared" si="250"/>
        <v>405</v>
      </c>
      <c r="V207" s="220">
        <f t="shared" si="250"/>
        <v>23</v>
      </c>
      <c r="W207" s="220">
        <f t="shared" si="250"/>
        <v>-32</v>
      </c>
      <c r="X207" s="220">
        <f t="shared" si="250"/>
        <v>42</v>
      </c>
      <c r="Y207" s="220">
        <f t="shared" si="250"/>
        <v>346</v>
      </c>
      <c r="Z207" s="220">
        <v>1</v>
      </c>
      <c r="AA207" s="220">
        <v>8</v>
      </c>
      <c r="AB207" s="220">
        <v>8</v>
      </c>
      <c r="AC207" s="220">
        <v>8</v>
      </c>
      <c r="AD207" s="220">
        <v>1</v>
      </c>
      <c r="AE207" s="220">
        <f t="shared" si="251"/>
        <v>-244</v>
      </c>
      <c r="AF207" s="220">
        <f t="shared" si="251"/>
        <v>-546</v>
      </c>
      <c r="AG207" s="220">
        <f t="shared" si="251"/>
        <v>-581</v>
      </c>
      <c r="AH207" s="220">
        <f t="shared" si="251"/>
        <v>-517</v>
      </c>
      <c r="AI207" s="220">
        <f t="shared" si="251"/>
        <v>-213</v>
      </c>
      <c r="AJ207" s="50">
        <f t="shared" si="252"/>
        <v>1.1680000000000104</v>
      </c>
      <c r="AK207" s="257"/>
      <c r="AL207" s="257">
        <f t="shared" si="253"/>
        <v>1.2</v>
      </c>
      <c r="AM207" s="52"/>
      <c r="AN207" s="88"/>
    </row>
    <row r="208" spans="1:40" s="29" customFormat="1" ht="17.25" customHeight="1">
      <c r="A208" s="48">
        <v>198</v>
      </c>
      <c r="B208" s="49">
        <f t="shared" si="246"/>
        <v>45773</v>
      </c>
      <c r="C208" s="220">
        <f t="shared" si="247"/>
        <v>1049</v>
      </c>
      <c r="D208" s="220">
        <f t="shared" si="224"/>
        <v>2223</v>
      </c>
      <c r="E208" s="220">
        <f t="shared" si="248"/>
        <v>3272</v>
      </c>
      <c r="F208" s="220">
        <f t="shared" si="241"/>
        <v>867</v>
      </c>
      <c r="G208" s="220">
        <f t="shared" si="242"/>
        <v>1257</v>
      </c>
      <c r="H208" s="220">
        <f t="shared" si="243"/>
        <v>1313</v>
      </c>
      <c r="I208" s="220">
        <f t="shared" si="244"/>
        <v>1237</v>
      </c>
      <c r="J208" s="220">
        <f t="shared" si="245"/>
        <v>926</v>
      </c>
      <c r="K208" s="220">
        <f t="shared" si="210"/>
        <v>2405</v>
      </c>
      <c r="L208" s="220">
        <f t="shared" si="210"/>
        <v>2015</v>
      </c>
      <c r="M208" s="220">
        <f t="shared" si="210"/>
        <v>1959</v>
      </c>
      <c r="N208" s="220">
        <f t="shared" si="210"/>
        <v>2035</v>
      </c>
      <c r="O208" s="220">
        <f t="shared" si="210"/>
        <v>2346</v>
      </c>
      <c r="P208" s="220">
        <f t="shared" si="249"/>
        <v>2000</v>
      </c>
      <c r="Q208" s="220">
        <f t="shared" si="249"/>
        <v>2000</v>
      </c>
      <c r="R208" s="220">
        <f t="shared" si="249"/>
        <v>2000</v>
      </c>
      <c r="S208" s="220">
        <f t="shared" si="249"/>
        <v>2000</v>
      </c>
      <c r="T208" s="220">
        <f t="shared" si="249"/>
        <v>2000</v>
      </c>
      <c r="U208" s="220">
        <f t="shared" si="250"/>
        <v>405</v>
      </c>
      <c r="V208" s="220">
        <f t="shared" si="250"/>
        <v>15</v>
      </c>
      <c r="W208" s="220">
        <f t="shared" si="250"/>
        <v>-41</v>
      </c>
      <c r="X208" s="220">
        <f t="shared" si="250"/>
        <v>35</v>
      </c>
      <c r="Y208" s="220">
        <f t="shared" si="250"/>
        <v>346</v>
      </c>
      <c r="Z208" s="220">
        <v>0</v>
      </c>
      <c r="AA208" s="220">
        <v>8</v>
      </c>
      <c r="AB208" s="220">
        <v>9</v>
      </c>
      <c r="AC208" s="220">
        <v>7</v>
      </c>
      <c r="AD208" s="220">
        <v>0</v>
      </c>
      <c r="AE208" s="220">
        <f t="shared" si="251"/>
        <v>-244</v>
      </c>
      <c r="AF208" s="220">
        <f t="shared" si="251"/>
        <v>-554</v>
      </c>
      <c r="AG208" s="220">
        <f t="shared" si="251"/>
        <v>-590</v>
      </c>
      <c r="AH208" s="220">
        <f t="shared" si="251"/>
        <v>-524</v>
      </c>
      <c r="AI208" s="220">
        <f t="shared" si="251"/>
        <v>-213</v>
      </c>
      <c r="AJ208" s="50">
        <f t="shared" si="252"/>
        <v>1.1590000000000105</v>
      </c>
      <c r="AK208" s="257"/>
      <c r="AL208" s="257">
        <f t="shared" si="253"/>
        <v>1.2</v>
      </c>
      <c r="AM208" s="52"/>
      <c r="AN208" s="88"/>
    </row>
    <row r="209" spans="1:41" s="29" customFormat="1" ht="17.25" customHeight="1">
      <c r="A209" s="48">
        <v>199</v>
      </c>
      <c r="B209" s="49">
        <f t="shared" si="246"/>
        <v>45774</v>
      </c>
      <c r="C209" s="220">
        <f t="shared" si="247"/>
        <v>1049</v>
      </c>
      <c r="D209" s="220">
        <f t="shared" si="225"/>
        <v>2238</v>
      </c>
      <c r="E209" s="220">
        <f t="shared" si="248"/>
        <v>3287</v>
      </c>
      <c r="F209" s="220">
        <f t="shared" si="241"/>
        <v>883</v>
      </c>
      <c r="G209" s="220">
        <f t="shared" si="242"/>
        <v>1279</v>
      </c>
      <c r="H209" s="220">
        <f t="shared" si="243"/>
        <v>1336</v>
      </c>
      <c r="I209" s="220">
        <f t="shared" si="244"/>
        <v>1260</v>
      </c>
      <c r="J209" s="220">
        <f t="shared" si="245"/>
        <v>941</v>
      </c>
      <c r="K209" s="220">
        <f t="shared" si="210"/>
        <v>2404</v>
      </c>
      <c r="L209" s="220">
        <f t="shared" si="210"/>
        <v>2008</v>
      </c>
      <c r="M209" s="220">
        <f t="shared" si="210"/>
        <v>1951</v>
      </c>
      <c r="N209" s="220">
        <f t="shared" si="210"/>
        <v>2027</v>
      </c>
      <c r="O209" s="220">
        <f t="shared" si="210"/>
        <v>2346</v>
      </c>
      <c r="P209" s="220">
        <f t="shared" si="249"/>
        <v>2000</v>
      </c>
      <c r="Q209" s="220">
        <f t="shared" si="249"/>
        <v>2000</v>
      </c>
      <c r="R209" s="220">
        <f t="shared" si="249"/>
        <v>2000</v>
      </c>
      <c r="S209" s="220">
        <f t="shared" si="249"/>
        <v>2000</v>
      </c>
      <c r="T209" s="220">
        <f t="shared" si="249"/>
        <v>2000</v>
      </c>
      <c r="U209" s="220">
        <f t="shared" si="250"/>
        <v>404</v>
      </c>
      <c r="V209" s="220">
        <f t="shared" si="250"/>
        <v>8</v>
      </c>
      <c r="W209" s="220">
        <f t="shared" si="250"/>
        <v>-49</v>
      </c>
      <c r="X209" s="220">
        <f t="shared" si="250"/>
        <v>27</v>
      </c>
      <c r="Y209" s="220">
        <f t="shared" si="250"/>
        <v>346</v>
      </c>
      <c r="Z209" s="220">
        <v>1</v>
      </c>
      <c r="AA209" s="220">
        <v>7</v>
      </c>
      <c r="AB209" s="220">
        <v>8</v>
      </c>
      <c r="AC209" s="220">
        <v>8</v>
      </c>
      <c r="AD209" s="220">
        <v>0</v>
      </c>
      <c r="AE209" s="220">
        <f t="shared" si="251"/>
        <v>-245</v>
      </c>
      <c r="AF209" s="220">
        <f t="shared" si="251"/>
        <v>-561</v>
      </c>
      <c r="AG209" s="220">
        <f t="shared" si="251"/>
        <v>-598</v>
      </c>
      <c r="AH209" s="220">
        <f t="shared" si="251"/>
        <v>-532</v>
      </c>
      <c r="AI209" s="220">
        <f t="shared" si="251"/>
        <v>-213</v>
      </c>
      <c r="AJ209" s="50">
        <f t="shared" si="252"/>
        <v>1.1510000000000105</v>
      </c>
      <c r="AK209" s="257"/>
      <c r="AL209" s="257">
        <f t="shared" si="253"/>
        <v>1.2</v>
      </c>
      <c r="AM209" s="52"/>
      <c r="AN209" s="88"/>
    </row>
    <row r="210" spans="1:41" s="29" customFormat="1" ht="17.25" customHeight="1">
      <c r="A210" s="48">
        <v>200</v>
      </c>
      <c r="B210" s="49">
        <f t="shared" si="246"/>
        <v>45775</v>
      </c>
      <c r="C210" s="220">
        <f t="shared" si="247"/>
        <v>1049</v>
      </c>
      <c r="D210" s="220">
        <f t="shared" si="232"/>
        <v>2264</v>
      </c>
      <c r="E210" s="220">
        <f t="shared" si="248"/>
        <v>3313</v>
      </c>
      <c r="F210" s="220">
        <f t="shared" si="241"/>
        <v>910</v>
      </c>
      <c r="G210" s="220">
        <f t="shared" si="242"/>
        <v>1312</v>
      </c>
      <c r="H210" s="220">
        <f t="shared" si="243"/>
        <v>1371</v>
      </c>
      <c r="I210" s="220">
        <f t="shared" si="244"/>
        <v>1293</v>
      </c>
      <c r="J210" s="220">
        <f t="shared" si="245"/>
        <v>968</v>
      </c>
      <c r="K210" s="220">
        <f t="shared" si="210"/>
        <v>2403</v>
      </c>
      <c r="L210" s="220">
        <f t="shared" si="210"/>
        <v>2001</v>
      </c>
      <c r="M210" s="220">
        <f t="shared" si="210"/>
        <v>1942</v>
      </c>
      <c r="N210" s="220">
        <f t="shared" si="210"/>
        <v>2020</v>
      </c>
      <c r="O210" s="220">
        <f t="shared" si="210"/>
        <v>2345</v>
      </c>
      <c r="P210" s="220">
        <f t="shared" si="249"/>
        <v>2000</v>
      </c>
      <c r="Q210" s="220">
        <f t="shared" si="249"/>
        <v>2000</v>
      </c>
      <c r="R210" s="220">
        <f t="shared" si="249"/>
        <v>2000</v>
      </c>
      <c r="S210" s="220">
        <f t="shared" si="249"/>
        <v>2000</v>
      </c>
      <c r="T210" s="220">
        <f t="shared" si="249"/>
        <v>2000</v>
      </c>
      <c r="U210" s="220">
        <f t="shared" si="250"/>
        <v>403</v>
      </c>
      <c r="V210" s="220">
        <f t="shared" si="250"/>
        <v>1</v>
      </c>
      <c r="W210" s="220">
        <f t="shared" si="250"/>
        <v>-58</v>
      </c>
      <c r="X210" s="220">
        <f t="shared" si="250"/>
        <v>20</v>
      </c>
      <c r="Y210" s="220">
        <f t="shared" si="250"/>
        <v>345</v>
      </c>
      <c r="Z210" s="220">
        <v>1</v>
      </c>
      <c r="AA210" s="220">
        <v>7</v>
      </c>
      <c r="AB210" s="220">
        <v>9</v>
      </c>
      <c r="AC210" s="220">
        <v>7</v>
      </c>
      <c r="AD210" s="220">
        <v>1</v>
      </c>
      <c r="AE210" s="220">
        <f t="shared" si="251"/>
        <v>-246</v>
      </c>
      <c r="AF210" s="220">
        <f t="shared" si="251"/>
        <v>-568</v>
      </c>
      <c r="AG210" s="220">
        <f t="shared" si="251"/>
        <v>-607</v>
      </c>
      <c r="AH210" s="220">
        <f t="shared" si="251"/>
        <v>-539</v>
      </c>
      <c r="AI210" s="220">
        <f t="shared" si="251"/>
        <v>-214</v>
      </c>
      <c r="AJ210" s="50">
        <f t="shared" si="252"/>
        <v>1.1420000000000106</v>
      </c>
      <c r="AK210" s="257"/>
      <c r="AL210" s="257">
        <f t="shared" si="253"/>
        <v>1.2</v>
      </c>
      <c r="AM210" s="52"/>
      <c r="AN210" s="88"/>
    </row>
    <row r="211" spans="1:41" s="29" customFormat="1" ht="17.25" customHeight="1">
      <c r="A211" s="48">
        <v>201</v>
      </c>
      <c r="B211" s="49">
        <f t="shared" si="246"/>
        <v>45776</v>
      </c>
      <c r="C211" s="220">
        <f t="shared" si="247"/>
        <v>1049</v>
      </c>
      <c r="D211" s="220">
        <f t="shared" si="233"/>
        <v>2296</v>
      </c>
      <c r="E211" s="220">
        <f t="shared" si="248"/>
        <v>3345</v>
      </c>
      <c r="F211" s="220">
        <f t="shared" si="241"/>
        <v>942</v>
      </c>
      <c r="G211" s="220">
        <f t="shared" si="242"/>
        <v>1351</v>
      </c>
      <c r="H211" s="220">
        <f t="shared" si="243"/>
        <v>1412</v>
      </c>
      <c r="I211" s="220">
        <f t="shared" si="244"/>
        <v>1333</v>
      </c>
      <c r="J211" s="220">
        <f t="shared" si="245"/>
        <v>1000</v>
      </c>
      <c r="K211" s="220">
        <f t="shared" si="210"/>
        <v>2403</v>
      </c>
      <c r="L211" s="220">
        <f t="shared" si="210"/>
        <v>1994</v>
      </c>
      <c r="M211" s="220">
        <f t="shared" si="210"/>
        <v>1933</v>
      </c>
      <c r="N211" s="220">
        <f t="shared" si="210"/>
        <v>2012</v>
      </c>
      <c r="O211" s="220">
        <f t="shared" si="210"/>
        <v>2345</v>
      </c>
      <c r="P211" s="220">
        <f t="shared" si="249"/>
        <v>2000</v>
      </c>
      <c r="Q211" s="220">
        <f t="shared" si="249"/>
        <v>2000</v>
      </c>
      <c r="R211" s="220">
        <f t="shared" si="249"/>
        <v>2000</v>
      </c>
      <c r="S211" s="220">
        <f t="shared" si="249"/>
        <v>2000</v>
      </c>
      <c r="T211" s="220">
        <f t="shared" si="249"/>
        <v>2000</v>
      </c>
      <c r="U211" s="220">
        <f t="shared" si="250"/>
        <v>403</v>
      </c>
      <c r="V211" s="220">
        <f t="shared" si="250"/>
        <v>-6</v>
      </c>
      <c r="W211" s="220">
        <f t="shared" si="250"/>
        <v>-67</v>
      </c>
      <c r="X211" s="220">
        <f t="shared" si="250"/>
        <v>12</v>
      </c>
      <c r="Y211" s="220">
        <f t="shared" si="250"/>
        <v>345</v>
      </c>
      <c r="Z211" s="220">
        <v>0</v>
      </c>
      <c r="AA211" s="220">
        <v>7</v>
      </c>
      <c r="AB211" s="220">
        <v>9</v>
      </c>
      <c r="AC211" s="220">
        <v>8</v>
      </c>
      <c r="AD211" s="220">
        <v>0</v>
      </c>
      <c r="AE211" s="220">
        <f t="shared" si="251"/>
        <v>-246</v>
      </c>
      <c r="AF211" s="220">
        <f t="shared" si="251"/>
        <v>-575</v>
      </c>
      <c r="AG211" s="220">
        <f t="shared" si="251"/>
        <v>-616</v>
      </c>
      <c r="AH211" s="220">
        <f t="shared" si="251"/>
        <v>-547</v>
      </c>
      <c r="AI211" s="220">
        <f t="shared" si="251"/>
        <v>-214</v>
      </c>
      <c r="AJ211" s="50">
        <f t="shared" si="252"/>
        <v>1.1330000000000107</v>
      </c>
      <c r="AK211" s="257"/>
      <c r="AL211" s="257">
        <f t="shared" si="253"/>
        <v>1.2</v>
      </c>
      <c r="AM211" s="52"/>
      <c r="AN211" s="88"/>
    </row>
    <row r="212" spans="1:41" s="68" customFormat="1" ht="17.25" customHeight="1">
      <c r="A212" s="105">
        <v>202</v>
      </c>
      <c r="B212" s="104">
        <f t="shared" si="246"/>
        <v>45777</v>
      </c>
      <c r="C212" s="192">
        <f t="shared" si="247"/>
        <v>1049</v>
      </c>
      <c r="D212" s="192">
        <f t="shared" si="234"/>
        <v>2278</v>
      </c>
      <c r="E212" s="192">
        <f t="shared" si="248"/>
        <v>3327</v>
      </c>
      <c r="F212" s="192">
        <f t="shared" si="241"/>
        <v>932</v>
      </c>
      <c r="G212" s="192">
        <f t="shared" si="242"/>
        <v>1339</v>
      </c>
      <c r="H212" s="192">
        <f t="shared" si="243"/>
        <v>1402</v>
      </c>
      <c r="I212" s="192">
        <f t="shared" si="244"/>
        <v>1323</v>
      </c>
      <c r="J212" s="192">
        <f t="shared" si="245"/>
        <v>990</v>
      </c>
      <c r="K212" s="192">
        <f t="shared" si="210"/>
        <v>2395</v>
      </c>
      <c r="L212" s="192">
        <f t="shared" si="210"/>
        <v>1988</v>
      </c>
      <c r="M212" s="192">
        <f t="shared" si="210"/>
        <v>1925</v>
      </c>
      <c r="N212" s="192">
        <f t="shared" si="210"/>
        <v>2004</v>
      </c>
      <c r="O212" s="192">
        <f t="shared" si="210"/>
        <v>2337</v>
      </c>
      <c r="P212" s="192">
        <f t="shared" si="249"/>
        <v>2000</v>
      </c>
      <c r="Q212" s="192">
        <f t="shared" si="249"/>
        <v>2000</v>
      </c>
      <c r="R212" s="192">
        <f t="shared" si="249"/>
        <v>2000</v>
      </c>
      <c r="S212" s="192">
        <f t="shared" si="249"/>
        <v>2000</v>
      </c>
      <c r="T212" s="192">
        <f t="shared" si="249"/>
        <v>2000</v>
      </c>
      <c r="U212" s="192">
        <f t="shared" si="250"/>
        <v>395</v>
      </c>
      <c r="V212" s="192">
        <f t="shared" si="250"/>
        <v>-12</v>
      </c>
      <c r="W212" s="192">
        <f t="shared" si="250"/>
        <v>-75</v>
      </c>
      <c r="X212" s="192">
        <f t="shared" si="250"/>
        <v>4</v>
      </c>
      <c r="Y212" s="192">
        <f t="shared" si="250"/>
        <v>337</v>
      </c>
      <c r="Z212" s="192">
        <v>8</v>
      </c>
      <c r="AA212" s="192">
        <v>6</v>
      </c>
      <c r="AB212" s="192">
        <v>8</v>
      </c>
      <c r="AC212" s="192">
        <v>8</v>
      </c>
      <c r="AD212" s="192">
        <v>8</v>
      </c>
      <c r="AE212" s="192">
        <f t="shared" si="251"/>
        <v>-254</v>
      </c>
      <c r="AF212" s="192">
        <f t="shared" si="251"/>
        <v>-581</v>
      </c>
      <c r="AG212" s="192">
        <f t="shared" si="251"/>
        <v>-624</v>
      </c>
      <c r="AH212" s="192">
        <f t="shared" si="251"/>
        <v>-555</v>
      </c>
      <c r="AI212" s="192">
        <f t="shared" si="251"/>
        <v>-222</v>
      </c>
      <c r="AJ212" s="107">
        <f t="shared" si="252"/>
        <v>1.1250000000000107</v>
      </c>
      <c r="AK212" s="203"/>
      <c r="AL212" s="203">
        <f t="shared" si="253"/>
        <v>1.2</v>
      </c>
      <c r="AM212" s="262"/>
      <c r="AN212" s="263"/>
      <c r="AO212" s="68" t="s">
        <v>152</v>
      </c>
    </row>
    <row r="213" spans="1:41" s="29" customFormat="1" ht="17.25" customHeight="1">
      <c r="A213" s="48">
        <v>203</v>
      </c>
      <c r="B213" s="49">
        <f t="shared" si="246"/>
        <v>45778</v>
      </c>
      <c r="C213" s="220">
        <f t="shared" si="247"/>
        <v>1049</v>
      </c>
      <c r="D213" s="220">
        <f t="shared" si="235"/>
        <v>2252</v>
      </c>
      <c r="E213" s="220">
        <f t="shared" si="248"/>
        <v>3301</v>
      </c>
      <c r="F213" s="220">
        <f t="shared" si="241"/>
        <v>914</v>
      </c>
      <c r="G213" s="220">
        <f t="shared" si="242"/>
        <v>1319</v>
      </c>
      <c r="H213" s="220">
        <f t="shared" si="243"/>
        <v>1383</v>
      </c>
      <c r="I213" s="220">
        <f t="shared" si="244"/>
        <v>1304</v>
      </c>
      <c r="J213" s="220">
        <f t="shared" si="245"/>
        <v>972</v>
      </c>
      <c r="K213" s="220">
        <f t="shared" si="210"/>
        <v>2387</v>
      </c>
      <c r="L213" s="220">
        <f t="shared" si="210"/>
        <v>1982</v>
      </c>
      <c r="M213" s="220">
        <f t="shared" si="210"/>
        <v>1918</v>
      </c>
      <c r="N213" s="220">
        <f t="shared" si="210"/>
        <v>1997</v>
      </c>
      <c r="O213" s="220">
        <f t="shared" si="210"/>
        <v>2329</v>
      </c>
      <c r="P213" s="220">
        <f t="shared" si="249"/>
        <v>2000</v>
      </c>
      <c r="Q213" s="220">
        <f t="shared" si="249"/>
        <v>2000</v>
      </c>
      <c r="R213" s="220">
        <f t="shared" si="249"/>
        <v>2000</v>
      </c>
      <c r="S213" s="220">
        <f t="shared" si="249"/>
        <v>2000</v>
      </c>
      <c r="T213" s="220">
        <f t="shared" si="249"/>
        <v>2000</v>
      </c>
      <c r="U213" s="220">
        <f t="shared" si="250"/>
        <v>387</v>
      </c>
      <c r="V213" s="220">
        <f t="shared" si="250"/>
        <v>-18</v>
      </c>
      <c r="W213" s="220">
        <f t="shared" si="250"/>
        <v>-82</v>
      </c>
      <c r="X213" s="220">
        <f t="shared" si="250"/>
        <v>-3</v>
      </c>
      <c r="Y213" s="220">
        <f t="shared" si="250"/>
        <v>329</v>
      </c>
      <c r="Z213" s="220">
        <v>8</v>
      </c>
      <c r="AA213" s="220">
        <v>6</v>
      </c>
      <c r="AB213" s="220">
        <v>7</v>
      </c>
      <c r="AC213" s="220">
        <v>7</v>
      </c>
      <c r="AD213" s="220">
        <v>8</v>
      </c>
      <c r="AE213" s="220">
        <f t="shared" si="251"/>
        <v>-262</v>
      </c>
      <c r="AF213" s="220">
        <f t="shared" si="251"/>
        <v>-587</v>
      </c>
      <c r="AG213" s="220">
        <f t="shared" si="251"/>
        <v>-631</v>
      </c>
      <c r="AH213" s="220">
        <f t="shared" si="251"/>
        <v>-562</v>
      </c>
      <c r="AI213" s="220">
        <f t="shared" si="251"/>
        <v>-230</v>
      </c>
      <c r="AJ213" s="50">
        <f t="shared" si="252"/>
        <v>1.1180000000000108</v>
      </c>
      <c r="AK213" s="257"/>
      <c r="AL213" s="257">
        <f t="shared" si="253"/>
        <v>1.2</v>
      </c>
      <c r="AM213" s="52"/>
      <c r="AN213" s="88"/>
    </row>
    <row r="214" spans="1:41" s="29" customFormat="1" ht="17.25" customHeight="1">
      <c r="A214" s="48">
        <v>204</v>
      </c>
      <c r="B214" s="49">
        <f t="shared" si="246"/>
        <v>45779</v>
      </c>
      <c r="C214" s="220">
        <f t="shared" si="247"/>
        <v>1049</v>
      </c>
      <c r="D214" s="220">
        <f t="shared" si="239"/>
        <v>2267</v>
      </c>
      <c r="E214" s="220">
        <f t="shared" si="248"/>
        <v>3316</v>
      </c>
      <c r="F214" s="220">
        <f t="shared" si="241"/>
        <v>937</v>
      </c>
      <c r="G214" s="220">
        <f t="shared" si="242"/>
        <v>1340</v>
      </c>
      <c r="H214" s="220">
        <f t="shared" si="243"/>
        <v>1405</v>
      </c>
      <c r="I214" s="220">
        <f t="shared" si="244"/>
        <v>1325</v>
      </c>
      <c r="J214" s="220">
        <f t="shared" si="245"/>
        <v>995</v>
      </c>
      <c r="K214" s="220">
        <f t="shared" si="210"/>
        <v>2379</v>
      </c>
      <c r="L214" s="220">
        <f t="shared" si="210"/>
        <v>1976</v>
      </c>
      <c r="M214" s="220">
        <f t="shared" si="210"/>
        <v>1911</v>
      </c>
      <c r="N214" s="220">
        <f t="shared" si="210"/>
        <v>1991</v>
      </c>
      <c r="O214" s="220">
        <f t="shared" si="210"/>
        <v>2321</v>
      </c>
      <c r="P214" s="220">
        <f t="shared" si="249"/>
        <v>2000</v>
      </c>
      <c r="Q214" s="220">
        <f t="shared" si="249"/>
        <v>2000</v>
      </c>
      <c r="R214" s="220">
        <f t="shared" si="249"/>
        <v>2000</v>
      </c>
      <c r="S214" s="220">
        <f t="shared" si="249"/>
        <v>2000</v>
      </c>
      <c r="T214" s="220">
        <f t="shared" si="249"/>
        <v>2000</v>
      </c>
      <c r="U214" s="220">
        <f t="shared" si="250"/>
        <v>379</v>
      </c>
      <c r="V214" s="220">
        <f t="shared" si="250"/>
        <v>-24</v>
      </c>
      <c r="W214" s="220">
        <f t="shared" si="250"/>
        <v>-89</v>
      </c>
      <c r="X214" s="220">
        <f t="shared" si="250"/>
        <v>-9</v>
      </c>
      <c r="Y214" s="220">
        <f t="shared" si="250"/>
        <v>321</v>
      </c>
      <c r="Z214" s="220">
        <v>8</v>
      </c>
      <c r="AA214" s="220">
        <v>6</v>
      </c>
      <c r="AB214" s="220">
        <v>7</v>
      </c>
      <c r="AC214" s="220">
        <v>6</v>
      </c>
      <c r="AD214" s="220">
        <v>8</v>
      </c>
      <c r="AE214" s="220">
        <f t="shared" si="251"/>
        <v>-270</v>
      </c>
      <c r="AF214" s="220">
        <f t="shared" si="251"/>
        <v>-593</v>
      </c>
      <c r="AG214" s="220">
        <f t="shared" si="251"/>
        <v>-638</v>
      </c>
      <c r="AH214" s="220">
        <f t="shared" si="251"/>
        <v>-568</v>
      </c>
      <c r="AI214" s="220">
        <f t="shared" si="251"/>
        <v>-238</v>
      </c>
      <c r="AJ214" s="50">
        <f t="shared" si="252"/>
        <v>1.1110000000000109</v>
      </c>
      <c r="AK214" s="257"/>
      <c r="AL214" s="257">
        <f t="shared" si="253"/>
        <v>1.2</v>
      </c>
      <c r="AM214" s="52"/>
      <c r="AN214" s="88"/>
    </row>
    <row r="215" spans="1:41" s="29" customFormat="1" ht="17.25" customHeight="1">
      <c r="A215" s="48">
        <v>205</v>
      </c>
      <c r="B215" s="49">
        <f t="shared" si="246"/>
        <v>45780</v>
      </c>
      <c r="C215" s="220">
        <f t="shared" si="247"/>
        <v>1049</v>
      </c>
      <c r="D215" s="220">
        <f t="shared" si="240"/>
        <v>2293</v>
      </c>
      <c r="E215" s="220">
        <f t="shared" si="248"/>
        <v>3342</v>
      </c>
      <c r="F215" s="220">
        <f t="shared" si="241"/>
        <v>970</v>
      </c>
      <c r="G215" s="220">
        <f t="shared" si="242"/>
        <v>1370</v>
      </c>
      <c r="H215" s="220">
        <f t="shared" si="243"/>
        <v>1439</v>
      </c>
      <c r="I215" s="220">
        <f t="shared" si="244"/>
        <v>1358</v>
      </c>
      <c r="J215" s="220">
        <f t="shared" si="245"/>
        <v>1028</v>
      </c>
      <c r="K215" s="220">
        <f t="shared" si="210"/>
        <v>2372</v>
      </c>
      <c r="L215" s="220">
        <f t="shared" si="210"/>
        <v>1972</v>
      </c>
      <c r="M215" s="220">
        <f t="shared" si="210"/>
        <v>1903</v>
      </c>
      <c r="N215" s="220">
        <f t="shared" si="210"/>
        <v>1984</v>
      </c>
      <c r="O215" s="220">
        <f t="shared" si="210"/>
        <v>2314</v>
      </c>
      <c r="P215" s="220">
        <f t="shared" si="249"/>
        <v>2000</v>
      </c>
      <c r="Q215" s="220">
        <f t="shared" si="249"/>
        <v>2000</v>
      </c>
      <c r="R215" s="220">
        <f t="shared" si="249"/>
        <v>2000</v>
      </c>
      <c r="S215" s="220">
        <f t="shared" si="249"/>
        <v>2000</v>
      </c>
      <c r="T215" s="220">
        <f t="shared" si="249"/>
        <v>2000</v>
      </c>
      <c r="U215" s="220">
        <f t="shared" si="250"/>
        <v>372</v>
      </c>
      <c r="V215" s="220">
        <f t="shared" si="250"/>
        <v>-28</v>
      </c>
      <c r="W215" s="220">
        <f t="shared" si="250"/>
        <v>-97</v>
      </c>
      <c r="X215" s="220">
        <f t="shared" si="250"/>
        <v>-16</v>
      </c>
      <c r="Y215" s="220">
        <f t="shared" si="250"/>
        <v>314</v>
      </c>
      <c r="Z215" s="220">
        <v>7</v>
      </c>
      <c r="AA215" s="220">
        <v>4</v>
      </c>
      <c r="AB215" s="220">
        <v>8</v>
      </c>
      <c r="AC215" s="220">
        <v>7</v>
      </c>
      <c r="AD215" s="220">
        <v>7</v>
      </c>
      <c r="AE215" s="220">
        <f t="shared" si="251"/>
        <v>-277</v>
      </c>
      <c r="AF215" s="220">
        <f t="shared" si="251"/>
        <v>-597</v>
      </c>
      <c r="AG215" s="220">
        <f t="shared" si="251"/>
        <v>-646</v>
      </c>
      <c r="AH215" s="220">
        <f t="shared" si="251"/>
        <v>-575</v>
      </c>
      <c r="AI215" s="220">
        <f t="shared" si="251"/>
        <v>-245</v>
      </c>
      <c r="AJ215" s="50">
        <f t="shared" si="252"/>
        <v>1.1030000000000109</v>
      </c>
      <c r="AK215" s="257"/>
      <c r="AL215" s="257">
        <f t="shared" si="253"/>
        <v>1.2</v>
      </c>
      <c r="AM215" s="52"/>
      <c r="AN215" s="88"/>
    </row>
    <row r="216" spans="1:41" s="29" customFormat="1" ht="17.25" customHeight="1">
      <c r="A216" s="48">
        <v>206</v>
      </c>
      <c r="B216" s="49">
        <f t="shared" si="246"/>
        <v>45781</v>
      </c>
      <c r="C216" s="220">
        <f t="shared" si="247"/>
        <v>1049</v>
      </c>
      <c r="D216" s="220">
        <f t="shared" si="224"/>
        <v>2267</v>
      </c>
      <c r="E216" s="220">
        <f t="shared" si="248"/>
        <v>3316</v>
      </c>
      <c r="F216" s="220">
        <f t="shared" si="241"/>
        <v>951</v>
      </c>
      <c r="G216" s="220">
        <f t="shared" si="242"/>
        <v>1349</v>
      </c>
      <c r="H216" s="220">
        <f t="shared" si="243"/>
        <v>1420</v>
      </c>
      <c r="I216" s="220">
        <f t="shared" si="244"/>
        <v>1339</v>
      </c>
      <c r="J216" s="220">
        <f t="shared" si="245"/>
        <v>1009</v>
      </c>
      <c r="K216" s="220">
        <f t="shared" ref="K216:O224" si="254">P216+U216</f>
        <v>2365</v>
      </c>
      <c r="L216" s="220">
        <f t="shared" si="254"/>
        <v>1967</v>
      </c>
      <c r="M216" s="220">
        <f t="shared" si="254"/>
        <v>1896</v>
      </c>
      <c r="N216" s="220">
        <f t="shared" si="254"/>
        <v>1977</v>
      </c>
      <c r="O216" s="220">
        <f t="shared" si="254"/>
        <v>2307</v>
      </c>
      <c r="P216" s="220">
        <f t="shared" si="249"/>
        <v>2000</v>
      </c>
      <c r="Q216" s="220">
        <f t="shared" si="249"/>
        <v>2000</v>
      </c>
      <c r="R216" s="220">
        <f t="shared" si="249"/>
        <v>2000</v>
      </c>
      <c r="S216" s="220">
        <f t="shared" si="249"/>
        <v>2000</v>
      </c>
      <c r="T216" s="220">
        <f t="shared" si="249"/>
        <v>2000</v>
      </c>
      <c r="U216" s="220">
        <f t="shared" si="250"/>
        <v>365</v>
      </c>
      <c r="V216" s="220">
        <f t="shared" si="250"/>
        <v>-33</v>
      </c>
      <c r="W216" s="220">
        <f t="shared" si="250"/>
        <v>-104</v>
      </c>
      <c r="X216" s="220">
        <f t="shared" si="250"/>
        <v>-23</v>
      </c>
      <c r="Y216" s="220">
        <f t="shared" si="250"/>
        <v>307</v>
      </c>
      <c r="Z216" s="220">
        <v>7</v>
      </c>
      <c r="AA216" s="220">
        <v>5</v>
      </c>
      <c r="AB216" s="220">
        <v>7</v>
      </c>
      <c r="AC216" s="220">
        <v>7</v>
      </c>
      <c r="AD216" s="220">
        <v>7</v>
      </c>
      <c r="AE216" s="220">
        <f t="shared" si="251"/>
        <v>-284</v>
      </c>
      <c r="AF216" s="220">
        <f t="shared" si="251"/>
        <v>-602</v>
      </c>
      <c r="AG216" s="220">
        <f t="shared" si="251"/>
        <v>-653</v>
      </c>
      <c r="AH216" s="220">
        <f t="shared" si="251"/>
        <v>-582</v>
      </c>
      <c r="AI216" s="220">
        <f t="shared" si="251"/>
        <v>-252</v>
      </c>
      <c r="AJ216" s="50">
        <f t="shared" si="252"/>
        <v>1.096000000000011</v>
      </c>
      <c r="AK216" s="257"/>
      <c r="AL216" s="257">
        <f t="shared" si="253"/>
        <v>1.2</v>
      </c>
      <c r="AM216" s="52"/>
      <c r="AN216" s="88"/>
    </row>
    <row r="217" spans="1:41" s="29" customFormat="1" ht="17.25" customHeight="1">
      <c r="A217" s="48">
        <v>207</v>
      </c>
      <c r="B217" s="49">
        <f t="shared" si="246"/>
        <v>45782</v>
      </c>
      <c r="C217" s="220">
        <f t="shared" si="247"/>
        <v>1049</v>
      </c>
      <c r="D217" s="220">
        <f t="shared" si="225"/>
        <v>2282</v>
      </c>
      <c r="E217" s="220">
        <f t="shared" si="248"/>
        <v>3331</v>
      </c>
      <c r="F217" s="220">
        <f t="shared" si="241"/>
        <v>973</v>
      </c>
      <c r="G217" s="220">
        <f t="shared" si="242"/>
        <v>1368</v>
      </c>
      <c r="H217" s="220">
        <f t="shared" si="243"/>
        <v>1442</v>
      </c>
      <c r="I217" s="220">
        <f t="shared" si="244"/>
        <v>1362</v>
      </c>
      <c r="J217" s="220">
        <f t="shared" si="245"/>
        <v>1031</v>
      </c>
      <c r="K217" s="220">
        <f t="shared" si="254"/>
        <v>2358</v>
      </c>
      <c r="L217" s="220">
        <f t="shared" si="254"/>
        <v>1963</v>
      </c>
      <c r="M217" s="220">
        <f t="shared" si="254"/>
        <v>1889</v>
      </c>
      <c r="N217" s="220">
        <f t="shared" si="254"/>
        <v>1969</v>
      </c>
      <c r="O217" s="220">
        <f t="shared" si="254"/>
        <v>2300</v>
      </c>
      <c r="P217" s="220">
        <f t="shared" si="249"/>
        <v>2000</v>
      </c>
      <c r="Q217" s="220">
        <f t="shared" si="249"/>
        <v>2000</v>
      </c>
      <c r="R217" s="220">
        <f t="shared" si="249"/>
        <v>2000</v>
      </c>
      <c r="S217" s="220">
        <f t="shared" si="249"/>
        <v>2000</v>
      </c>
      <c r="T217" s="220">
        <f t="shared" si="249"/>
        <v>2000</v>
      </c>
      <c r="U217" s="220">
        <f t="shared" si="250"/>
        <v>358</v>
      </c>
      <c r="V217" s="220">
        <f t="shared" si="250"/>
        <v>-37</v>
      </c>
      <c r="W217" s="220">
        <f t="shared" si="250"/>
        <v>-111</v>
      </c>
      <c r="X217" s="220">
        <f t="shared" si="250"/>
        <v>-31</v>
      </c>
      <c r="Y217" s="220">
        <f t="shared" si="250"/>
        <v>300</v>
      </c>
      <c r="Z217" s="220">
        <v>7</v>
      </c>
      <c r="AA217" s="220">
        <v>4</v>
      </c>
      <c r="AB217" s="220">
        <v>7</v>
      </c>
      <c r="AC217" s="220">
        <v>8</v>
      </c>
      <c r="AD217" s="220">
        <v>7</v>
      </c>
      <c r="AE217" s="220">
        <f t="shared" si="251"/>
        <v>-291</v>
      </c>
      <c r="AF217" s="220">
        <f t="shared" si="251"/>
        <v>-606</v>
      </c>
      <c r="AG217" s="220">
        <f t="shared" si="251"/>
        <v>-660</v>
      </c>
      <c r="AH217" s="220">
        <f t="shared" si="251"/>
        <v>-590</v>
      </c>
      <c r="AI217" s="220">
        <f t="shared" si="251"/>
        <v>-259</v>
      </c>
      <c r="AJ217" s="50">
        <f t="shared" si="252"/>
        <v>1.0890000000000111</v>
      </c>
      <c r="AK217" s="257"/>
      <c r="AL217" s="257">
        <f t="shared" si="253"/>
        <v>1.2</v>
      </c>
      <c r="AM217" s="52"/>
      <c r="AN217" s="88"/>
    </row>
    <row r="218" spans="1:41" s="29" customFormat="1" ht="17.25" customHeight="1">
      <c r="A218" s="48">
        <v>208</v>
      </c>
      <c r="B218" s="49">
        <f t="shared" si="246"/>
        <v>45783</v>
      </c>
      <c r="C218" s="220">
        <f t="shared" si="247"/>
        <v>1049</v>
      </c>
      <c r="D218" s="220">
        <f t="shared" si="232"/>
        <v>2308</v>
      </c>
      <c r="E218" s="220">
        <f t="shared" si="248"/>
        <v>3357</v>
      </c>
      <c r="F218" s="220">
        <f t="shared" si="241"/>
        <v>1005</v>
      </c>
      <c r="G218" s="220">
        <f t="shared" si="242"/>
        <v>1400</v>
      </c>
      <c r="H218" s="220">
        <f t="shared" si="243"/>
        <v>1475</v>
      </c>
      <c r="I218" s="220">
        <f t="shared" si="244"/>
        <v>1396</v>
      </c>
      <c r="J218" s="220">
        <f t="shared" si="245"/>
        <v>1063</v>
      </c>
      <c r="K218" s="220">
        <f t="shared" si="254"/>
        <v>2352</v>
      </c>
      <c r="L218" s="220">
        <f t="shared" si="254"/>
        <v>1957</v>
      </c>
      <c r="M218" s="220">
        <f t="shared" si="254"/>
        <v>1882</v>
      </c>
      <c r="N218" s="220">
        <f t="shared" si="254"/>
        <v>1961</v>
      </c>
      <c r="O218" s="220">
        <f t="shared" si="254"/>
        <v>2294</v>
      </c>
      <c r="P218" s="220">
        <f t="shared" si="249"/>
        <v>2000</v>
      </c>
      <c r="Q218" s="220">
        <f t="shared" si="249"/>
        <v>2000</v>
      </c>
      <c r="R218" s="220">
        <f t="shared" si="249"/>
        <v>2000</v>
      </c>
      <c r="S218" s="220">
        <f t="shared" si="249"/>
        <v>2000</v>
      </c>
      <c r="T218" s="220">
        <f t="shared" si="249"/>
        <v>2000</v>
      </c>
      <c r="U218" s="220">
        <f t="shared" si="250"/>
        <v>352</v>
      </c>
      <c r="V218" s="220">
        <f t="shared" si="250"/>
        <v>-43</v>
      </c>
      <c r="W218" s="220">
        <f t="shared" si="250"/>
        <v>-118</v>
      </c>
      <c r="X218" s="220">
        <f t="shared" si="250"/>
        <v>-39</v>
      </c>
      <c r="Y218" s="220">
        <f t="shared" si="250"/>
        <v>294</v>
      </c>
      <c r="Z218" s="220">
        <v>6</v>
      </c>
      <c r="AA218" s="220">
        <v>6</v>
      </c>
      <c r="AB218" s="220">
        <v>7</v>
      </c>
      <c r="AC218" s="220">
        <v>8</v>
      </c>
      <c r="AD218" s="220">
        <v>6</v>
      </c>
      <c r="AE218" s="220">
        <f t="shared" si="251"/>
        <v>-297</v>
      </c>
      <c r="AF218" s="220">
        <f t="shared" si="251"/>
        <v>-612</v>
      </c>
      <c r="AG218" s="220">
        <f t="shared" si="251"/>
        <v>-667</v>
      </c>
      <c r="AH218" s="220">
        <f t="shared" si="251"/>
        <v>-598</v>
      </c>
      <c r="AI218" s="220">
        <f t="shared" si="251"/>
        <v>-265</v>
      </c>
      <c r="AJ218" s="50">
        <f t="shared" si="252"/>
        <v>1.0820000000000112</v>
      </c>
      <c r="AK218" s="257"/>
      <c r="AL218" s="257">
        <f t="shared" si="253"/>
        <v>1.2</v>
      </c>
      <c r="AM218" s="52"/>
      <c r="AN218" s="88"/>
    </row>
    <row r="219" spans="1:41" s="29" customFormat="1" ht="17.25" customHeight="1">
      <c r="A219" s="48">
        <v>209</v>
      </c>
      <c r="B219" s="49">
        <f t="shared" si="246"/>
        <v>45784</v>
      </c>
      <c r="C219" s="220">
        <f t="shared" si="247"/>
        <v>1049</v>
      </c>
      <c r="D219" s="220">
        <f t="shared" si="233"/>
        <v>2340</v>
      </c>
      <c r="E219" s="220">
        <f t="shared" si="248"/>
        <v>3389</v>
      </c>
      <c r="F219" s="220">
        <f t="shared" si="241"/>
        <v>1043</v>
      </c>
      <c r="G219" s="220">
        <f t="shared" si="242"/>
        <v>1438</v>
      </c>
      <c r="H219" s="220">
        <f t="shared" si="243"/>
        <v>1515</v>
      </c>
      <c r="I219" s="220">
        <f t="shared" si="244"/>
        <v>1436</v>
      </c>
      <c r="J219" s="220">
        <f t="shared" si="245"/>
        <v>1101</v>
      </c>
      <c r="K219" s="220">
        <f t="shared" si="254"/>
        <v>2346</v>
      </c>
      <c r="L219" s="220">
        <f t="shared" si="254"/>
        <v>1951</v>
      </c>
      <c r="M219" s="220">
        <f t="shared" si="254"/>
        <v>1874</v>
      </c>
      <c r="N219" s="220">
        <f t="shared" si="254"/>
        <v>1953</v>
      </c>
      <c r="O219" s="220">
        <f t="shared" si="254"/>
        <v>2288</v>
      </c>
      <c r="P219" s="220">
        <f t="shared" si="249"/>
        <v>2000</v>
      </c>
      <c r="Q219" s="220">
        <f t="shared" si="249"/>
        <v>2000</v>
      </c>
      <c r="R219" s="220">
        <f t="shared" si="249"/>
        <v>2000</v>
      </c>
      <c r="S219" s="220">
        <f t="shared" si="249"/>
        <v>2000</v>
      </c>
      <c r="T219" s="220">
        <f t="shared" si="249"/>
        <v>2000</v>
      </c>
      <c r="U219" s="220">
        <f t="shared" si="250"/>
        <v>346</v>
      </c>
      <c r="V219" s="220">
        <f t="shared" si="250"/>
        <v>-49</v>
      </c>
      <c r="W219" s="220">
        <f t="shared" si="250"/>
        <v>-126</v>
      </c>
      <c r="X219" s="220">
        <f t="shared" si="250"/>
        <v>-47</v>
      </c>
      <c r="Y219" s="220">
        <f t="shared" si="250"/>
        <v>288</v>
      </c>
      <c r="Z219" s="220">
        <v>6</v>
      </c>
      <c r="AA219" s="220">
        <v>6</v>
      </c>
      <c r="AB219" s="220">
        <v>8</v>
      </c>
      <c r="AC219" s="220">
        <v>8</v>
      </c>
      <c r="AD219" s="220">
        <v>6</v>
      </c>
      <c r="AE219" s="220">
        <f t="shared" si="251"/>
        <v>-303</v>
      </c>
      <c r="AF219" s="220">
        <f t="shared" si="251"/>
        <v>-618</v>
      </c>
      <c r="AG219" s="220">
        <f t="shared" si="251"/>
        <v>-675</v>
      </c>
      <c r="AH219" s="220">
        <f t="shared" si="251"/>
        <v>-606</v>
      </c>
      <c r="AI219" s="220">
        <f t="shared" si="251"/>
        <v>-271</v>
      </c>
      <c r="AJ219" s="50">
        <f t="shared" si="252"/>
        <v>1.0740000000000112</v>
      </c>
      <c r="AK219" s="257"/>
      <c r="AL219" s="257">
        <f t="shared" si="253"/>
        <v>1.2</v>
      </c>
      <c r="AM219" s="52"/>
      <c r="AN219" s="88"/>
    </row>
    <row r="220" spans="1:41" s="29" customFormat="1" ht="17.25" customHeight="1">
      <c r="A220" s="48">
        <v>210</v>
      </c>
      <c r="B220" s="49">
        <f t="shared" si="246"/>
        <v>45785</v>
      </c>
      <c r="C220" s="220">
        <f t="shared" si="247"/>
        <v>1049</v>
      </c>
      <c r="D220" s="220">
        <f t="shared" si="234"/>
        <v>2322</v>
      </c>
      <c r="E220" s="220">
        <f t="shared" si="248"/>
        <v>3371</v>
      </c>
      <c r="F220" s="220">
        <f t="shared" si="241"/>
        <v>1031</v>
      </c>
      <c r="G220" s="220">
        <f t="shared" si="242"/>
        <v>1426</v>
      </c>
      <c r="H220" s="220">
        <f t="shared" si="243"/>
        <v>1504</v>
      </c>
      <c r="I220" s="220">
        <f t="shared" si="244"/>
        <v>1425</v>
      </c>
      <c r="J220" s="220">
        <f t="shared" si="245"/>
        <v>1089</v>
      </c>
      <c r="K220" s="220">
        <f t="shared" si="254"/>
        <v>2340</v>
      </c>
      <c r="L220" s="220">
        <f t="shared" si="254"/>
        <v>1945</v>
      </c>
      <c r="M220" s="220">
        <f t="shared" si="254"/>
        <v>1867</v>
      </c>
      <c r="N220" s="220">
        <f t="shared" si="254"/>
        <v>1946</v>
      </c>
      <c r="O220" s="220">
        <f t="shared" si="254"/>
        <v>2282</v>
      </c>
      <c r="P220" s="220">
        <f t="shared" si="249"/>
        <v>2000</v>
      </c>
      <c r="Q220" s="220">
        <f t="shared" si="249"/>
        <v>2000</v>
      </c>
      <c r="R220" s="220">
        <f t="shared" si="249"/>
        <v>2000</v>
      </c>
      <c r="S220" s="220">
        <f t="shared" si="249"/>
        <v>2000</v>
      </c>
      <c r="T220" s="220">
        <f t="shared" si="249"/>
        <v>2000</v>
      </c>
      <c r="U220" s="220">
        <f t="shared" si="250"/>
        <v>340</v>
      </c>
      <c r="V220" s="220">
        <f t="shared" si="250"/>
        <v>-55</v>
      </c>
      <c r="W220" s="220">
        <f t="shared" si="250"/>
        <v>-133</v>
      </c>
      <c r="X220" s="220">
        <f t="shared" si="250"/>
        <v>-54</v>
      </c>
      <c r="Y220" s="220">
        <f t="shared" si="250"/>
        <v>282</v>
      </c>
      <c r="Z220" s="220">
        <v>6</v>
      </c>
      <c r="AA220" s="220">
        <v>6</v>
      </c>
      <c r="AB220" s="220">
        <v>7</v>
      </c>
      <c r="AC220" s="220">
        <v>7</v>
      </c>
      <c r="AD220" s="220">
        <v>6</v>
      </c>
      <c r="AE220" s="220">
        <f t="shared" si="251"/>
        <v>-309</v>
      </c>
      <c r="AF220" s="220">
        <f t="shared" si="251"/>
        <v>-624</v>
      </c>
      <c r="AG220" s="220">
        <f t="shared" si="251"/>
        <v>-682</v>
      </c>
      <c r="AH220" s="220">
        <f t="shared" si="251"/>
        <v>-613</v>
      </c>
      <c r="AI220" s="220">
        <f t="shared" si="251"/>
        <v>-277</v>
      </c>
      <c r="AJ220" s="50">
        <f t="shared" si="252"/>
        <v>1.0670000000000113</v>
      </c>
      <c r="AK220" s="257"/>
      <c r="AL220" s="257">
        <f t="shared" si="253"/>
        <v>1.2</v>
      </c>
      <c r="AM220" s="52"/>
      <c r="AN220" s="88"/>
    </row>
    <row r="221" spans="1:41" s="29" customFormat="1" ht="17.25" customHeight="1">
      <c r="A221" s="48">
        <v>211</v>
      </c>
      <c r="B221" s="49">
        <f t="shared" si="246"/>
        <v>45786</v>
      </c>
      <c r="C221" s="220">
        <f t="shared" si="247"/>
        <v>1049</v>
      </c>
      <c r="D221" s="220">
        <f t="shared" si="235"/>
        <v>2296</v>
      </c>
      <c r="E221" s="220">
        <f t="shared" si="248"/>
        <v>3345</v>
      </c>
      <c r="F221" s="220">
        <f t="shared" si="241"/>
        <v>1011</v>
      </c>
      <c r="G221" s="220">
        <f t="shared" si="242"/>
        <v>1406</v>
      </c>
      <c r="H221" s="220">
        <f t="shared" si="243"/>
        <v>1485</v>
      </c>
      <c r="I221" s="220">
        <f t="shared" si="244"/>
        <v>1407</v>
      </c>
      <c r="J221" s="220">
        <f t="shared" si="245"/>
        <v>1069</v>
      </c>
      <c r="K221" s="220">
        <f t="shared" si="254"/>
        <v>2334</v>
      </c>
      <c r="L221" s="220">
        <f t="shared" si="254"/>
        <v>1939</v>
      </c>
      <c r="M221" s="220">
        <f t="shared" si="254"/>
        <v>1860</v>
      </c>
      <c r="N221" s="220">
        <f t="shared" si="254"/>
        <v>1938</v>
      </c>
      <c r="O221" s="220">
        <f t="shared" si="254"/>
        <v>2276</v>
      </c>
      <c r="P221" s="220">
        <f t="shared" ref="P221:T225" si="255">+P220</f>
        <v>2000</v>
      </c>
      <c r="Q221" s="220">
        <f t="shared" si="255"/>
        <v>2000</v>
      </c>
      <c r="R221" s="220">
        <f t="shared" si="255"/>
        <v>2000</v>
      </c>
      <c r="S221" s="220">
        <f t="shared" si="255"/>
        <v>2000</v>
      </c>
      <c r="T221" s="220">
        <f t="shared" si="255"/>
        <v>2000</v>
      </c>
      <c r="U221" s="220">
        <f t="shared" ref="U221:Y224" si="256">U220-Z221</f>
        <v>334</v>
      </c>
      <c r="V221" s="220">
        <f t="shared" si="256"/>
        <v>-61</v>
      </c>
      <c r="W221" s="220">
        <f t="shared" si="256"/>
        <v>-140</v>
      </c>
      <c r="X221" s="220">
        <f t="shared" si="256"/>
        <v>-62</v>
      </c>
      <c r="Y221" s="220">
        <f t="shared" si="256"/>
        <v>276</v>
      </c>
      <c r="Z221" s="220">
        <v>6</v>
      </c>
      <c r="AA221" s="220">
        <v>6</v>
      </c>
      <c r="AB221" s="220">
        <v>7</v>
      </c>
      <c r="AC221" s="220">
        <v>8</v>
      </c>
      <c r="AD221" s="220">
        <v>6</v>
      </c>
      <c r="AE221" s="220">
        <f t="shared" ref="AE221:AI224" si="257">AE220-Z221</f>
        <v>-315</v>
      </c>
      <c r="AF221" s="220">
        <f t="shared" si="257"/>
        <v>-630</v>
      </c>
      <c r="AG221" s="220">
        <f t="shared" si="257"/>
        <v>-689</v>
      </c>
      <c r="AH221" s="220">
        <f t="shared" si="257"/>
        <v>-621</v>
      </c>
      <c r="AI221" s="220">
        <f t="shared" si="257"/>
        <v>-283</v>
      </c>
      <c r="AJ221" s="50">
        <f t="shared" si="252"/>
        <v>1.0600000000000114</v>
      </c>
      <c r="AK221" s="257"/>
      <c r="AL221" s="257">
        <f t="shared" si="253"/>
        <v>1.2</v>
      </c>
      <c r="AM221" s="52"/>
      <c r="AN221" s="88"/>
    </row>
    <row r="222" spans="1:41" s="29" customFormat="1" ht="17.25" customHeight="1">
      <c r="A222" s="48">
        <v>212</v>
      </c>
      <c r="B222" s="49">
        <f t="shared" si="246"/>
        <v>45787</v>
      </c>
      <c r="C222" s="220">
        <f t="shared" si="247"/>
        <v>1049</v>
      </c>
      <c r="D222" s="220">
        <f t="shared" si="239"/>
        <v>2311</v>
      </c>
      <c r="E222" s="220">
        <f t="shared" si="248"/>
        <v>3360</v>
      </c>
      <c r="F222" s="220">
        <f t="shared" si="241"/>
        <v>1032</v>
      </c>
      <c r="G222" s="220">
        <f t="shared" si="242"/>
        <v>1426</v>
      </c>
      <c r="H222" s="220">
        <f t="shared" si="243"/>
        <v>1507</v>
      </c>
      <c r="I222" s="220">
        <f t="shared" si="244"/>
        <v>1430</v>
      </c>
      <c r="J222" s="220">
        <f t="shared" si="245"/>
        <v>1089</v>
      </c>
      <c r="K222" s="220">
        <f t="shared" si="254"/>
        <v>2328</v>
      </c>
      <c r="L222" s="220">
        <f t="shared" si="254"/>
        <v>1934</v>
      </c>
      <c r="M222" s="220">
        <f t="shared" si="254"/>
        <v>1853</v>
      </c>
      <c r="N222" s="220">
        <f t="shared" si="254"/>
        <v>1930</v>
      </c>
      <c r="O222" s="220">
        <f t="shared" si="254"/>
        <v>2271</v>
      </c>
      <c r="P222" s="220">
        <f t="shared" si="255"/>
        <v>2000</v>
      </c>
      <c r="Q222" s="220">
        <f t="shared" si="255"/>
        <v>2000</v>
      </c>
      <c r="R222" s="220">
        <f t="shared" si="255"/>
        <v>2000</v>
      </c>
      <c r="S222" s="220">
        <f t="shared" si="255"/>
        <v>2000</v>
      </c>
      <c r="T222" s="220">
        <f t="shared" si="255"/>
        <v>2000</v>
      </c>
      <c r="U222" s="220">
        <f t="shared" si="256"/>
        <v>328</v>
      </c>
      <c r="V222" s="220">
        <f t="shared" si="256"/>
        <v>-66</v>
      </c>
      <c r="W222" s="220">
        <f t="shared" si="256"/>
        <v>-147</v>
      </c>
      <c r="X222" s="220">
        <f t="shared" si="256"/>
        <v>-70</v>
      </c>
      <c r="Y222" s="220">
        <f t="shared" si="256"/>
        <v>271</v>
      </c>
      <c r="Z222" s="220">
        <v>6</v>
      </c>
      <c r="AA222" s="220">
        <v>5</v>
      </c>
      <c r="AB222" s="220">
        <v>7</v>
      </c>
      <c r="AC222" s="220">
        <v>8</v>
      </c>
      <c r="AD222" s="220">
        <v>5</v>
      </c>
      <c r="AE222" s="220">
        <f t="shared" si="257"/>
        <v>-321</v>
      </c>
      <c r="AF222" s="220">
        <f t="shared" si="257"/>
        <v>-635</v>
      </c>
      <c r="AG222" s="220">
        <f t="shared" si="257"/>
        <v>-696</v>
      </c>
      <c r="AH222" s="220">
        <f t="shared" si="257"/>
        <v>-629</v>
      </c>
      <c r="AI222" s="220">
        <f t="shared" si="257"/>
        <v>-288</v>
      </c>
      <c r="AJ222" s="50">
        <f t="shared" si="252"/>
        <v>1.0530000000000115</v>
      </c>
      <c r="AK222" s="257"/>
      <c r="AL222" s="257">
        <f t="shared" si="253"/>
        <v>1.2</v>
      </c>
      <c r="AM222" s="52"/>
      <c r="AN222" s="88"/>
    </row>
    <row r="223" spans="1:41" s="29" customFormat="1" ht="17.25" customHeight="1">
      <c r="A223" s="48">
        <v>213</v>
      </c>
      <c r="B223" s="49">
        <f t="shared" si="246"/>
        <v>45788</v>
      </c>
      <c r="C223" s="220">
        <f t="shared" si="247"/>
        <v>1049</v>
      </c>
      <c r="D223" s="220">
        <f t="shared" si="240"/>
        <v>2337</v>
      </c>
      <c r="E223" s="220">
        <f t="shared" si="248"/>
        <v>3386</v>
      </c>
      <c r="F223" s="220">
        <f t="shared" si="241"/>
        <v>1062</v>
      </c>
      <c r="G223" s="220">
        <f t="shared" si="242"/>
        <v>1457</v>
      </c>
      <c r="H223" s="220">
        <f t="shared" si="243"/>
        <v>1541</v>
      </c>
      <c r="I223" s="220">
        <f t="shared" si="244"/>
        <v>1463</v>
      </c>
      <c r="J223" s="220">
        <f t="shared" si="245"/>
        <v>1120</v>
      </c>
      <c r="K223" s="220">
        <f t="shared" si="254"/>
        <v>2324</v>
      </c>
      <c r="L223" s="220">
        <f t="shared" si="254"/>
        <v>1929</v>
      </c>
      <c r="M223" s="220">
        <f t="shared" si="254"/>
        <v>1845</v>
      </c>
      <c r="N223" s="220">
        <f t="shared" si="254"/>
        <v>1923</v>
      </c>
      <c r="O223" s="220">
        <f t="shared" si="254"/>
        <v>2266</v>
      </c>
      <c r="P223" s="220">
        <f t="shared" si="255"/>
        <v>2000</v>
      </c>
      <c r="Q223" s="220">
        <f t="shared" si="255"/>
        <v>2000</v>
      </c>
      <c r="R223" s="220">
        <f t="shared" si="255"/>
        <v>2000</v>
      </c>
      <c r="S223" s="220">
        <f t="shared" si="255"/>
        <v>2000</v>
      </c>
      <c r="T223" s="220">
        <f t="shared" si="255"/>
        <v>2000</v>
      </c>
      <c r="U223" s="220">
        <f t="shared" si="256"/>
        <v>324</v>
      </c>
      <c r="V223" s="220">
        <f t="shared" si="256"/>
        <v>-71</v>
      </c>
      <c r="W223" s="220">
        <f t="shared" si="256"/>
        <v>-155</v>
      </c>
      <c r="X223" s="220">
        <f t="shared" si="256"/>
        <v>-77</v>
      </c>
      <c r="Y223" s="220">
        <f t="shared" si="256"/>
        <v>266</v>
      </c>
      <c r="Z223" s="220">
        <v>4</v>
      </c>
      <c r="AA223" s="220">
        <v>5</v>
      </c>
      <c r="AB223" s="220">
        <v>8</v>
      </c>
      <c r="AC223" s="220">
        <v>7</v>
      </c>
      <c r="AD223" s="220">
        <v>5</v>
      </c>
      <c r="AE223" s="220">
        <f t="shared" si="257"/>
        <v>-325</v>
      </c>
      <c r="AF223" s="220">
        <f t="shared" si="257"/>
        <v>-640</v>
      </c>
      <c r="AG223" s="220">
        <f t="shared" si="257"/>
        <v>-704</v>
      </c>
      <c r="AH223" s="220">
        <f t="shared" si="257"/>
        <v>-636</v>
      </c>
      <c r="AI223" s="220">
        <f t="shared" si="257"/>
        <v>-293</v>
      </c>
      <c r="AJ223" s="50">
        <f t="shared" si="252"/>
        <v>1.0450000000000115</v>
      </c>
      <c r="AK223" s="257"/>
      <c r="AL223" s="257">
        <f t="shared" si="253"/>
        <v>1.2</v>
      </c>
      <c r="AM223" s="52"/>
      <c r="AN223" s="88"/>
    </row>
    <row r="224" spans="1:41" s="29" customFormat="1" ht="17.25" customHeight="1">
      <c r="A224" s="48">
        <v>214</v>
      </c>
      <c r="B224" s="49">
        <f t="shared" si="246"/>
        <v>45789</v>
      </c>
      <c r="C224" s="220">
        <f t="shared" si="247"/>
        <v>1049</v>
      </c>
      <c r="D224" s="220">
        <f t="shared" si="224"/>
        <v>2311</v>
      </c>
      <c r="E224" s="220">
        <f t="shared" si="248"/>
        <v>3360</v>
      </c>
      <c r="F224" s="220">
        <f t="shared" si="241"/>
        <v>1039</v>
      </c>
      <c r="G224" s="220">
        <f t="shared" si="242"/>
        <v>1437</v>
      </c>
      <c r="H224" s="220">
        <f t="shared" si="243"/>
        <v>1522</v>
      </c>
      <c r="I224" s="220">
        <f t="shared" si="244"/>
        <v>1444</v>
      </c>
      <c r="J224" s="220">
        <f t="shared" si="245"/>
        <v>1099</v>
      </c>
      <c r="K224" s="220">
        <f t="shared" si="254"/>
        <v>2321</v>
      </c>
      <c r="L224" s="220">
        <f t="shared" si="254"/>
        <v>1923</v>
      </c>
      <c r="M224" s="220">
        <f t="shared" si="254"/>
        <v>1838</v>
      </c>
      <c r="N224" s="220">
        <f t="shared" si="254"/>
        <v>1916</v>
      </c>
      <c r="O224" s="220">
        <f t="shared" si="254"/>
        <v>2261</v>
      </c>
      <c r="P224" s="220">
        <f t="shared" si="255"/>
        <v>2000</v>
      </c>
      <c r="Q224" s="220">
        <f t="shared" si="255"/>
        <v>2000</v>
      </c>
      <c r="R224" s="220">
        <f t="shared" si="255"/>
        <v>2000</v>
      </c>
      <c r="S224" s="220">
        <f t="shared" si="255"/>
        <v>2000</v>
      </c>
      <c r="T224" s="220">
        <f t="shared" si="255"/>
        <v>2000</v>
      </c>
      <c r="U224" s="220">
        <f t="shared" si="256"/>
        <v>321</v>
      </c>
      <c r="V224" s="220">
        <f t="shared" si="256"/>
        <v>-77</v>
      </c>
      <c r="W224" s="220">
        <f t="shared" si="256"/>
        <v>-162</v>
      </c>
      <c r="X224" s="220">
        <f t="shared" si="256"/>
        <v>-84</v>
      </c>
      <c r="Y224" s="220">
        <f t="shared" si="256"/>
        <v>261</v>
      </c>
      <c r="Z224" s="220">
        <v>3</v>
      </c>
      <c r="AA224" s="220">
        <v>6</v>
      </c>
      <c r="AB224" s="220">
        <v>7</v>
      </c>
      <c r="AC224" s="220">
        <v>7</v>
      </c>
      <c r="AD224" s="220">
        <v>5</v>
      </c>
      <c r="AE224" s="220">
        <f t="shared" si="257"/>
        <v>-328</v>
      </c>
      <c r="AF224" s="220">
        <f t="shared" si="257"/>
        <v>-646</v>
      </c>
      <c r="AG224" s="220">
        <f t="shared" si="257"/>
        <v>-711</v>
      </c>
      <c r="AH224" s="220">
        <f t="shared" si="257"/>
        <v>-643</v>
      </c>
      <c r="AI224" s="220">
        <f t="shared" si="257"/>
        <v>-298</v>
      </c>
      <c r="AJ224" s="50">
        <f t="shared" si="252"/>
        <v>1.0380000000000116</v>
      </c>
      <c r="AK224" s="257"/>
      <c r="AL224" s="257">
        <f t="shared" si="253"/>
        <v>1.2</v>
      </c>
      <c r="AM224" s="52"/>
      <c r="AN224" s="88"/>
      <c r="AO224" s="261" t="s">
        <v>151</v>
      </c>
    </row>
    <row r="225" spans="1:40" s="29" customFormat="1" ht="17.25" customHeight="1">
      <c r="A225" s="48">
        <v>215</v>
      </c>
      <c r="B225" s="49">
        <f t="shared" si="246"/>
        <v>45790</v>
      </c>
      <c r="C225" s="220">
        <f t="shared" si="247"/>
        <v>1049</v>
      </c>
      <c r="D225" s="220">
        <f t="shared" si="224"/>
        <v>2285</v>
      </c>
      <c r="E225" s="220">
        <f t="shared" ref="E225" si="258">+C225+D225</f>
        <v>3334</v>
      </c>
      <c r="F225" s="220">
        <f t="shared" ref="F225" si="259">E225-K225</f>
        <v>1016</v>
      </c>
      <c r="G225" s="220">
        <f t="shared" ref="G225" si="260">E225-L225</f>
        <v>1416</v>
      </c>
      <c r="H225" s="220">
        <f t="shared" ref="H225" si="261">E225-M225</f>
        <v>1503</v>
      </c>
      <c r="I225" s="220">
        <f t="shared" ref="I225" si="262">E225-N225</f>
        <v>1425</v>
      </c>
      <c r="J225" s="220">
        <f t="shared" ref="J225" si="263">E225-O225</f>
        <v>1078</v>
      </c>
      <c r="K225" s="220">
        <f t="shared" ref="K225" si="264">P225+U225</f>
        <v>2318</v>
      </c>
      <c r="L225" s="220">
        <f t="shared" ref="L225" si="265">Q225+V225</f>
        <v>1918</v>
      </c>
      <c r="M225" s="220">
        <f t="shared" ref="M225" si="266">R225+W225</f>
        <v>1831</v>
      </c>
      <c r="N225" s="220">
        <f t="shared" ref="N225" si="267">S225+X225</f>
        <v>1909</v>
      </c>
      <c r="O225" s="220">
        <f t="shared" ref="O225" si="268">T225+Y225</f>
        <v>2256</v>
      </c>
      <c r="P225" s="220">
        <f t="shared" si="255"/>
        <v>2000</v>
      </c>
      <c r="Q225" s="220">
        <f t="shared" si="255"/>
        <v>2000</v>
      </c>
      <c r="R225" s="220">
        <f t="shared" si="255"/>
        <v>2000</v>
      </c>
      <c r="S225" s="220">
        <f t="shared" si="255"/>
        <v>2000</v>
      </c>
      <c r="T225" s="220">
        <f t="shared" si="255"/>
        <v>2000</v>
      </c>
      <c r="U225" s="220">
        <f t="shared" ref="U225" si="269">U224-Z225</f>
        <v>318</v>
      </c>
      <c r="V225" s="220">
        <f t="shared" ref="V225" si="270">V224-AA225</f>
        <v>-82</v>
      </c>
      <c r="W225" s="220">
        <f t="shared" ref="W225" si="271">W224-AB225</f>
        <v>-169</v>
      </c>
      <c r="X225" s="220">
        <f t="shared" ref="X225" si="272">X224-AC225</f>
        <v>-91</v>
      </c>
      <c r="Y225" s="220">
        <f t="shared" ref="Y225" si="273">Y224-AD225</f>
        <v>256</v>
      </c>
      <c r="Z225" s="220">
        <v>3</v>
      </c>
      <c r="AA225" s="220">
        <v>5</v>
      </c>
      <c r="AB225" s="220">
        <v>7</v>
      </c>
      <c r="AC225" s="220">
        <v>7</v>
      </c>
      <c r="AD225" s="220">
        <v>5</v>
      </c>
      <c r="AE225" s="220">
        <f t="shared" ref="AE225" si="274">AE224-Z225</f>
        <v>-331</v>
      </c>
      <c r="AF225" s="220">
        <f t="shared" ref="AF225" si="275">AF224-AA225</f>
        <v>-651</v>
      </c>
      <c r="AG225" s="220">
        <f t="shared" ref="AG225" si="276">AG224-AB225</f>
        <v>-718</v>
      </c>
      <c r="AH225" s="220">
        <f t="shared" ref="AH225" si="277">AH224-AC225</f>
        <v>-650</v>
      </c>
      <c r="AI225" s="220">
        <f t="shared" ref="AI225" si="278">AI224-AD225</f>
        <v>-303</v>
      </c>
      <c r="AJ225" s="50">
        <f t="shared" ref="AJ225" si="279">AJ224-AB225/1000+AK225</f>
        <v>1.0310000000000117</v>
      </c>
      <c r="AK225" s="257"/>
      <c r="AL225" s="257">
        <f t="shared" ref="AL225" si="280">AL224+AK225</f>
        <v>1.2</v>
      </c>
      <c r="AM225" s="52"/>
      <c r="AN225" s="88"/>
    </row>
    <row r="226" spans="1:40" s="29" customFormat="1" ht="17.25" customHeight="1">
      <c r="A226" s="48">
        <v>216</v>
      </c>
      <c r="B226" s="49">
        <f t="shared" si="246"/>
        <v>45791</v>
      </c>
      <c r="C226" s="220">
        <f t="shared" si="247"/>
        <v>1049</v>
      </c>
      <c r="D226" s="220">
        <f t="shared" si="224"/>
        <v>2259</v>
      </c>
      <c r="E226" s="220">
        <f t="shared" ref="E226:E235" si="281">+C226+D226</f>
        <v>3308</v>
      </c>
      <c r="F226" s="220">
        <f t="shared" ref="F226:F235" si="282">E226-K226</f>
        <v>993</v>
      </c>
      <c r="G226" s="220">
        <f t="shared" ref="G226:G235" si="283">E226-L226</f>
        <v>1395</v>
      </c>
      <c r="H226" s="220">
        <f t="shared" ref="H226:H235" si="284">E226-M226</f>
        <v>1483</v>
      </c>
      <c r="I226" s="220">
        <f t="shared" ref="I226:I235" si="285">E226-N226</f>
        <v>1405</v>
      </c>
      <c r="J226" s="220">
        <f t="shared" ref="J226:J235" si="286">E226-O226</f>
        <v>1057</v>
      </c>
      <c r="K226" s="220">
        <f t="shared" ref="K226:K235" si="287">P226+U226</f>
        <v>2315</v>
      </c>
      <c r="L226" s="220">
        <f t="shared" ref="L226:L235" si="288">Q226+V226</f>
        <v>1913</v>
      </c>
      <c r="M226" s="220">
        <f t="shared" ref="M226:M235" si="289">R226+W226</f>
        <v>1825</v>
      </c>
      <c r="N226" s="220">
        <f t="shared" ref="N226:N235" si="290">S226+X226</f>
        <v>1903</v>
      </c>
      <c r="O226" s="220">
        <f t="shared" ref="O226:O235" si="291">T226+Y226</f>
        <v>2251</v>
      </c>
      <c r="P226" s="220">
        <f t="shared" ref="P226:T226" si="292">+P225</f>
        <v>2000</v>
      </c>
      <c r="Q226" s="220">
        <f t="shared" si="292"/>
        <v>2000</v>
      </c>
      <c r="R226" s="220">
        <f t="shared" si="292"/>
        <v>2000</v>
      </c>
      <c r="S226" s="220">
        <f t="shared" si="292"/>
        <v>2000</v>
      </c>
      <c r="T226" s="220">
        <f t="shared" si="292"/>
        <v>2000</v>
      </c>
      <c r="U226" s="220">
        <f t="shared" ref="U226:U235" si="293">U225-Z226</f>
        <v>315</v>
      </c>
      <c r="V226" s="220">
        <f t="shared" ref="V226:V235" si="294">V225-AA226</f>
        <v>-87</v>
      </c>
      <c r="W226" s="220">
        <f t="shared" ref="W226:W235" si="295">W225-AB226</f>
        <v>-175</v>
      </c>
      <c r="X226" s="220">
        <f t="shared" ref="X226:X235" si="296">X225-AC226</f>
        <v>-97</v>
      </c>
      <c r="Y226" s="220">
        <f t="shared" ref="Y226:Y235" si="297">Y225-AD226</f>
        <v>251</v>
      </c>
      <c r="Z226" s="220">
        <v>3</v>
      </c>
      <c r="AA226" s="220">
        <v>5</v>
      </c>
      <c r="AB226" s="220">
        <v>6</v>
      </c>
      <c r="AC226" s="220">
        <v>6</v>
      </c>
      <c r="AD226" s="220">
        <v>5</v>
      </c>
      <c r="AE226" s="220">
        <f t="shared" ref="AE226:AE235" si="298">AE225-Z226</f>
        <v>-334</v>
      </c>
      <c r="AF226" s="220">
        <f t="shared" ref="AF226:AF235" si="299">AF225-AA226</f>
        <v>-656</v>
      </c>
      <c r="AG226" s="220">
        <f t="shared" ref="AG226:AG235" si="300">AG225-AB226</f>
        <v>-724</v>
      </c>
      <c r="AH226" s="220">
        <f t="shared" ref="AH226:AH235" si="301">AH225-AC226</f>
        <v>-656</v>
      </c>
      <c r="AI226" s="220">
        <f t="shared" ref="AI226:AI235" si="302">AI225-AD226</f>
        <v>-308</v>
      </c>
      <c r="AJ226" s="50">
        <f t="shared" ref="AJ226:AJ235" si="303">AJ225-AB226/1000+AK226</f>
        <v>1.0250000000000117</v>
      </c>
      <c r="AK226" s="257"/>
      <c r="AL226" s="257">
        <f t="shared" ref="AL226:AL235" si="304">AL225+AK226</f>
        <v>1.2</v>
      </c>
      <c r="AM226" s="52"/>
      <c r="AN226" s="88"/>
    </row>
    <row r="227" spans="1:40" s="29" customFormat="1" ht="17.25" customHeight="1">
      <c r="A227" s="48">
        <v>217</v>
      </c>
      <c r="B227" s="49">
        <f t="shared" si="246"/>
        <v>45792</v>
      </c>
      <c r="C227" s="220">
        <f t="shared" si="247"/>
        <v>1049</v>
      </c>
      <c r="D227" s="220">
        <f t="shared" si="224"/>
        <v>2233</v>
      </c>
      <c r="E227" s="220">
        <f t="shared" si="281"/>
        <v>3282</v>
      </c>
      <c r="F227" s="220">
        <f t="shared" si="282"/>
        <v>970</v>
      </c>
      <c r="G227" s="220">
        <f t="shared" si="283"/>
        <v>1374</v>
      </c>
      <c r="H227" s="220">
        <f t="shared" si="284"/>
        <v>1463</v>
      </c>
      <c r="I227" s="220">
        <f t="shared" si="285"/>
        <v>1385</v>
      </c>
      <c r="J227" s="220">
        <f t="shared" si="286"/>
        <v>1036</v>
      </c>
      <c r="K227" s="220">
        <f t="shared" si="287"/>
        <v>2312</v>
      </c>
      <c r="L227" s="220">
        <f t="shared" si="288"/>
        <v>1908</v>
      </c>
      <c r="M227" s="220">
        <f t="shared" si="289"/>
        <v>1819</v>
      </c>
      <c r="N227" s="220">
        <f t="shared" si="290"/>
        <v>1897</v>
      </c>
      <c r="O227" s="220">
        <f t="shared" si="291"/>
        <v>2246</v>
      </c>
      <c r="P227" s="220">
        <f t="shared" ref="P227:T227" si="305">+P226</f>
        <v>2000</v>
      </c>
      <c r="Q227" s="220">
        <f t="shared" si="305"/>
        <v>2000</v>
      </c>
      <c r="R227" s="220">
        <f t="shared" si="305"/>
        <v>2000</v>
      </c>
      <c r="S227" s="220">
        <f t="shared" si="305"/>
        <v>2000</v>
      </c>
      <c r="T227" s="220">
        <f t="shared" si="305"/>
        <v>2000</v>
      </c>
      <c r="U227" s="220">
        <f t="shared" si="293"/>
        <v>312</v>
      </c>
      <c r="V227" s="220">
        <f t="shared" si="294"/>
        <v>-92</v>
      </c>
      <c r="W227" s="220">
        <f t="shared" si="295"/>
        <v>-181</v>
      </c>
      <c r="X227" s="220">
        <f t="shared" si="296"/>
        <v>-103</v>
      </c>
      <c r="Y227" s="220">
        <f t="shared" si="297"/>
        <v>246</v>
      </c>
      <c r="Z227" s="220">
        <v>3</v>
      </c>
      <c r="AA227" s="220">
        <v>5</v>
      </c>
      <c r="AB227" s="220">
        <v>6</v>
      </c>
      <c r="AC227" s="220">
        <v>6</v>
      </c>
      <c r="AD227" s="220">
        <v>5</v>
      </c>
      <c r="AE227" s="220">
        <f t="shared" si="298"/>
        <v>-337</v>
      </c>
      <c r="AF227" s="220">
        <f t="shared" si="299"/>
        <v>-661</v>
      </c>
      <c r="AG227" s="220">
        <f t="shared" si="300"/>
        <v>-730</v>
      </c>
      <c r="AH227" s="220">
        <f t="shared" si="301"/>
        <v>-662</v>
      </c>
      <c r="AI227" s="220">
        <f t="shared" si="302"/>
        <v>-313</v>
      </c>
      <c r="AJ227" s="50">
        <f t="shared" si="303"/>
        <v>1.0190000000000117</v>
      </c>
      <c r="AK227" s="257"/>
      <c r="AL227" s="257">
        <f t="shared" si="304"/>
        <v>1.2</v>
      </c>
      <c r="AM227" s="52"/>
      <c r="AN227" s="88"/>
    </row>
    <row r="228" spans="1:40" s="29" customFormat="1" ht="17.25" customHeight="1">
      <c r="A228" s="48">
        <v>218</v>
      </c>
      <c r="B228" s="49">
        <f t="shared" si="246"/>
        <v>45793</v>
      </c>
      <c r="C228" s="220">
        <f t="shared" si="247"/>
        <v>1049</v>
      </c>
      <c r="D228" s="220">
        <f t="shared" si="224"/>
        <v>2207</v>
      </c>
      <c r="E228" s="220">
        <f t="shared" si="281"/>
        <v>3256</v>
      </c>
      <c r="F228" s="220">
        <f t="shared" si="282"/>
        <v>947</v>
      </c>
      <c r="G228" s="220">
        <f t="shared" si="283"/>
        <v>1353</v>
      </c>
      <c r="H228" s="220">
        <f t="shared" si="284"/>
        <v>1443</v>
      </c>
      <c r="I228" s="220">
        <f t="shared" si="285"/>
        <v>1364</v>
      </c>
      <c r="J228" s="220">
        <f t="shared" si="286"/>
        <v>1015</v>
      </c>
      <c r="K228" s="220">
        <f t="shared" si="287"/>
        <v>2309</v>
      </c>
      <c r="L228" s="220">
        <f t="shared" si="288"/>
        <v>1903</v>
      </c>
      <c r="M228" s="220">
        <f t="shared" si="289"/>
        <v>1813</v>
      </c>
      <c r="N228" s="220">
        <f t="shared" si="290"/>
        <v>1892</v>
      </c>
      <c r="O228" s="220">
        <f t="shared" si="291"/>
        <v>2241</v>
      </c>
      <c r="P228" s="220">
        <f t="shared" ref="P228:T228" si="306">+P227</f>
        <v>2000</v>
      </c>
      <c r="Q228" s="220">
        <f t="shared" si="306"/>
        <v>2000</v>
      </c>
      <c r="R228" s="220">
        <f t="shared" si="306"/>
        <v>2000</v>
      </c>
      <c r="S228" s="220">
        <f t="shared" si="306"/>
        <v>2000</v>
      </c>
      <c r="T228" s="220">
        <f t="shared" si="306"/>
        <v>2000</v>
      </c>
      <c r="U228" s="220">
        <f t="shared" si="293"/>
        <v>309</v>
      </c>
      <c r="V228" s="220">
        <f t="shared" si="294"/>
        <v>-97</v>
      </c>
      <c r="W228" s="220">
        <f t="shared" si="295"/>
        <v>-187</v>
      </c>
      <c r="X228" s="220">
        <f t="shared" si="296"/>
        <v>-108</v>
      </c>
      <c r="Y228" s="220">
        <f t="shared" si="297"/>
        <v>241</v>
      </c>
      <c r="Z228" s="220">
        <v>3</v>
      </c>
      <c r="AA228" s="220">
        <v>5</v>
      </c>
      <c r="AB228" s="220">
        <v>6</v>
      </c>
      <c r="AC228" s="220">
        <v>5</v>
      </c>
      <c r="AD228" s="220">
        <v>5</v>
      </c>
      <c r="AE228" s="220">
        <f t="shared" si="298"/>
        <v>-340</v>
      </c>
      <c r="AF228" s="220">
        <f t="shared" si="299"/>
        <v>-666</v>
      </c>
      <c r="AG228" s="220">
        <f t="shared" si="300"/>
        <v>-736</v>
      </c>
      <c r="AH228" s="220">
        <f t="shared" si="301"/>
        <v>-667</v>
      </c>
      <c r="AI228" s="220">
        <f t="shared" si="302"/>
        <v>-318</v>
      </c>
      <c r="AJ228" s="50">
        <f t="shared" si="303"/>
        <v>1.0130000000000117</v>
      </c>
      <c r="AK228" s="257"/>
      <c r="AL228" s="257">
        <f t="shared" si="304"/>
        <v>1.2</v>
      </c>
      <c r="AM228" s="52"/>
      <c r="AN228" s="88"/>
    </row>
    <row r="229" spans="1:40" s="29" customFormat="1" ht="17.25" customHeight="1">
      <c r="A229" s="48">
        <v>219</v>
      </c>
      <c r="B229" s="49">
        <f t="shared" si="246"/>
        <v>45794</v>
      </c>
      <c r="C229" s="220">
        <f t="shared" si="247"/>
        <v>1049</v>
      </c>
      <c r="D229" s="220">
        <f t="shared" si="224"/>
        <v>2181</v>
      </c>
      <c r="E229" s="220">
        <f t="shared" si="281"/>
        <v>3230</v>
      </c>
      <c r="F229" s="220">
        <f t="shared" si="282"/>
        <v>924</v>
      </c>
      <c r="G229" s="220">
        <f t="shared" si="283"/>
        <v>1331</v>
      </c>
      <c r="H229" s="220">
        <f t="shared" si="284"/>
        <v>1423</v>
      </c>
      <c r="I229" s="220">
        <f t="shared" si="285"/>
        <v>1343</v>
      </c>
      <c r="J229" s="220">
        <f t="shared" si="286"/>
        <v>994</v>
      </c>
      <c r="K229" s="220">
        <f t="shared" si="287"/>
        <v>2306</v>
      </c>
      <c r="L229" s="220">
        <f t="shared" si="288"/>
        <v>1899</v>
      </c>
      <c r="M229" s="220">
        <f t="shared" si="289"/>
        <v>1807</v>
      </c>
      <c r="N229" s="220">
        <f t="shared" si="290"/>
        <v>1887</v>
      </c>
      <c r="O229" s="220">
        <f t="shared" si="291"/>
        <v>2236</v>
      </c>
      <c r="P229" s="220">
        <f t="shared" ref="P229:T229" si="307">+P228</f>
        <v>2000</v>
      </c>
      <c r="Q229" s="220">
        <f t="shared" si="307"/>
        <v>2000</v>
      </c>
      <c r="R229" s="220">
        <f t="shared" si="307"/>
        <v>2000</v>
      </c>
      <c r="S229" s="220">
        <f t="shared" si="307"/>
        <v>2000</v>
      </c>
      <c r="T229" s="220">
        <f t="shared" si="307"/>
        <v>2000</v>
      </c>
      <c r="U229" s="220">
        <f t="shared" si="293"/>
        <v>306</v>
      </c>
      <c r="V229" s="220">
        <f t="shared" si="294"/>
        <v>-101</v>
      </c>
      <c r="W229" s="220">
        <f t="shared" si="295"/>
        <v>-193</v>
      </c>
      <c r="X229" s="220">
        <f t="shared" si="296"/>
        <v>-113</v>
      </c>
      <c r="Y229" s="220">
        <f t="shared" si="297"/>
        <v>236</v>
      </c>
      <c r="Z229" s="220">
        <v>3</v>
      </c>
      <c r="AA229" s="220">
        <v>4</v>
      </c>
      <c r="AB229" s="220">
        <v>6</v>
      </c>
      <c r="AC229" s="220">
        <v>5</v>
      </c>
      <c r="AD229" s="220">
        <v>5</v>
      </c>
      <c r="AE229" s="220">
        <f t="shared" si="298"/>
        <v>-343</v>
      </c>
      <c r="AF229" s="220">
        <f t="shared" si="299"/>
        <v>-670</v>
      </c>
      <c r="AG229" s="220">
        <f t="shared" si="300"/>
        <v>-742</v>
      </c>
      <c r="AH229" s="220">
        <f t="shared" si="301"/>
        <v>-672</v>
      </c>
      <c r="AI229" s="220">
        <f t="shared" si="302"/>
        <v>-323</v>
      </c>
      <c r="AJ229" s="50">
        <f t="shared" si="303"/>
        <v>1.0070000000000117</v>
      </c>
      <c r="AK229" s="257"/>
      <c r="AL229" s="257">
        <f t="shared" si="304"/>
        <v>1.2</v>
      </c>
      <c r="AM229" s="52"/>
      <c r="AN229" s="88"/>
    </row>
    <row r="230" spans="1:40" s="29" customFormat="1" ht="17.25" customHeight="1">
      <c r="A230" s="48">
        <v>220</v>
      </c>
      <c r="B230" s="49">
        <f t="shared" si="246"/>
        <v>45795</v>
      </c>
      <c r="C230" s="220">
        <f t="shared" si="247"/>
        <v>1049</v>
      </c>
      <c r="D230" s="220">
        <f t="shared" si="224"/>
        <v>2155</v>
      </c>
      <c r="E230" s="220">
        <f t="shared" si="281"/>
        <v>3204</v>
      </c>
      <c r="F230" s="220">
        <f t="shared" si="282"/>
        <v>901</v>
      </c>
      <c r="G230" s="220">
        <f t="shared" si="283"/>
        <v>1308</v>
      </c>
      <c r="H230" s="220">
        <f t="shared" si="284"/>
        <v>1402</v>
      </c>
      <c r="I230" s="220">
        <f t="shared" si="285"/>
        <v>1321</v>
      </c>
      <c r="J230" s="220">
        <f t="shared" si="286"/>
        <v>973</v>
      </c>
      <c r="K230" s="220">
        <f t="shared" si="287"/>
        <v>2303</v>
      </c>
      <c r="L230" s="220">
        <f t="shared" si="288"/>
        <v>1896</v>
      </c>
      <c r="M230" s="220">
        <f t="shared" si="289"/>
        <v>1802</v>
      </c>
      <c r="N230" s="220">
        <f t="shared" si="290"/>
        <v>1883</v>
      </c>
      <c r="O230" s="220">
        <f t="shared" si="291"/>
        <v>2231</v>
      </c>
      <c r="P230" s="220">
        <f t="shared" ref="P230:T230" si="308">+P229</f>
        <v>2000</v>
      </c>
      <c r="Q230" s="220">
        <f t="shared" si="308"/>
        <v>2000</v>
      </c>
      <c r="R230" s="220">
        <f t="shared" si="308"/>
        <v>2000</v>
      </c>
      <c r="S230" s="220">
        <f t="shared" si="308"/>
        <v>2000</v>
      </c>
      <c r="T230" s="220">
        <f t="shared" si="308"/>
        <v>2000</v>
      </c>
      <c r="U230" s="220">
        <f t="shared" si="293"/>
        <v>303</v>
      </c>
      <c r="V230" s="220">
        <f t="shared" si="294"/>
        <v>-104</v>
      </c>
      <c r="W230" s="220">
        <f t="shared" si="295"/>
        <v>-198</v>
      </c>
      <c r="X230" s="220">
        <f t="shared" si="296"/>
        <v>-117</v>
      </c>
      <c r="Y230" s="220">
        <f t="shared" si="297"/>
        <v>231</v>
      </c>
      <c r="Z230" s="220">
        <v>3</v>
      </c>
      <c r="AA230" s="220">
        <v>3</v>
      </c>
      <c r="AB230" s="220">
        <v>5</v>
      </c>
      <c r="AC230" s="220">
        <v>4</v>
      </c>
      <c r="AD230" s="220">
        <v>5</v>
      </c>
      <c r="AE230" s="220">
        <f t="shared" si="298"/>
        <v>-346</v>
      </c>
      <c r="AF230" s="220">
        <f t="shared" si="299"/>
        <v>-673</v>
      </c>
      <c r="AG230" s="220">
        <f t="shared" si="300"/>
        <v>-747</v>
      </c>
      <c r="AH230" s="220">
        <f t="shared" si="301"/>
        <v>-676</v>
      </c>
      <c r="AI230" s="220">
        <f t="shared" si="302"/>
        <v>-328</v>
      </c>
      <c r="AJ230" s="50">
        <f t="shared" si="303"/>
        <v>1.0020000000000118</v>
      </c>
      <c r="AK230" s="257"/>
      <c r="AL230" s="257">
        <f t="shared" si="304"/>
        <v>1.2</v>
      </c>
      <c r="AM230" s="52"/>
      <c r="AN230" s="88"/>
    </row>
    <row r="231" spans="1:40" s="29" customFormat="1" ht="17.25" customHeight="1">
      <c r="A231" s="48">
        <v>221</v>
      </c>
      <c r="B231" s="49">
        <f t="shared" si="246"/>
        <v>45796</v>
      </c>
      <c r="C231" s="220">
        <f t="shared" si="247"/>
        <v>1049</v>
      </c>
      <c r="D231" s="220">
        <f t="shared" si="224"/>
        <v>2129</v>
      </c>
      <c r="E231" s="220">
        <f t="shared" si="281"/>
        <v>3178</v>
      </c>
      <c r="F231" s="220">
        <f t="shared" si="282"/>
        <v>878</v>
      </c>
      <c r="G231" s="220">
        <f t="shared" si="283"/>
        <v>1286</v>
      </c>
      <c r="H231" s="220">
        <f t="shared" si="284"/>
        <v>1380</v>
      </c>
      <c r="I231" s="220">
        <f t="shared" si="285"/>
        <v>1300</v>
      </c>
      <c r="J231" s="220">
        <f t="shared" si="286"/>
        <v>952</v>
      </c>
      <c r="K231" s="220">
        <f t="shared" si="287"/>
        <v>2300</v>
      </c>
      <c r="L231" s="220">
        <f t="shared" si="288"/>
        <v>1892</v>
      </c>
      <c r="M231" s="220">
        <f t="shared" si="289"/>
        <v>1798</v>
      </c>
      <c r="N231" s="220">
        <f t="shared" si="290"/>
        <v>1878</v>
      </c>
      <c r="O231" s="220">
        <f t="shared" si="291"/>
        <v>2226</v>
      </c>
      <c r="P231" s="220">
        <f t="shared" ref="P231:T231" si="309">+P230</f>
        <v>2000</v>
      </c>
      <c r="Q231" s="220">
        <f t="shared" si="309"/>
        <v>2000</v>
      </c>
      <c r="R231" s="220">
        <f t="shared" si="309"/>
        <v>2000</v>
      </c>
      <c r="S231" s="220">
        <f t="shared" si="309"/>
        <v>2000</v>
      </c>
      <c r="T231" s="220">
        <f t="shared" si="309"/>
        <v>2000</v>
      </c>
      <c r="U231" s="220">
        <f t="shared" si="293"/>
        <v>300</v>
      </c>
      <c r="V231" s="220">
        <f t="shared" si="294"/>
        <v>-108</v>
      </c>
      <c r="W231" s="220">
        <f t="shared" si="295"/>
        <v>-202</v>
      </c>
      <c r="X231" s="220">
        <f t="shared" si="296"/>
        <v>-122</v>
      </c>
      <c r="Y231" s="220">
        <f t="shared" si="297"/>
        <v>226</v>
      </c>
      <c r="Z231" s="220">
        <v>3</v>
      </c>
      <c r="AA231" s="220">
        <v>4</v>
      </c>
      <c r="AB231" s="220">
        <v>4</v>
      </c>
      <c r="AC231" s="220">
        <v>5</v>
      </c>
      <c r="AD231" s="220">
        <v>5</v>
      </c>
      <c r="AE231" s="220">
        <f t="shared" si="298"/>
        <v>-349</v>
      </c>
      <c r="AF231" s="220">
        <f t="shared" si="299"/>
        <v>-677</v>
      </c>
      <c r="AG231" s="220">
        <f t="shared" si="300"/>
        <v>-751</v>
      </c>
      <c r="AH231" s="220">
        <f t="shared" si="301"/>
        <v>-681</v>
      </c>
      <c r="AI231" s="220">
        <f t="shared" si="302"/>
        <v>-333</v>
      </c>
      <c r="AJ231" s="50">
        <f t="shared" si="303"/>
        <v>0.99800000000001177</v>
      </c>
      <c r="AK231" s="257"/>
      <c r="AL231" s="257">
        <f t="shared" si="304"/>
        <v>1.2</v>
      </c>
      <c r="AM231" s="52"/>
      <c r="AN231" s="88"/>
    </row>
    <row r="232" spans="1:40" s="29" customFormat="1" ht="17.25" customHeight="1">
      <c r="A232" s="48">
        <v>222</v>
      </c>
      <c r="B232" s="49">
        <f t="shared" si="246"/>
        <v>45797</v>
      </c>
      <c r="C232" s="220">
        <f t="shared" si="247"/>
        <v>1049</v>
      </c>
      <c r="D232" s="220">
        <f t="shared" si="224"/>
        <v>2103</v>
      </c>
      <c r="E232" s="220">
        <f t="shared" si="281"/>
        <v>3152</v>
      </c>
      <c r="F232" s="220">
        <f t="shared" si="282"/>
        <v>855</v>
      </c>
      <c r="G232" s="220">
        <f t="shared" si="283"/>
        <v>1263</v>
      </c>
      <c r="H232" s="220">
        <f t="shared" si="284"/>
        <v>1357</v>
      </c>
      <c r="I232" s="220">
        <f t="shared" si="285"/>
        <v>1277</v>
      </c>
      <c r="J232" s="220">
        <f t="shared" si="286"/>
        <v>931</v>
      </c>
      <c r="K232" s="220">
        <f t="shared" si="287"/>
        <v>2297</v>
      </c>
      <c r="L232" s="220">
        <f t="shared" si="288"/>
        <v>1889</v>
      </c>
      <c r="M232" s="220">
        <f t="shared" si="289"/>
        <v>1795</v>
      </c>
      <c r="N232" s="220">
        <f t="shared" si="290"/>
        <v>1875</v>
      </c>
      <c r="O232" s="220">
        <f t="shared" si="291"/>
        <v>2221</v>
      </c>
      <c r="P232" s="220">
        <f t="shared" ref="P232:T232" si="310">+P231</f>
        <v>2000</v>
      </c>
      <c r="Q232" s="220">
        <f t="shared" si="310"/>
        <v>2000</v>
      </c>
      <c r="R232" s="220">
        <f t="shared" si="310"/>
        <v>2000</v>
      </c>
      <c r="S232" s="220">
        <f t="shared" si="310"/>
        <v>2000</v>
      </c>
      <c r="T232" s="220">
        <f t="shared" si="310"/>
        <v>2000</v>
      </c>
      <c r="U232" s="220">
        <f t="shared" si="293"/>
        <v>297</v>
      </c>
      <c r="V232" s="220">
        <f t="shared" si="294"/>
        <v>-111</v>
      </c>
      <c r="W232" s="220">
        <f t="shared" si="295"/>
        <v>-205</v>
      </c>
      <c r="X232" s="220">
        <f t="shared" si="296"/>
        <v>-125</v>
      </c>
      <c r="Y232" s="220">
        <f t="shared" si="297"/>
        <v>221</v>
      </c>
      <c r="Z232" s="220">
        <v>3</v>
      </c>
      <c r="AA232" s="220">
        <v>3</v>
      </c>
      <c r="AB232" s="220">
        <v>3</v>
      </c>
      <c r="AC232" s="220">
        <v>3</v>
      </c>
      <c r="AD232" s="220">
        <v>5</v>
      </c>
      <c r="AE232" s="220">
        <f t="shared" si="298"/>
        <v>-352</v>
      </c>
      <c r="AF232" s="220">
        <f t="shared" si="299"/>
        <v>-680</v>
      </c>
      <c r="AG232" s="220">
        <f t="shared" si="300"/>
        <v>-754</v>
      </c>
      <c r="AH232" s="220">
        <f t="shared" si="301"/>
        <v>-684</v>
      </c>
      <c r="AI232" s="220">
        <f t="shared" si="302"/>
        <v>-338</v>
      </c>
      <c r="AJ232" s="50">
        <f t="shared" si="303"/>
        <v>0.99500000000001176</v>
      </c>
      <c r="AK232" s="257"/>
      <c r="AL232" s="257">
        <f t="shared" si="304"/>
        <v>1.2</v>
      </c>
      <c r="AM232" s="52"/>
      <c r="AN232" s="88"/>
    </row>
    <row r="233" spans="1:40" s="29" customFormat="1" ht="17.25" customHeight="1">
      <c r="A233" s="48">
        <v>223</v>
      </c>
      <c r="B233" s="49">
        <f t="shared" si="246"/>
        <v>45798</v>
      </c>
      <c r="C233" s="220">
        <f t="shared" si="247"/>
        <v>1049</v>
      </c>
      <c r="D233" s="220">
        <f t="shared" si="224"/>
        <v>2077</v>
      </c>
      <c r="E233" s="220">
        <f t="shared" si="281"/>
        <v>3126</v>
      </c>
      <c r="F233" s="220">
        <f t="shared" si="282"/>
        <v>832</v>
      </c>
      <c r="G233" s="220">
        <f t="shared" si="283"/>
        <v>1241</v>
      </c>
      <c r="H233" s="220">
        <f t="shared" si="284"/>
        <v>1334</v>
      </c>
      <c r="I233" s="220">
        <f t="shared" si="285"/>
        <v>1255</v>
      </c>
      <c r="J233" s="220">
        <f t="shared" si="286"/>
        <v>910</v>
      </c>
      <c r="K233" s="220">
        <f t="shared" si="287"/>
        <v>2294</v>
      </c>
      <c r="L233" s="220">
        <f t="shared" si="288"/>
        <v>1885</v>
      </c>
      <c r="M233" s="220">
        <f t="shared" si="289"/>
        <v>1792</v>
      </c>
      <c r="N233" s="220">
        <f t="shared" si="290"/>
        <v>1871</v>
      </c>
      <c r="O233" s="220">
        <f t="shared" si="291"/>
        <v>2216</v>
      </c>
      <c r="P233" s="220">
        <f t="shared" ref="P233:T233" si="311">+P232</f>
        <v>2000</v>
      </c>
      <c r="Q233" s="220">
        <f t="shared" si="311"/>
        <v>2000</v>
      </c>
      <c r="R233" s="220">
        <f t="shared" si="311"/>
        <v>2000</v>
      </c>
      <c r="S233" s="220">
        <f t="shared" si="311"/>
        <v>2000</v>
      </c>
      <c r="T233" s="220">
        <f t="shared" si="311"/>
        <v>2000</v>
      </c>
      <c r="U233" s="220">
        <f t="shared" si="293"/>
        <v>294</v>
      </c>
      <c r="V233" s="220">
        <f t="shared" si="294"/>
        <v>-115</v>
      </c>
      <c r="W233" s="220">
        <f t="shared" si="295"/>
        <v>-208</v>
      </c>
      <c r="X233" s="220">
        <f t="shared" si="296"/>
        <v>-129</v>
      </c>
      <c r="Y233" s="220">
        <f t="shared" si="297"/>
        <v>216</v>
      </c>
      <c r="Z233" s="220">
        <v>3</v>
      </c>
      <c r="AA233" s="220">
        <v>4</v>
      </c>
      <c r="AB233" s="220">
        <v>3</v>
      </c>
      <c r="AC233" s="220">
        <v>4</v>
      </c>
      <c r="AD233" s="220">
        <v>5</v>
      </c>
      <c r="AE233" s="220">
        <f t="shared" si="298"/>
        <v>-355</v>
      </c>
      <c r="AF233" s="220">
        <f t="shared" si="299"/>
        <v>-684</v>
      </c>
      <c r="AG233" s="220">
        <f t="shared" si="300"/>
        <v>-757</v>
      </c>
      <c r="AH233" s="220">
        <f t="shared" si="301"/>
        <v>-688</v>
      </c>
      <c r="AI233" s="220">
        <f t="shared" si="302"/>
        <v>-343</v>
      </c>
      <c r="AJ233" s="50">
        <f t="shared" si="303"/>
        <v>0.99200000000001176</v>
      </c>
      <c r="AK233" s="257"/>
      <c r="AL233" s="257">
        <f t="shared" si="304"/>
        <v>1.2</v>
      </c>
      <c r="AM233" s="52"/>
      <c r="AN233" s="88"/>
    </row>
    <row r="234" spans="1:40" s="29" customFormat="1" ht="17.25" customHeight="1">
      <c r="A234" s="48">
        <v>224</v>
      </c>
      <c r="B234" s="49">
        <f t="shared" si="246"/>
        <v>45799</v>
      </c>
      <c r="C234" s="220">
        <f t="shared" si="247"/>
        <v>1049</v>
      </c>
      <c r="D234" s="220">
        <f t="shared" si="224"/>
        <v>2051</v>
      </c>
      <c r="E234" s="220">
        <f t="shared" si="281"/>
        <v>3100</v>
      </c>
      <c r="F234" s="220">
        <f t="shared" si="282"/>
        <v>809</v>
      </c>
      <c r="G234" s="220">
        <f t="shared" si="283"/>
        <v>1218</v>
      </c>
      <c r="H234" s="220">
        <f t="shared" si="284"/>
        <v>1311</v>
      </c>
      <c r="I234" s="220">
        <f t="shared" si="285"/>
        <v>1232</v>
      </c>
      <c r="J234" s="220">
        <f t="shared" si="286"/>
        <v>889</v>
      </c>
      <c r="K234" s="220">
        <f t="shared" si="287"/>
        <v>2291</v>
      </c>
      <c r="L234" s="220">
        <f t="shared" si="288"/>
        <v>1882</v>
      </c>
      <c r="M234" s="220">
        <f t="shared" si="289"/>
        <v>1789</v>
      </c>
      <c r="N234" s="220">
        <f t="shared" si="290"/>
        <v>1868</v>
      </c>
      <c r="O234" s="220">
        <f t="shared" si="291"/>
        <v>2211</v>
      </c>
      <c r="P234" s="220">
        <f t="shared" ref="P234:T234" si="312">+P233</f>
        <v>2000</v>
      </c>
      <c r="Q234" s="220">
        <f t="shared" si="312"/>
        <v>2000</v>
      </c>
      <c r="R234" s="220">
        <f t="shared" si="312"/>
        <v>2000</v>
      </c>
      <c r="S234" s="220">
        <f t="shared" si="312"/>
        <v>2000</v>
      </c>
      <c r="T234" s="220">
        <f t="shared" si="312"/>
        <v>2000</v>
      </c>
      <c r="U234" s="220">
        <f t="shared" si="293"/>
        <v>291</v>
      </c>
      <c r="V234" s="220">
        <f t="shared" si="294"/>
        <v>-118</v>
      </c>
      <c r="W234" s="220">
        <f t="shared" si="295"/>
        <v>-211</v>
      </c>
      <c r="X234" s="220">
        <f t="shared" si="296"/>
        <v>-132</v>
      </c>
      <c r="Y234" s="220">
        <f t="shared" si="297"/>
        <v>211</v>
      </c>
      <c r="Z234" s="220">
        <v>3</v>
      </c>
      <c r="AA234" s="220">
        <v>3</v>
      </c>
      <c r="AB234" s="220">
        <v>3</v>
      </c>
      <c r="AC234" s="220">
        <v>3</v>
      </c>
      <c r="AD234" s="220">
        <v>5</v>
      </c>
      <c r="AE234" s="220">
        <f t="shared" si="298"/>
        <v>-358</v>
      </c>
      <c r="AF234" s="220">
        <f t="shared" si="299"/>
        <v>-687</v>
      </c>
      <c r="AG234" s="220">
        <f t="shared" si="300"/>
        <v>-760</v>
      </c>
      <c r="AH234" s="220">
        <f t="shared" si="301"/>
        <v>-691</v>
      </c>
      <c r="AI234" s="220">
        <f t="shared" si="302"/>
        <v>-348</v>
      </c>
      <c r="AJ234" s="50">
        <f t="shared" si="303"/>
        <v>0.98900000000001176</v>
      </c>
      <c r="AK234" s="257"/>
      <c r="AL234" s="257">
        <f t="shared" si="304"/>
        <v>1.2</v>
      </c>
      <c r="AM234" s="52"/>
      <c r="AN234" s="88"/>
    </row>
    <row r="235" spans="1:40" s="29" customFormat="1" ht="17.25" customHeight="1">
      <c r="A235" s="48">
        <v>225</v>
      </c>
      <c r="B235" s="49">
        <f t="shared" si="246"/>
        <v>45800</v>
      </c>
      <c r="C235" s="220">
        <f t="shared" si="247"/>
        <v>1049</v>
      </c>
      <c r="D235" s="220">
        <f t="shared" si="224"/>
        <v>2025</v>
      </c>
      <c r="E235" s="220">
        <f t="shared" si="281"/>
        <v>3074</v>
      </c>
      <c r="F235" s="220">
        <f t="shared" si="282"/>
        <v>786</v>
      </c>
      <c r="G235" s="220">
        <f t="shared" si="283"/>
        <v>1194</v>
      </c>
      <c r="H235" s="220">
        <f t="shared" si="284"/>
        <v>1290</v>
      </c>
      <c r="I235" s="220">
        <f t="shared" si="285"/>
        <v>1210</v>
      </c>
      <c r="J235" s="220">
        <f t="shared" si="286"/>
        <v>868</v>
      </c>
      <c r="K235" s="220">
        <f t="shared" si="287"/>
        <v>2288</v>
      </c>
      <c r="L235" s="220">
        <f t="shared" si="288"/>
        <v>1880</v>
      </c>
      <c r="M235" s="220">
        <f t="shared" si="289"/>
        <v>1784</v>
      </c>
      <c r="N235" s="220">
        <f t="shared" si="290"/>
        <v>1864</v>
      </c>
      <c r="O235" s="220">
        <f t="shared" si="291"/>
        <v>2206</v>
      </c>
      <c r="P235" s="220">
        <f t="shared" ref="P235:T235" si="313">+P234</f>
        <v>2000</v>
      </c>
      <c r="Q235" s="220">
        <f t="shared" si="313"/>
        <v>2000</v>
      </c>
      <c r="R235" s="220">
        <f t="shared" si="313"/>
        <v>2000</v>
      </c>
      <c r="S235" s="220">
        <f t="shared" si="313"/>
        <v>2000</v>
      </c>
      <c r="T235" s="220">
        <f t="shared" si="313"/>
        <v>2000</v>
      </c>
      <c r="U235" s="220">
        <f t="shared" si="293"/>
        <v>288</v>
      </c>
      <c r="V235" s="220">
        <f t="shared" si="294"/>
        <v>-120</v>
      </c>
      <c r="W235" s="220">
        <f t="shared" si="295"/>
        <v>-216</v>
      </c>
      <c r="X235" s="220">
        <f t="shared" si="296"/>
        <v>-136</v>
      </c>
      <c r="Y235" s="220">
        <f t="shared" si="297"/>
        <v>206</v>
      </c>
      <c r="Z235" s="220">
        <v>3</v>
      </c>
      <c r="AA235" s="220">
        <v>2</v>
      </c>
      <c r="AB235" s="220">
        <v>5</v>
      </c>
      <c r="AC235" s="220">
        <v>4</v>
      </c>
      <c r="AD235" s="220">
        <v>5</v>
      </c>
      <c r="AE235" s="220">
        <f t="shared" si="298"/>
        <v>-361</v>
      </c>
      <c r="AF235" s="220">
        <f t="shared" si="299"/>
        <v>-689</v>
      </c>
      <c r="AG235" s="220">
        <f t="shared" si="300"/>
        <v>-765</v>
      </c>
      <c r="AH235" s="220">
        <f t="shared" si="301"/>
        <v>-695</v>
      </c>
      <c r="AI235" s="220">
        <f t="shared" si="302"/>
        <v>-353</v>
      </c>
      <c r="AJ235" s="50">
        <f t="shared" si="303"/>
        <v>0.98400000000001175</v>
      </c>
      <c r="AK235" s="257"/>
      <c r="AL235" s="257">
        <f t="shared" si="304"/>
        <v>1.2</v>
      </c>
      <c r="AM235" s="52"/>
      <c r="AN235" s="88"/>
    </row>
    <row r="236" spans="1:40" s="29" customFormat="1" ht="17.25" customHeight="1">
      <c r="A236" s="48">
        <v>226</v>
      </c>
      <c r="B236" s="49">
        <f t="shared" si="246"/>
        <v>45801</v>
      </c>
      <c r="C236" s="220">
        <f t="shared" si="247"/>
        <v>1049</v>
      </c>
      <c r="D236" s="220">
        <f t="shared" si="224"/>
        <v>1999</v>
      </c>
      <c r="E236" s="220">
        <f t="shared" ref="E236:E243" si="314">+C236+D236</f>
        <v>3048</v>
      </c>
      <c r="F236" s="220">
        <f t="shared" ref="F236:F243" si="315">E236-K236</f>
        <v>763</v>
      </c>
      <c r="G236" s="220">
        <f t="shared" ref="G236:G243" si="316">E236-L236</f>
        <v>1171</v>
      </c>
      <c r="H236" s="220">
        <f t="shared" ref="H236:H243" si="317">E236-M236</f>
        <v>1268</v>
      </c>
      <c r="I236" s="220">
        <f t="shared" ref="I236:I243" si="318">E236-N236</f>
        <v>1188</v>
      </c>
      <c r="J236" s="220">
        <f t="shared" ref="J236:J243" si="319">E236-O236</f>
        <v>847</v>
      </c>
      <c r="K236" s="220">
        <f t="shared" ref="K236:K243" si="320">P236+U236</f>
        <v>2285</v>
      </c>
      <c r="L236" s="220">
        <f t="shared" ref="L236:L243" si="321">Q236+V236</f>
        <v>1877</v>
      </c>
      <c r="M236" s="220">
        <f t="shared" ref="M236:M243" si="322">R236+W236</f>
        <v>1780</v>
      </c>
      <c r="N236" s="220">
        <f t="shared" ref="N236:N243" si="323">S236+X236</f>
        <v>1860</v>
      </c>
      <c r="O236" s="220">
        <f t="shared" ref="O236:O243" si="324">T236+Y236</f>
        <v>2201</v>
      </c>
      <c r="P236" s="220">
        <f t="shared" ref="P236:T236" si="325">+P235</f>
        <v>2000</v>
      </c>
      <c r="Q236" s="220">
        <f t="shared" si="325"/>
        <v>2000</v>
      </c>
      <c r="R236" s="220">
        <f t="shared" si="325"/>
        <v>2000</v>
      </c>
      <c r="S236" s="220">
        <f t="shared" si="325"/>
        <v>2000</v>
      </c>
      <c r="T236" s="220">
        <f t="shared" si="325"/>
        <v>2000</v>
      </c>
      <c r="U236" s="220">
        <f t="shared" ref="U236:U243" si="326">U235-Z236</f>
        <v>285</v>
      </c>
      <c r="V236" s="220">
        <f t="shared" ref="V236:V243" si="327">V235-AA236</f>
        <v>-123</v>
      </c>
      <c r="W236" s="220">
        <f t="shared" ref="W236:W243" si="328">W235-AB236</f>
        <v>-220</v>
      </c>
      <c r="X236" s="220">
        <f t="shared" ref="X236:X243" si="329">X235-AC236</f>
        <v>-140</v>
      </c>
      <c r="Y236" s="220">
        <f t="shared" ref="Y236:Y243" si="330">Y235-AD236</f>
        <v>201</v>
      </c>
      <c r="Z236" s="220">
        <v>3</v>
      </c>
      <c r="AA236" s="220">
        <v>3</v>
      </c>
      <c r="AB236" s="220">
        <v>4</v>
      </c>
      <c r="AC236" s="220">
        <v>4</v>
      </c>
      <c r="AD236" s="220">
        <v>5</v>
      </c>
      <c r="AE236" s="220">
        <f t="shared" ref="AE236:AE243" si="331">AE235-Z236</f>
        <v>-364</v>
      </c>
      <c r="AF236" s="220">
        <f t="shared" ref="AF236:AF243" si="332">AF235-AA236</f>
        <v>-692</v>
      </c>
      <c r="AG236" s="220">
        <f t="shared" ref="AG236:AG243" si="333">AG235-AB236</f>
        <v>-769</v>
      </c>
      <c r="AH236" s="220">
        <f t="shared" ref="AH236:AH243" si="334">AH235-AC236</f>
        <v>-699</v>
      </c>
      <c r="AI236" s="220">
        <f t="shared" ref="AI236:AI243" si="335">AI235-AD236</f>
        <v>-358</v>
      </c>
      <c r="AJ236" s="50">
        <f t="shared" ref="AJ236:AJ243" si="336">AJ235-AB236/1000+AK236</f>
        <v>0.98000000000001175</v>
      </c>
      <c r="AK236" s="257"/>
      <c r="AL236" s="257">
        <f t="shared" ref="AL236:AL243" si="337">AL235+AK236</f>
        <v>1.2</v>
      </c>
      <c r="AM236" s="52"/>
      <c r="AN236" s="88"/>
    </row>
    <row r="237" spans="1:40" s="29" customFormat="1" ht="17.25" customHeight="1">
      <c r="A237" s="48">
        <v>227</v>
      </c>
      <c r="B237" s="49">
        <f t="shared" si="246"/>
        <v>45802</v>
      </c>
      <c r="C237" s="220">
        <f t="shared" si="247"/>
        <v>1049</v>
      </c>
      <c r="D237" s="220">
        <f t="shared" si="224"/>
        <v>1973</v>
      </c>
      <c r="E237" s="220">
        <f t="shared" si="314"/>
        <v>3022</v>
      </c>
      <c r="F237" s="220">
        <f t="shared" si="315"/>
        <v>740</v>
      </c>
      <c r="G237" s="220">
        <f t="shared" si="316"/>
        <v>1147</v>
      </c>
      <c r="H237" s="220">
        <f t="shared" si="317"/>
        <v>1246</v>
      </c>
      <c r="I237" s="220">
        <f t="shared" si="318"/>
        <v>1166</v>
      </c>
      <c r="J237" s="220">
        <f t="shared" si="319"/>
        <v>826</v>
      </c>
      <c r="K237" s="220">
        <f t="shared" si="320"/>
        <v>2282</v>
      </c>
      <c r="L237" s="220">
        <f t="shared" si="321"/>
        <v>1875</v>
      </c>
      <c r="M237" s="220">
        <f t="shared" si="322"/>
        <v>1776</v>
      </c>
      <c r="N237" s="220">
        <f t="shared" si="323"/>
        <v>1856</v>
      </c>
      <c r="O237" s="220">
        <f t="shared" si="324"/>
        <v>2196</v>
      </c>
      <c r="P237" s="220">
        <f t="shared" ref="P237:T237" si="338">+P236</f>
        <v>2000</v>
      </c>
      <c r="Q237" s="220">
        <f t="shared" si="338"/>
        <v>2000</v>
      </c>
      <c r="R237" s="220">
        <f t="shared" si="338"/>
        <v>2000</v>
      </c>
      <c r="S237" s="220">
        <f t="shared" si="338"/>
        <v>2000</v>
      </c>
      <c r="T237" s="220">
        <f t="shared" si="338"/>
        <v>2000</v>
      </c>
      <c r="U237" s="220">
        <f t="shared" si="326"/>
        <v>282</v>
      </c>
      <c r="V237" s="220">
        <f t="shared" si="327"/>
        <v>-125</v>
      </c>
      <c r="W237" s="220">
        <f t="shared" si="328"/>
        <v>-224</v>
      </c>
      <c r="X237" s="220">
        <f t="shared" si="329"/>
        <v>-144</v>
      </c>
      <c r="Y237" s="220">
        <f t="shared" si="330"/>
        <v>196</v>
      </c>
      <c r="Z237" s="220">
        <v>3</v>
      </c>
      <c r="AA237" s="220">
        <v>2</v>
      </c>
      <c r="AB237" s="220">
        <v>4</v>
      </c>
      <c r="AC237" s="220">
        <v>4</v>
      </c>
      <c r="AD237" s="220">
        <v>5</v>
      </c>
      <c r="AE237" s="220">
        <f t="shared" si="331"/>
        <v>-367</v>
      </c>
      <c r="AF237" s="220">
        <f t="shared" si="332"/>
        <v>-694</v>
      </c>
      <c r="AG237" s="220">
        <f t="shared" si="333"/>
        <v>-773</v>
      </c>
      <c r="AH237" s="220">
        <f t="shared" si="334"/>
        <v>-703</v>
      </c>
      <c r="AI237" s="220">
        <f t="shared" si="335"/>
        <v>-363</v>
      </c>
      <c r="AJ237" s="50">
        <f t="shared" si="336"/>
        <v>0.97600000000001175</v>
      </c>
      <c r="AK237" s="257"/>
      <c r="AL237" s="257">
        <f t="shared" si="337"/>
        <v>1.2</v>
      </c>
      <c r="AM237" s="52"/>
      <c r="AN237" s="88"/>
    </row>
    <row r="238" spans="1:40" s="29" customFormat="1" ht="17.25" customHeight="1">
      <c r="A238" s="48">
        <v>228</v>
      </c>
      <c r="B238" s="49">
        <f t="shared" si="246"/>
        <v>45803</v>
      </c>
      <c r="C238" s="220">
        <f t="shared" si="247"/>
        <v>1049</v>
      </c>
      <c r="D238" s="220">
        <f t="shared" si="224"/>
        <v>1947</v>
      </c>
      <c r="E238" s="220">
        <f t="shared" si="314"/>
        <v>2996</v>
      </c>
      <c r="F238" s="220">
        <f t="shared" si="315"/>
        <v>717</v>
      </c>
      <c r="G238" s="220">
        <f t="shared" si="316"/>
        <v>1124</v>
      </c>
      <c r="H238" s="220">
        <f t="shared" si="317"/>
        <v>1223</v>
      </c>
      <c r="I238" s="220">
        <f t="shared" si="318"/>
        <v>1143</v>
      </c>
      <c r="J238" s="220">
        <f t="shared" si="319"/>
        <v>805</v>
      </c>
      <c r="K238" s="220">
        <f t="shared" si="320"/>
        <v>2279</v>
      </c>
      <c r="L238" s="220">
        <f t="shared" si="321"/>
        <v>1872</v>
      </c>
      <c r="M238" s="220">
        <f t="shared" si="322"/>
        <v>1773</v>
      </c>
      <c r="N238" s="220">
        <f t="shared" si="323"/>
        <v>1853</v>
      </c>
      <c r="O238" s="220">
        <f t="shared" si="324"/>
        <v>2191</v>
      </c>
      <c r="P238" s="220">
        <f t="shared" ref="P238:T238" si="339">+P237</f>
        <v>2000</v>
      </c>
      <c r="Q238" s="220">
        <f t="shared" si="339"/>
        <v>2000</v>
      </c>
      <c r="R238" s="220">
        <f t="shared" si="339"/>
        <v>2000</v>
      </c>
      <c r="S238" s="220">
        <f t="shared" si="339"/>
        <v>2000</v>
      </c>
      <c r="T238" s="220">
        <f t="shared" si="339"/>
        <v>2000</v>
      </c>
      <c r="U238" s="220">
        <f t="shared" si="326"/>
        <v>279</v>
      </c>
      <c r="V238" s="220">
        <f t="shared" si="327"/>
        <v>-128</v>
      </c>
      <c r="W238" s="220">
        <f t="shared" si="328"/>
        <v>-227</v>
      </c>
      <c r="X238" s="220">
        <f t="shared" si="329"/>
        <v>-147</v>
      </c>
      <c r="Y238" s="220">
        <f t="shared" si="330"/>
        <v>191</v>
      </c>
      <c r="Z238" s="220">
        <v>3</v>
      </c>
      <c r="AA238" s="220">
        <v>3</v>
      </c>
      <c r="AB238" s="220">
        <v>3</v>
      </c>
      <c r="AC238" s="220">
        <v>3</v>
      </c>
      <c r="AD238" s="220">
        <v>5</v>
      </c>
      <c r="AE238" s="220">
        <f t="shared" si="331"/>
        <v>-370</v>
      </c>
      <c r="AF238" s="220">
        <f t="shared" si="332"/>
        <v>-697</v>
      </c>
      <c r="AG238" s="220">
        <f t="shared" si="333"/>
        <v>-776</v>
      </c>
      <c r="AH238" s="220">
        <f t="shared" si="334"/>
        <v>-706</v>
      </c>
      <c r="AI238" s="220">
        <f t="shared" si="335"/>
        <v>-368</v>
      </c>
      <c r="AJ238" s="50">
        <f t="shared" si="336"/>
        <v>0.97300000000001174</v>
      </c>
      <c r="AK238" s="257"/>
      <c r="AL238" s="257">
        <f t="shared" si="337"/>
        <v>1.2</v>
      </c>
      <c r="AM238" s="52"/>
      <c r="AN238" s="88"/>
    </row>
    <row r="239" spans="1:40" s="29" customFormat="1" ht="17.25" customHeight="1">
      <c r="A239" s="48">
        <v>229</v>
      </c>
      <c r="B239" s="49">
        <f t="shared" si="246"/>
        <v>45804</v>
      </c>
      <c r="C239" s="220">
        <f t="shared" si="247"/>
        <v>1049</v>
      </c>
      <c r="D239" s="220">
        <f t="shared" si="224"/>
        <v>1921</v>
      </c>
      <c r="E239" s="220">
        <f t="shared" si="314"/>
        <v>2970</v>
      </c>
      <c r="F239" s="220">
        <f t="shared" si="315"/>
        <v>694</v>
      </c>
      <c r="G239" s="220">
        <f t="shared" si="316"/>
        <v>1101</v>
      </c>
      <c r="H239" s="220">
        <f t="shared" si="317"/>
        <v>1201</v>
      </c>
      <c r="I239" s="220">
        <f t="shared" si="318"/>
        <v>1120</v>
      </c>
      <c r="J239" s="220">
        <f t="shared" si="319"/>
        <v>784</v>
      </c>
      <c r="K239" s="220">
        <f t="shared" si="320"/>
        <v>2276</v>
      </c>
      <c r="L239" s="220">
        <f t="shared" si="321"/>
        <v>1869</v>
      </c>
      <c r="M239" s="220">
        <f t="shared" si="322"/>
        <v>1769</v>
      </c>
      <c r="N239" s="220">
        <f t="shared" si="323"/>
        <v>1850</v>
      </c>
      <c r="O239" s="220">
        <f t="shared" si="324"/>
        <v>2186</v>
      </c>
      <c r="P239" s="220">
        <f t="shared" ref="P239:T239" si="340">+P238</f>
        <v>2000</v>
      </c>
      <c r="Q239" s="220">
        <f t="shared" si="340"/>
        <v>2000</v>
      </c>
      <c r="R239" s="220">
        <f t="shared" si="340"/>
        <v>2000</v>
      </c>
      <c r="S239" s="220">
        <f t="shared" si="340"/>
        <v>2000</v>
      </c>
      <c r="T239" s="220">
        <f t="shared" si="340"/>
        <v>2000</v>
      </c>
      <c r="U239" s="220">
        <f t="shared" si="326"/>
        <v>276</v>
      </c>
      <c r="V239" s="220">
        <f t="shared" si="327"/>
        <v>-131</v>
      </c>
      <c r="W239" s="220">
        <f t="shared" si="328"/>
        <v>-231</v>
      </c>
      <c r="X239" s="220">
        <f t="shared" si="329"/>
        <v>-150</v>
      </c>
      <c r="Y239" s="220">
        <f t="shared" si="330"/>
        <v>186</v>
      </c>
      <c r="Z239" s="220">
        <v>3</v>
      </c>
      <c r="AA239" s="220">
        <v>3</v>
      </c>
      <c r="AB239" s="220">
        <v>4</v>
      </c>
      <c r="AC239" s="220">
        <v>3</v>
      </c>
      <c r="AD239" s="220">
        <v>5</v>
      </c>
      <c r="AE239" s="220">
        <f t="shared" si="331"/>
        <v>-373</v>
      </c>
      <c r="AF239" s="220">
        <f t="shared" si="332"/>
        <v>-700</v>
      </c>
      <c r="AG239" s="220">
        <f t="shared" si="333"/>
        <v>-780</v>
      </c>
      <c r="AH239" s="220">
        <f t="shared" si="334"/>
        <v>-709</v>
      </c>
      <c r="AI239" s="220">
        <f t="shared" si="335"/>
        <v>-373</v>
      </c>
      <c r="AJ239" s="50">
        <f t="shared" si="336"/>
        <v>0.96900000000001174</v>
      </c>
      <c r="AK239" s="257"/>
      <c r="AL239" s="257">
        <f t="shared" si="337"/>
        <v>1.2</v>
      </c>
      <c r="AM239" s="52"/>
      <c r="AN239" s="88"/>
    </row>
    <row r="240" spans="1:40" s="29" customFormat="1" ht="17.25" customHeight="1">
      <c r="A240" s="48">
        <v>230</v>
      </c>
      <c r="B240" s="49">
        <f t="shared" si="246"/>
        <v>45805</v>
      </c>
      <c r="C240" s="220">
        <f t="shared" si="247"/>
        <v>1049</v>
      </c>
      <c r="D240" s="220">
        <f t="shared" ref="D240:D243" si="341">D239-26</f>
        <v>1895</v>
      </c>
      <c r="E240" s="220">
        <f t="shared" si="314"/>
        <v>2944</v>
      </c>
      <c r="F240" s="220">
        <f t="shared" si="315"/>
        <v>671</v>
      </c>
      <c r="G240" s="220">
        <f t="shared" si="316"/>
        <v>1077</v>
      </c>
      <c r="H240" s="220">
        <f t="shared" si="317"/>
        <v>1179</v>
      </c>
      <c r="I240" s="220">
        <f t="shared" si="318"/>
        <v>1098</v>
      </c>
      <c r="J240" s="220">
        <f t="shared" si="319"/>
        <v>763</v>
      </c>
      <c r="K240" s="220">
        <f t="shared" si="320"/>
        <v>2273</v>
      </c>
      <c r="L240" s="220">
        <f t="shared" si="321"/>
        <v>1867</v>
      </c>
      <c r="M240" s="220">
        <f t="shared" si="322"/>
        <v>1765</v>
      </c>
      <c r="N240" s="220">
        <f t="shared" si="323"/>
        <v>1846</v>
      </c>
      <c r="O240" s="220">
        <f t="shared" si="324"/>
        <v>2181</v>
      </c>
      <c r="P240" s="220">
        <f t="shared" ref="P240:T240" si="342">+P239</f>
        <v>2000</v>
      </c>
      <c r="Q240" s="220">
        <f t="shared" si="342"/>
        <v>2000</v>
      </c>
      <c r="R240" s="220">
        <f t="shared" si="342"/>
        <v>2000</v>
      </c>
      <c r="S240" s="220">
        <f t="shared" si="342"/>
        <v>2000</v>
      </c>
      <c r="T240" s="220">
        <f t="shared" si="342"/>
        <v>2000</v>
      </c>
      <c r="U240" s="220">
        <f t="shared" si="326"/>
        <v>273</v>
      </c>
      <c r="V240" s="220">
        <f t="shared" si="327"/>
        <v>-133</v>
      </c>
      <c r="W240" s="220">
        <f t="shared" si="328"/>
        <v>-235</v>
      </c>
      <c r="X240" s="220">
        <f t="shared" si="329"/>
        <v>-154</v>
      </c>
      <c r="Y240" s="220">
        <f t="shared" si="330"/>
        <v>181</v>
      </c>
      <c r="Z240" s="220">
        <v>3</v>
      </c>
      <c r="AA240" s="220">
        <v>2</v>
      </c>
      <c r="AB240" s="220">
        <v>4</v>
      </c>
      <c r="AC240" s="220">
        <v>4</v>
      </c>
      <c r="AD240" s="220">
        <v>5</v>
      </c>
      <c r="AE240" s="220">
        <f t="shared" si="331"/>
        <v>-376</v>
      </c>
      <c r="AF240" s="220">
        <f t="shared" si="332"/>
        <v>-702</v>
      </c>
      <c r="AG240" s="220">
        <f t="shared" si="333"/>
        <v>-784</v>
      </c>
      <c r="AH240" s="220">
        <f t="shared" si="334"/>
        <v>-713</v>
      </c>
      <c r="AI240" s="220">
        <f t="shared" si="335"/>
        <v>-378</v>
      </c>
      <c r="AJ240" s="50">
        <f t="shared" si="336"/>
        <v>0.96500000000001174</v>
      </c>
      <c r="AK240" s="257"/>
      <c r="AL240" s="257">
        <f t="shared" si="337"/>
        <v>1.2</v>
      </c>
      <c r="AM240" s="52"/>
      <c r="AN240" s="88"/>
    </row>
    <row r="241" spans="1:40" s="29" customFormat="1" ht="17.25" customHeight="1">
      <c r="A241" s="48">
        <v>231</v>
      </c>
      <c r="B241" s="49">
        <f t="shared" si="246"/>
        <v>45806</v>
      </c>
      <c r="C241" s="220">
        <f t="shared" si="247"/>
        <v>1049</v>
      </c>
      <c r="D241" s="220">
        <f t="shared" si="341"/>
        <v>1869</v>
      </c>
      <c r="E241" s="220">
        <f t="shared" si="314"/>
        <v>2918</v>
      </c>
      <c r="F241" s="220">
        <f t="shared" si="315"/>
        <v>648</v>
      </c>
      <c r="G241" s="220">
        <f t="shared" si="316"/>
        <v>1053</v>
      </c>
      <c r="H241" s="220">
        <f t="shared" si="317"/>
        <v>1155</v>
      </c>
      <c r="I241" s="220">
        <f t="shared" si="318"/>
        <v>1075</v>
      </c>
      <c r="J241" s="220">
        <f t="shared" si="319"/>
        <v>742</v>
      </c>
      <c r="K241" s="220">
        <f t="shared" si="320"/>
        <v>2270</v>
      </c>
      <c r="L241" s="220">
        <f t="shared" si="321"/>
        <v>1865</v>
      </c>
      <c r="M241" s="220">
        <f t="shared" si="322"/>
        <v>1763</v>
      </c>
      <c r="N241" s="220">
        <f t="shared" si="323"/>
        <v>1843</v>
      </c>
      <c r="O241" s="220">
        <f t="shared" si="324"/>
        <v>2176</v>
      </c>
      <c r="P241" s="220">
        <f t="shared" ref="P241:T241" si="343">+P240</f>
        <v>2000</v>
      </c>
      <c r="Q241" s="220">
        <f t="shared" si="343"/>
        <v>2000</v>
      </c>
      <c r="R241" s="220">
        <f t="shared" si="343"/>
        <v>2000</v>
      </c>
      <c r="S241" s="220">
        <f t="shared" si="343"/>
        <v>2000</v>
      </c>
      <c r="T241" s="220">
        <f t="shared" si="343"/>
        <v>2000</v>
      </c>
      <c r="U241" s="220">
        <f t="shared" si="326"/>
        <v>270</v>
      </c>
      <c r="V241" s="220">
        <f t="shared" si="327"/>
        <v>-135</v>
      </c>
      <c r="W241" s="220">
        <f t="shared" si="328"/>
        <v>-237</v>
      </c>
      <c r="X241" s="220">
        <f t="shared" si="329"/>
        <v>-157</v>
      </c>
      <c r="Y241" s="220">
        <f t="shared" si="330"/>
        <v>176</v>
      </c>
      <c r="Z241" s="220">
        <v>3</v>
      </c>
      <c r="AA241" s="220">
        <v>2</v>
      </c>
      <c r="AB241" s="220">
        <v>2</v>
      </c>
      <c r="AC241" s="220">
        <v>3</v>
      </c>
      <c r="AD241" s="220">
        <v>5</v>
      </c>
      <c r="AE241" s="220">
        <f t="shared" si="331"/>
        <v>-379</v>
      </c>
      <c r="AF241" s="220">
        <f t="shared" si="332"/>
        <v>-704</v>
      </c>
      <c r="AG241" s="220">
        <f t="shared" si="333"/>
        <v>-786</v>
      </c>
      <c r="AH241" s="220">
        <f t="shared" si="334"/>
        <v>-716</v>
      </c>
      <c r="AI241" s="220">
        <f t="shared" si="335"/>
        <v>-383</v>
      </c>
      <c r="AJ241" s="50">
        <f t="shared" si="336"/>
        <v>0.96300000000001174</v>
      </c>
      <c r="AK241" s="257"/>
      <c r="AL241" s="257">
        <f t="shared" si="337"/>
        <v>1.2</v>
      </c>
      <c r="AM241" s="52"/>
      <c r="AN241" s="88"/>
    </row>
    <row r="242" spans="1:40" s="29" customFormat="1" ht="17.25" customHeight="1">
      <c r="A242" s="48">
        <v>232</v>
      </c>
      <c r="B242" s="49">
        <f t="shared" si="246"/>
        <v>45807</v>
      </c>
      <c r="C242" s="220">
        <f t="shared" si="247"/>
        <v>1049</v>
      </c>
      <c r="D242" s="220">
        <f t="shared" si="341"/>
        <v>1843</v>
      </c>
      <c r="E242" s="220">
        <f t="shared" si="314"/>
        <v>2892</v>
      </c>
      <c r="F242" s="220">
        <f t="shared" si="315"/>
        <v>625</v>
      </c>
      <c r="G242" s="220">
        <f t="shared" si="316"/>
        <v>1029</v>
      </c>
      <c r="H242" s="220">
        <f t="shared" si="317"/>
        <v>1133</v>
      </c>
      <c r="I242" s="220">
        <f t="shared" si="318"/>
        <v>1052</v>
      </c>
      <c r="J242" s="220">
        <f t="shared" si="319"/>
        <v>721</v>
      </c>
      <c r="K242" s="220">
        <f t="shared" si="320"/>
        <v>2267</v>
      </c>
      <c r="L242" s="220">
        <f t="shared" si="321"/>
        <v>1863</v>
      </c>
      <c r="M242" s="220">
        <f t="shared" si="322"/>
        <v>1759</v>
      </c>
      <c r="N242" s="220">
        <f t="shared" si="323"/>
        <v>1840</v>
      </c>
      <c r="O242" s="220">
        <f t="shared" si="324"/>
        <v>2171</v>
      </c>
      <c r="P242" s="220">
        <f t="shared" ref="P242:T243" si="344">+P241</f>
        <v>2000</v>
      </c>
      <c r="Q242" s="220">
        <f t="shared" si="344"/>
        <v>2000</v>
      </c>
      <c r="R242" s="220">
        <f t="shared" si="344"/>
        <v>2000</v>
      </c>
      <c r="S242" s="220">
        <f t="shared" si="344"/>
        <v>2000</v>
      </c>
      <c r="T242" s="220">
        <f t="shared" si="344"/>
        <v>2000</v>
      </c>
      <c r="U242" s="220">
        <f t="shared" si="326"/>
        <v>267</v>
      </c>
      <c r="V242" s="220">
        <f t="shared" si="327"/>
        <v>-137</v>
      </c>
      <c r="W242" s="220">
        <f t="shared" si="328"/>
        <v>-241</v>
      </c>
      <c r="X242" s="220">
        <f t="shared" si="329"/>
        <v>-160</v>
      </c>
      <c r="Y242" s="220">
        <f t="shared" si="330"/>
        <v>171</v>
      </c>
      <c r="Z242" s="220">
        <v>3</v>
      </c>
      <c r="AA242" s="220">
        <v>2</v>
      </c>
      <c r="AB242" s="220">
        <v>4</v>
      </c>
      <c r="AC242" s="220">
        <v>3</v>
      </c>
      <c r="AD242" s="220">
        <v>5</v>
      </c>
      <c r="AE242" s="220">
        <f t="shared" si="331"/>
        <v>-382</v>
      </c>
      <c r="AF242" s="220">
        <f t="shared" si="332"/>
        <v>-706</v>
      </c>
      <c r="AG242" s="220">
        <f t="shared" si="333"/>
        <v>-790</v>
      </c>
      <c r="AH242" s="220">
        <f t="shared" si="334"/>
        <v>-719</v>
      </c>
      <c r="AI242" s="220">
        <f t="shared" si="335"/>
        <v>-388</v>
      </c>
      <c r="AJ242" s="50">
        <f t="shared" si="336"/>
        <v>0.95900000000001173</v>
      </c>
      <c r="AK242" s="257"/>
      <c r="AL242" s="257">
        <f t="shared" si="337"/>
        <v>1.2</v>
      </c>
      <c r="AM242" s="52"/>
      <c r="AN242" s="88"/>
    </row>
    <row r="243" spans="1:40" s="29" customFormat="1" ht="17.25" customHeight="1">
      <c r="A243" s="48">
        <v>233</v>
      </c>
      <c r="B243" s="49">
        <f t="shared" si="246"/>
        <v>45808</v>
      </c>
      <c r="C243" s="220">
        <f t="shared" si="247"/>
        <v>1049</v>
      </c>
      <c r="D243" s="220">
        <f t="shared" si="341"/>
        <v>1817</v>
      </c>
      <c r="E243" s="220">
        <f t="shared" si="314"/>
        <v>2866</v>
      </c>
      <c r="F243" s="220">
        <f t="shared" si="315"/>
        <v>602</v>
      </c>
      <c r="G243" s="220">
        <f t="shared" si="316"/>
        <v>1006</v>
      </c>
      <c r="H243" s="220">
        <f t="shared" si="317"/>
        <v>1111</v>
      </c>
      <c r="I243" s="220">
        <f t="shared" si="318"/>
        <v>1029</v>
      </c>
      <c r="J243" s="220">
        <f t="shared" si="319"/>
        <v>700</v>
      </c>
      <c r="K243" s="220">
        <f t="shared" si="320"/>
        <v>2264</v>
      </c>
      <c r="L243" s="220">
        <f t="shared" si="321"/>
        <v>1860</v>
      </c>
      <c r="M243" s="220">
        <f t="shared" si="322"/>
        <v>1755</v>
      </c>
      <c r="N243" s="220">
        <f t="shared" si="323"/>
        <v>1837</v>
      </c>
      <c r="O243" s="220">
        <f t="shared" si="324"/>
        <v>2166</v>
      </c>
      <c r="P243" s="220">
        <f t="shared" si="344"/>
        <v>2000</v>
      </c>
      <c r="Q243" s="220">
        <f t="shared" si="344"/>
        <v>2000</v>
      </c>
      <c r="R243" s="220">
        <f t="shared" si="344"/>
        <v>2000</v>
      </c>
      <c r="S243" s="220">
        <f t="shared" si="344"/>
        <v>2000</v>
      </c>
      <c r="T243" s="220">
        <f t="shared" si="344"/>
        <v>2000</v>
      </c>
      <c r="U243" s="220">
        <f t="shared" si="326"/>
        <v>264</v>
      </c>
      <c r="V243" s="220">
        <f t="shared" si="327"/>
        <v>-140</v>
      </c>
      <c r="W243" s="220">
        <f t="shared" si="328"/>
        <v>-245</v>
      </c>
      <c r="X243" s="220">
        <f t="shared" si="329"/>
        <v>-163</v>
      </c>
      <c r="Y243" s="220">
        <f t="shared" si="330"/>
        <v>166</v>
      </c>
      <c r="Z243" s="220">
        <v>3</v>
      </c>
      <c r="AA243" s="220">
        <v>3</v>
      </c>
      <c r="AB243" s="220">
        <v>4</v>
      </c>
      <c r="AC243" s="220">
        <v>3</v>
      </c>
      <c r="AD243" s="220">
        <v>5</v>
      </c>
      <c r="AE243" s="220">
        <f t="shared" si="331"/>
        <v>-385</v>
      </c>
      <c r="AF243" s="220">
        <f t="shared" si="332"/>
        <v>-709</v>
      </c>
      <c r="AG243" s="220">
        <f t="shared" si="333"/>
        <v>-794</v>
      </c>
      <c r="AH243" s="220">
        <f t="shared" si="334"/>
        <v>-722</v>
      </c>
      <c r="AI243" s="220">
        <f t="shared" si="335"/>
        <v>-393</v>
      </c>
      <c r="AJ243" s="50">
        <f t="shared" si="336"/>
        <v>0.95500000000001173</v>
      </c>
      <c r="AK243" s="257"/>
      <c r="AL243" s="257">
        <f t="shared" si="337"/>
        <v>1.2</v>
      </c>
      <c r="AM243" s="52"/>
      <c r="AN243" s="88"/>
    </row>
    <row r="244" spans="1:40" s="29" customFormat="1" ht="17.25" customHeight="1">
      <c r="A244" s="48"/>
      <c r="B244" s="49"/>
      <c r="C244" s="220"/>
      <c r="D244" s="220"/>
      <c r="E244" s="220"/>
      <c r="F244" s="220"/>
      <c r="G244" s="220"/>
      <c r="H244" s="220"/>
      <c r="I244" s="220"/>
      <c r="J244" s="220"/>
      <c r="K244" s="220"/>
      <c r="L244" s="220"/>
      <c r="M244" s="220"/>
      <c r="N244" s="220"/>
      <c r="O244" s="220"/>
      <c r="P244" s="220"/>
      <c r="Q244" s="220"/>
      <c r="R244" s="220"/>
      <c r="S244" s="220"/>
      <c r="T244" s="220"/>
      <c r="U244" s="220"/>
      <c r="V244" s="220"/>
      <c r="W244" s="220"/>
      <c r="X244" s="220"/>
      <c r="Y244" s="220"/>
      <c r="Z244" s="220"/>
      <c r="AA244" s="220"/>
      <c r="AB244" s="220"/>
      <c r="AC244" s="220"/>
      <c r="AD244" s="220"/>
      <c r="AE244" s="220"/>
      <c r="AF244" s="220"/>
      <c r="AG244" s="220"/>
      <c r="AH244" s="220"/>
      <c r="AI244" s="220"/>
      <c r="AJ244" s="50"/>
      <c r="AK244" s="257"/>
      <c r="AL244" s="257"/>
      <c r="AM244" s="52"/>
      <c r="AN244" s="88"/>
    </row>
    <row r="245" spans="1:40" s="29" customFormat="1" ht="17.25" customHeight="1">
      <c r="A245" s="48"/>
      <c r="B245" s="49"/>
      <c r="C245" s="220"/>
      <c r="D245" s="220"/>
      <c r="E245" s="220"/>
      <c r="F245" s="220"/>
      <c r="G245" s="220"/>
      <c r="H245" s="220"/>
      <c r="I245" s="220"/>
      <c r="J245" s="220"/>
      <c r="K245" s="220"/>
      <c r="L245" s="220"/>
      <c r="M245" s="220"/>
      <c r="N245" s="220"/>
      <c r="O245" s="220"/>
      <c r="P245" s="220"/>
      <c r="Q245" s="220"/>
      <c r="R245" s="220"/>
      <c r="S245" s="220"/>
      <c r="T245" s="220"/>
      <c r="U245" s="220"/>
      <c r="V245" s="220"/>
      <c r="W245" s="220"/>
      <c r="X245" s="220"/>
      <c r="Y245" s="220"/>
      <c r="Z245" s="220">
        <f>SUM(Z11:Z244)</f>
        <v>385</v>
      </c>
      <c r="AA245" s="220">
        <f>SUM(AA11:AA244)</f>
        <v>709</v>
      </c>
      <c r="AB245" s="220">
        <f>SUM(AB11:AB244)</f>
        <v>794</v>
      </c>
      <c r="AC245" s="220">
        <f>SUM(AC11:AC244)</f>
        <v>722</v>
      </c>
      <c r="AD245" s="220">
        <f>SUM(AD11:AD244)</f>
        <v>393</v>
      </c>
      <c r="AE245" s="220"/>
      <c r="AF245" s="220"/>
      <c r="AG245" s="220"/>
      <c r="AH245" s="220"/>
      <c r="AI245" s="220"/>
      <c r="AJ245" s="50"/>
      <c r="AK245" s="257"/>
      <c r="AL245" s="257"/>
      <c r="AM245" s="52"/>
      <c r="AN245" s="88"/>
    </row>
    <row r="246" spans="1:40" s="29" customFormat="1" ht="17.25" customHeight="1">
      <c r="A246" s="48"/>
      <c r="B246" s="49"/>
      <c r="C246" s="220"/>
      <c r="D246" s="220"/>
      <c r="E246" s="220"/>
      <c r="F246" s="220"/>
      <c r="G246" s="220"/>
      <c r="H246" s="220"/>
      <c r="I246" s="220"/>
      <c r="J246" s="220"/>
      <c r="K246" s="220"/>
      <c r="L246" s="220"/>
      <c r="M246" s="220"/>
      <c r="N246" s="220"/>
      <c r="O246" s="220"/>
      <c r="P246" s="220"/>
      <c r="Q246" s="220"/>
      <c r="R246" s="220"/>
      <c r="S246" s="220"/>
      <c r="T246" s="220"/>
      <c r="U246" s="220"/>
      <c r="V246" s="220"/>
      <c r="W246" s="220"/>
      <c r="X246" s="220"/>
      <c r="Y246" s="220"/>
      <c r="Z246" s="220"/>
      <c r="AA246" s="220"/>
      <c r="AB246" s="220"/>
      <c r="AC246" s="220"/>
      <c r="AD246" s="220"/>
      <c r="AE246" s="220"/>
      <c r="AF246" s="220"/>
      <c r="AG246" s="220"/>
      <c r="AH246" s="220"/>
      <c r="AI246" s="220"/>
      <c r="AJ246" s="50"/>
      <c r="AK246" s="257"/>
      <c r="AL246" s="257"/>
      <c r="AM246" s="52"/>
      <c r="AN246" s="88"/>
    </row>
    <row r="247" spans="1:40" s="29" customFormat="1" ht="17.25" customHeight="1">
      <c r="A247" s="48"/>
      <c r="B247" s="49"/>
      <c r="C247" s="220"/>
      <c r="D247" s="220"/>
      <c r="E247" s="220"/>
      <c r="F247" s="220"/>
      <c r="G247" s="220"/>
      <c r="H247" s="220"/>
      <c r="I247" s="220"/>
      <c r="J247" s="220"/>
      <c r="K247" s="220"/>
      <c r="L247" s="220"/>
      <c r="M247" s="220"/>
      <c r="N247" s="220"/>
      <c r="O247" s="220"/>
      <c r="P247" s="220"/>
      <c r="Q247" s="220"/>
      <c r="R247" s="220"/>
      <c r="S247" s="220"/>
      <c r="T247" s="220"/>
      <c r="U247" s="220"/>
      <c r="V247" s="220"/>
      <c r="W247" s="220"/>
      <c r="X247" s="220"/>
      <c r="Y247" s="220"/>
      <c r="Z247" s="220">
        <v>508</v>
      </c>
      <c r="AA247" s="220">
        <v>709</v>
      </c>
      <c r="AB247" s="220">
        <v>794</v>
      </c>
      <c r="AC247" s="220">
        <v>722</v>
      </c>
      <c r="AD247" s="220">
        <v>456</v>
      </c>
      <c r="AE247" s="220"/>
      <c r="AF247" s="220"/>
      <c r="AG247" s="220"/>
      <c r="AH247" s="220"/>
      <c r="AI247" s="220"/>
      <c r="AJ247" s="50"/>
      <c r="AK247" s="257"/>
      <c r="AL247" s="257"/>
      <c r="AM247" s="52"/>
      <c r="AN247" s="88"/>
    </row>
    <row r="248" spans="1:40" s="29" customFormat="1" ht="17.25" customHeight="1">
      <c r="A248" s="48"/>
      <c r="B248" s="49"/>
      <c r="C248" s="220"/>
      <c r="D248" s="220"/>
      <c r="E248" s="220"/>
      <c r="F248" s="220"/>
      <c r="G248" s="220"/>
      <c r="H248" s="220"/>
      <c r="I248" s="220"/>
      <c r="J248" s="220"/>
      <c r="K248" s="220"/>
      <c r="L248" s="220"/>
      <c r="M248" s="220"/>
      <c r="N248" s="220"/>
      <c r="O248" s="220"/>
      <c r="P248" s="220"/>
      <c r="Q248" s="220"/>
      <c r="R248" s="220"/>
      <c r="S248" s="220"/>
      <c r="T248" s="220"/>
      <c r="U248" s="220"/>
      <c r="V248" s="220"/>
      <c r="W248" s="220"/>
      <c r="X248" s="220"/>
      <c r="Y248" s="220"/>
      <c r="Z248" s="220"/>
      <c r="AA248" s="220"/>
      <c r="AB248" s="220"/>
      <c r="AC248" s="220"/>
      <c r="AD248" s="220"/>
      <c r="AE248" s="220"/>
      <c r="AF248" s="220"/>
      <c r="AG248" s="220"/>
      <c r="AH248" s="220"/>
      <c r="AI248" s="220"/>
      <c r="AJ248" s="50"/>
      <c r="AK248" s="257"/>
      <c r="AL248" s="257"/>
      <c r="AM248" s="52"/>
      <c r="AN248" s="88"/>
    </row>
    <row r="249" spans="1:40" s="29" customFormat="1" ht="17.25" customHeight="1">
      <c r="A249" s="48"/>
      <c r="B249" s="49"/>
      <c r="C249" s="220"/>
      <c r="D249" s="220"/>
      <c r="E249" s="220"/>
      <c r="F249" s="220"/>
      <c r="G249" s="220"/>
      <c r="H249" s="220"/>
      <c r="I249" s="220"/>
      <c r="J249" s="220"/>
      <c r="K249" s="220"/>
      <c r="L249" s="220"/>
      <c r="M249" s="220"/>
      <c r="N249" s="220"/>
      <c r="O249" s="220"/>
      <c r="P249" s="220"/>
      <c r="Q249" s="220"/>
      <c r="R249" s="220"/>
      <c r="S249" s="220"/>
      <c r="T249" s="220"/>
      <c r="U249" s="220"/>
      <c r="V249" s="220"/>
      <c r="W249" s="220"/>
      <c r="X249" s="220"/>
      <c r="Y249" s="220"/>
      <c r="Z249" s="220">
        <f>Z245-Z247</f>
        <v>-123</v>
      </c>
      <c r="AA249" s="220">
        <f t="shared" ref="AA249:AD249" si="345">AA245-AA247</f>
        <v>0</v>
      </c>
      <c r="AB249" s="220">
        <f t="shared" si="345"/>
        <v>0</v>
      </c>
      <c r="AC249" s="220">
        <f t="shared" si="345"/>
        <v>0</v>
      </c>
      <c r="AD249" s="220">
        <f t="shared" si="345"/>
        <v>-63</v>
      </c>
      <c r="AE249" s="220"/>
      <c r="AF249" s="220"/>
      <c r="AG249" s="220"/>
      <c r="AH249" s="220"/>
      <c r="AI249" s="220"/>
      <c r="AJ249" s="50"/>
      <c r="AK249" s="257"/>
      <c r="AL249" s="257"/>
      <c r="AM249" s="52"/>
      <c r="AN249" s="88"/>
    </row>
    <row r="250" spans="1:40" s="29" customFormat="1" ht="17.25" customHeight="1">
      <c r="A250" s="48"/>
      <c r="B250" s="49"/>
      <c r="C250" s="220"/>
      <c r="D250" s="220"/>
      <c r="E250" s="220"/>
      <c r="F250" s="220"/>
      <c r="G250" s="220"/>
      <c r="H250" s="220"/>
      <c r="I250" s="220"/>
      <c r="J250" s="220"/>
      <c r="K250" s="220"/>
      <c r="L250" s="220"/>
      <c r="M250" s="220"/>
      <c r="N250" s="220"/>
      <c r="O250" s="220"/>
      <c r="P250" s="220"/>
      <c r="Q250" s="220"/>
      <c r="R250" s="220"/>
      <c r="S250" s="220"/>
      <c r="T250" s="220"/>
      <c r="U250" s="220"/>
      <c r="V250" s="220"/>
      <c r="W250" s="220"/>
      <c r="X250" s="220"/>
      <c r="Y250" s="220"/>
      <c r="Z250" s="220"/>
      <c r="AA250" s="220"/>
      <c r="AB250" s="220"/>
      <c r="AC250" s="220"/>
      <c r="AD250" s="220"/>
      <c r="AE250" s="220"/>
      <c r="AF250" s="220"/>
      <c r="AG250" s="220"/>
      <c r="AH250" s="220"/>
      <c r="AI250" s="220"/>
      <c r="AJ250" s="50"/>
      <c r="AK250" s="257"/>
      <c r="AL250" s="257"/>
      <c r="AM250" s="52"/>
      <c r="AN250" s="88"/>
    </row>
    <row r="251" spans="1:40" s="29" customFormat="1" ht="17.25" customHeight="1">
      <c r="A251" s="48"/>
      <c r="B251" s="49"/>
      <c r="C251" s="220"/>
      <c r="D251" s="220"/>
      <c r="E251" s="220"/>
      <c r="F251" s="220"/>
      <c r="G251" s="220"/>
      <c r="H251" s="220"/>
      <c r="I251" s="220"/>
      <c r="J251" s="220"/>
      <c r="K251" s="220"/>
      <c r="L251" s="220"/>
      <c r="M251" s="220"/>
      <c r="N251" s="220"/>
      <c r="O251" s="220"/>
      <c r="P251" s="220"/>
      <c r="Q251" s="220"/>
      <c r="R251" s="220"/>
      <c r="S251" s="220"/>
      <c r="T251" s="220"/>
      <c r="U251" s="220"/>
      <c r="V251" s="220"/>
      <c r="W251" s="220"/>
      <c r="X251" s="220"/>
      <c r="Y251" s="220"/>
      <c r="Z251" s="220"/>
      <c r="AA251" s="220"/>
      <c r="AB251" s="220"/>
      <c r="AC251" s="220"/>
      <c r="AD251" s="220"/>
      <c r="AE251" s="220"/>
      <c r="AF251" s="220"/>
      <c r="AG251" s="220"/>
      <c r="AH251" s="220"/>
      <c r="AI251" s="220"/>
      <c r="AJ251" s="50"/>
      <c r="AK251" s="257"/>
      <c r="AL251" s="257"/>
      <c r="AM251" s="52"/>
      <c r="AN251" s="88"/>
    </row>
    <row r="252" spans="1:40" s="29" customFormat="1" ht="17.25" customHeight="1">
      <c r="A252" s="48"/>
      <c r="B252" s="49"/>
      <c r="C252" s="220"/>
      <c r="D252" s="220"/>
      <c r="E252" s="220"/>
      <c r="F252" s="220"/>
      <c r="G252" s="220"/>
      <c r="H252" s="220"/>
      <c r="I252" s="220"/>
      <c r="J252" s="220"/>
      <c r="K252" s="220"/>
      <c r="L252" s="220"/>
      <c r="M252" s="220"/>
      <c r="N252" s="220"/>
      <c r="O252" s="220"/>
      <c r="P252" s="220"/>
      <c r="Q252" s="220"/>
      <c r="R252" s="220"/>
      <c r="S252" s="220"/>
      <c r="T252" s="220"/>
      <c r="U252" s="220"/>
      <c r="V252" s="220"/>
      <c r="W252" s="220"/>
      <c r="X252" s="220"/>
      <c r="Y252" s="220"/>
      <c r="Z252" s="220"/>
      <c r="AA252" s="220"/>
      <c r="AB252" s="220"/>
      <c r="AC252" s="220"/>
      <c r="AD252" s="220"/>
      <c r="AE252" s="220"/>
      <c r="AF252" s="220"/>
      <c r="AG252" s="220"/>
      <c r="AH252" s="220"/>
      <c r="AI252" s="220"/>
      <c r="AJ252" s="50"/>
      <c r="AK252" s="257"/>
      <c r="AL252" s="257"/>
      <c r="AM252" s="52"/>
      <c r="AN252" s="88"/>
    </row>
    <row r="253" spans="1:40" s="29" customFormat="1" ht="17.25" customHeight="1">
      <c r="A253" s="48"/>
      <c r="B253" s="49"/>
      <c r="C253" s="220"/>
      <c r="D253" s="220"/>
      <c r="E253" s="220"/>
      <c r="F253" s="220"/>
      <c r="G253" s="220"/>
      <c r="H253" s="220"/>
      <c r="I253" s="220"/>
      <c r="J253" s="220"/>
      <c r="K253" s="220"/>
      <c r="L253" s="220"/>
      <c r="M253" s="220"/>
      <c r="N253" s="220"/>
      <c r="O253" s="220"/>
      <c r="P253" s="220"/>
      <c r="Q253" s="220"/>
      <c r="R253" s="220"/>
      <c r="S253" s="220"/>
      <c r="T253" s="220"/>
      <c r="U253" s="220"/>
      <c r="V253" s="220"/>
      <c r="W253" s="220"/>
      <c r="X253" s="220"/>
      <c r="Y253" s="220"/>
      <c r="Z253" s="220"/>
      <c r="AA253" s="220"/>
      <c r="AB253" s="220"/>
      <c r="AC253" s="220"/>
      <c r="AD253" s="220"/>
      <c r="AE253" s="220"/>
      <c r="AF253" s="220"/>
      <c r="AG253" s="220"/>
      <c r="AH253" s="220"/>
      <c r="AI253" s="220"/>
      <c r="AJ253" s="50"/>
      <c r="AK253" s="257"/>
      <c r="AL253" s="257"/>
      <c r="AM253" s="52"/>
      <c r="AN253" s="88"/>
    </row>
    <row r="254" spans="1:40" s="29" customFormat="1" ht="17.25" customHeight="1">
      <c r="A254" s="48"/>
      <c r="B254" s="49"/>
      <c r="C254" s="220"/>
      <c r="D254" s="220"/>
      <c r="E254" s="220"/>
      <c r="F254" s="220"/>
      <c r="G254" s="220"/>
      <c r="H254" s="220"/>
      <c r="I254" s="220"/>
      <c r="J254" s="220"/>
      <c r="K254" s="220"/>
      <c r="L254" s="220"/>
      <c r="M254" s="220"/>
      <c r="N254" s="220"/>
      <c r="O254" s="220"/>
      <c r="P254" s="220"/>
      <c r="Q254" s="220"/>
      <c r="R254" s="220"/>
      <c r="S254" s="220"/>
      <c r="T254" s="220"/>
      <c r="U254" s="220"/>
      <c r="V254" s="220"/>
      <c r="W254" s="220"/>
      <c r="X254" s="220"/>
      <c r="Y254" s="220"/>
      <c r="Z254" s="220"/>
      <c r="AA254" s="220"/>
      <c r="AB254" s="220"/>
      <c r="AC254" s="220"/>
      <c r="AD254" s="220"/>
      <c r="AE254" s="220"/>
      <c r="AF254" s="220"/>
      <c r="AG254" s="220"/>
      <c r="AH254" s="220"/>
      <c r="AI254" s="220"/>
      <c r="AJ254" s="50"/>
      <c r="AK254" s="257"/>
      <c r="AL254" s="257"/>
      <c r="AM254" s="52"/>
      <c r="AN254" s="88"/>
    </row>
    <row r="255" spans="1:40" s="29" customFormat="1" ht="17.25" customHeight="1">
      <c r="A255" s="48"/>
      <c r="B255" s="49"/>
      <c r="C255" s="220"/>
      <c r="D255" s="220"/>
      <c r="E255" s="220"/>
      <c r="F255" s="220"/>
      <c r="G255" s="220"/>
      <c r="H255" s="220"/>
      <c r="I255" s="220"/>
      <c r="J255" s="220"/>
      <c r="K255" s="220"/>
      <c r="L255" s="220"/>
      <c r="M255" s="220"/>
      <c r="N255" s="220"/>
      <c r="O255" s="220"/>
      <c r="P255" s="220"/>
      <c r="Q255" s="220"/>
      <c r="R255" s="220"/>
      <c r="S255" s="220"/>
      <c r="T255" s="220"/>
      <c r="U255" s="220"/>
      <c r="V255" s="220"/>
      <c r="W255" s="220"/>
      <c r="X255" s="220"/>
      <c r="Y255" s="220"/>
      <c r="Z255" s="220"/>
      <c r="AA255" s="220"/>
      <c r="AB255" s="220"/>
      <c r="AC255" s="220"/>
      <c r="AD255" s="220"/>
      <c r="AE255" s="220"/>
      <c r="AF255" s="220"/>
      <c r="AG255" s="220"/>
      <c r="AH255" s="220"/>
      <c r="AI255" s="220"/>
      <c r="AJ255" s="50"/>
      <c r="AK255" s="257"/>
      <c r="AL255" s="257"/>
      <c r="AM255" s="52"/>
      <c r="AN255" s="88"/>
    </row>
    <row r="256" spans="1:40" s="29" customFormat="1" ht="17.25" customHeight="1">
      <c r="A256" s="48"/>
      <c r="B256" s="49"/>
      <c r="C256" s="220"/>
      <c r="D256" s="220"/>
      <c r="E256" s="220"/>
      <c r="F256" s="220"/>
      <c r="G256" s="220"/>
      <c r="H256" s="220"/>
      <c r="I256" s="220"/>
      <c r="J256" s="220"/>
      <c r="K256" s="220"/>
      <c r="L256" s="220"/>
      <c r="M256" s="220"/>
      <c r="N256" s="220"/>
      <c r="O256" s="220"/>
      <c r="P256" s="220"/>
      <c r="Q256" s="220"/>
      <c r="R256" s="220"/>
      <c r="S256" s="220"/>
      <c r="T256" s="220"/>
      <c r="U256" s="220"/>
      <c r="V256" s="220"/>
      <c r="W256" s="220"/>
      <c r="X256" s="220"/>
      <c r="Y256" s="220"/>
      <c r="Z256" s="220"/>
      <c r="AA256" s="220"/>
      <c r="AB256" s="220"/>
      <c r="AC256" s="220"/>
      <c r="AD256" s="220"/>
      <c r="AE256" s="220"/>
      <c r="AF256" s="220"/>
      <c r="AG256" s="220"/>
      <c r="AH256" s="220"/>
      <c r="AI256" s="220"/>
      <c r="AJ256" s="50"/>
      <c r="AK256" s="257"/>
      <c r="AL256" s="257"/>
      <c r="AM256" s="52"/>
      <c r="AN256" s="88"/>
    </row>
    <row r="257" spans="1:40" s="29" customFormat="1" ht="17.25" customHeight="1">
      <c r="A257" s="48"/>
      <c r="B257" s="49"/>
      <c r="C257" s="220"/>
      <c r="D257" s="220"/>
      <c r="E257" s="220"/>
      <c r="F257" s="220"/>
      <c r="G257" s="220"/>
      <c r="H257" s="220"/>
      <c r="I257" s="220"/>
      <c r="J257" s="220"/>
      <c r="K257" s="220"/>
      <c r="L257" s="220"/>
      <c r="M257" s="220"/>
      <c r="N257" s="220"/>
      <c r="O257" s="220"/>
      <c r="P257" s="220"/>
      <c r="Q257" s="220"/>
      <c r="R257" s="220"/>
      <c r="S257" s="220"/>
      <c r="T257" s="220"/>
      <c r="U257" s="220"/>
      <c r="V257" s="220"/>
      <c r="W257" s="220"/>
      <c r="X257" s="220"/>
      <c r="Y257" s="220"/>
      <c r="Z257" s="220"/>
      <c r="AA257" s="220"/>
      <c r="AB257" s="220"/>
      <c r="AC257" s="220"/>
      <c r="AD257" s="220"/>
      <c r="AE257" s="220"/>
      <c r="AF257" s="220"/>
      <c r="AG257" s="220"/>
      <c r="AH257" s="220"/>
      <c r="AI257" s="220"/>
      <c r="AJ257" s="50"/>
      <c r="AK257" s="257"/>
      <c r="AL257" s="257"/>
      <c r="AM257" s="52"/>
      <c r="AN257" s="88"/>
    </row>
    <row r="258" spans="1:40" s="29" customFormat="1" ht="17.25" customHeight="1">
      <c r="A258" s="48"/>
      <c r="B258" s="49"/>
      <c r="C258" s="220"/>
      <c r="D258" s="220"/>
      <c r="E258" s="220"/>
      <c r="F258" s="220"/>
      <c r="G258" s="220"/>
      <c r="H258" s="220"/>
      <c r="I258" s="220"/>
      <c r="J258" s="220"/>
      <c r="K258" s="220"/>
      <c r="L258" s="220"/>
      <c r="M258" s="220"/>
      <c r="N258" s="220"/>
      <c r="O258" s="220"/>
      <c r="P258" s="220"/>
      <c r="Q258" s="220"/>
      <c r="R258" s="220"/>
      <c r="S258" s="220"/>
      <c r="T258" s="220"/>
      <c r="U258" s="220"/>
      <c r="V258" s="220"/>
      <c r="W258" s="220"/>
      <c r="X258" s="220"/>
      <c r="Y258" s="220"/>
      <c r="Z258" s="220"/>
      <c r="AA258" s="220"/>
      <c r="AB258" s="220"/>
      <c r="AC258" s="220"/>
      <c r="AD258" s="220"/>
      <c r="AE258" s="220"/>
      <c r="AF258" s="220"/>
      <c r="AG258" s="220"/>
      <c r="AH258" s="220"/>
      <c r="AI258" s="220"/>
      <c r="AJ258" s="50"/>
      <c r="AK258" s="257"/>
      <c r="AL258" s="257"/>
      <c r="AM258" s="52"/>
      <c r="AN258" s="88"/>
    </row>
    <row r="259" spans="1:40" s="29" customFormat="1" ht="17.25" customHeight="1">
      <c r="A259" s="48"/>
      <c r="B259" s="49"/>
      <c r="C259" s="220"/>
      <c r="D259" s="220"/>
      <c r="E259" s="220"/>
      <c r="F259" s="220"/>
      <c r="G259" s="220"/>
      <c r="H259" s="220"/>
      <c r="I259" s="220"/>
      <c r="J259" s="220"/>
      <c r="K259" s="220"/>
      <c r="L259" s="220"/>
      <c r="M259" s="220"/>
      <c r="N259" s="220"/>
      <c r="O259" s="220"/>
      <c r="P259" s="220"/>
      <c r="Q259" s="220"/>
      <c r="R259" s="220"/>
      <c r="S259" s="220"/>
      <c r="T259" s="220"/>
      <c r="U259" s="220"/>
      <c r="V259" s="220"/>
      <c r="W259" s="220"/>
      <c r="X259" s="220"/>
      <c r="Y259" s="220"/>
      <c r="Z259" s="220"/>
      <c r="AA259" s="220"/>
      <c r="AB259" s="220"/>
      <c r="AC259" s="220"/>
      <c r="AD259" s="220"/>
      <c r="AE259" s="220"/>
      <c r="AF259" s="220"/>
      <c r="AG259" s="220"/>
      <c r="AH259" s="220"/>
      <c r="AI259" s="220"/>
      <c r="AJ259" s="50"/>
      <c r="AK259" s="257"/>
      <c r="AL259" s="257"/>
      <c r="AM259" s="52"/>
      <c r="AN259" s="88"/>
    </row>
    <row r="260" spans="1:40" s="29" customFormat="1" ht="17.25" customHeight="1">
      <c r="A260" s="48"/>
      <c r="B260" s="49"/>
      <c r="C260" s="220"/>
      <c r="D260" s="220"/>
      <c r="E260" s="220"/>
      <c r="F260" s="220"/>
      <c r="G260" s="220"/>
      <c r="H260" s="220"/>
      <c r="I260" s="220"/>
      <c r="J260" s="220"/>
      <c r="K260" s="220"/>
      <c r="L260" s="220"/>
      <c r="M260" s="220"/>
      <c r="N260" s="220"/>
      <c r="O260" s="220"/>
      <c r="P260" s="220"/>
      <c r="Q260" s="220"/>
      <c r="R260" s="220"/>
      <c r="S260" s="220"/>
      <c r="T260" s="220"/>
      <c r="U260" s="220"/>
      <c r="V260" s="220"/>
      <c r="W260" s="220"/>
      <c r="X260" s="220"/>
      <c r="Y260" s="220"/>
      <c r="Z260" s="220"/>
      <c r="AA260" s="220"/>
      <c r="AB260" s="220"/>
      <c r="AC260" s="220"/>
      <c r="AD260" s="220"/>
      <c r="AE260" s="220"/>
      <c r="AF260" s="220"/>
      <c r="AG260" s="220"/>
      <c r="AH260" s="220"/>
      <c r="AI260" s="220"/>
      <c r="AJ260" s="50"/>
      <c r="AK260" s="257"/>
      <c r="AL260" s="257"/>
      <c r="AM260" s="52"/>
      <c r="AN260" s="88"/>
    </row>
    <row r="261" spans="1:40" s="29" customFormat="1" ht="17.25" customHeight="1">
      <c r="A261" s="48"/>
      <c r="B261" s="49"/>
      <c r="C261" s="220"/>
      <c r="D261" s="220"/>
      <c r="E261" s="220"/>
      <c r="F261" s="220"/>
      <c r="G261" s="220"/>
      <c r="H261" s="220"/>
      <c r="I261" s="220"/>
      <c r="J261" s="220"/>
      <c r="K261" s="220"/>
      <c r="L261" s="220"/>
      <c r="M261" s="220"/>
      <c r="N261" s="220"/>
      <c r="O261" s="220"/>
      <c r="P261" s="220"/>
      <c r="Q261" s="220"/>
      <c r="R261" s="220"/>
      <c r="S261" s="220"/>
      <c r="T261" s="220"/>
      <c r="U261" s="220"/>
      <c r="V261" s="220"/>
      <c r="W261" s="220"/>
      <c r="X261" s="220"/>
      <c r="Y261" s="220"/>
      <c r="Z261" s="220"/>
      <c r="AA261" s="220"/>
      <c r="AB261" s="220"/>
      <c r="AC261" s="220"/>
      <c r="AD261" s="220"/>
      <c r="AE261" s="220"/>
      <c r="AF261" s="220"/>
      <c r="AG261" s="220"/>
      <c r="AH261" s="220"/>
      <c r="AI261" s="220"/>
      <c r="AJ261" s="50"/>
      <c r="AK261" s="257"/>
      <c r="AL261" s="257"/>
      <c r="AM261" s="52"/>
      <c r="AN261" s="88"/>
    </row>
    <row r="262" spans="1:40" s="29" customFormat="1" ht="17.25" customHeight="1">
      <c r="A262" s="48"/>
      <c r="B262" s="49"/>
      <c r="C262" s="220"/>
      <c r="D262" s="220"/>
      <c r="E262" s="220"/>
      <c r="F262" s="220"/>
      <c r="G262" s="220"/>
      <c r="H262" s="220"/>
      <c r="I262" s="220"/>
      <c r="J262" s="220"/>
      <c r="K262" s="220"/>
      <c r="L262" s="220"/>
      <c r="M262" s="220"/>
      <c r="N262" s="220"/>
      <c r="O262" s="220"/>
      <c r="P262" s="220"/>
      <c r="Q262" s="220"/>
      <c r="R262" s="220"/>
      <c r="S262" s="220"/>
      <c r="T262" s="220"/>
      <c r="U262" s="220"/>
      <c r="V262" s="220"/>
      <c r="W262" s="220"/>
      <c r="X262" s="220"/>
      <c r="Y262" s="220"/>
      <c r="Z262" s="220"/>
      <c r="AA262" s="220"/>
      <c r="AB262" s="220"/>
      <c r="AC262" s="220"/>
      <c r="AD262" s="220"/>
      <c r="AE262" s="220"/>
      <c r="AF262" s="220"/>
      <c r="AG262" s="220"/>
      <c r="AH262" s="220"/>
      <c r="AI262" s="220"/>
      <c r="AJ262" s="50"/>
      <c r="AK262" s="257"/>
      <c r="AL262" s="257"/>
      <c r="AM262" s="52"/>
      <c r="AN262" s="88"/>
    </row>
    <row r="263" spans="1:40" s="29" customFormat="1" ht="17.25" customHeight="1">
      <c r="A263" s="48"/>
      <c r="B263" s="49"/>
      <c r="C263" s="220"/>
      <c r="D263" s="220"/>
      <c r="E263" s="220"/>
      <c r="F263" s="220"/>
      <c r="G263" s="220"/>
      <c r="H263" s="220"/>
      <c r="I263" s="220"/>
      <c r="J263" s="220"/>
      <c r="K263" s="220"/>
      <c r="L263" s="220"/>
      <c r="M263" s="220"/>
      <c r="N263" s="220"/>
      <c r="O263" s="220"/>
      <c r="P263" s="220"/>
      <c r="Q263" s="220"/>
      <c r="R263" s="220"/>
      <c r="S263" s="220"/>
      <c r="T263" s="220"/>
      <c r="U263" s="220"/>
      <c r="V263" s="220"/>
      <c r="W263" s="220"/>
      <c r="X263" s="220"/>
      <c r="Y263" s="220"/>
      <c r="Z263" s="220"/>
      <c r="AA263" s="220"/>
      <c r="AB263" s="220"/>
      <c r="AC263" s="220"/>
      <c r="AD263" s="220"/>
      <c r="AE263" s="220"/>
      <c r="AF263" s="220"/>
      <c r="AG263" s="220"/>
      <c r="AH263" s="220"/>
      <c r="AI263" s="220"/>
      <c r="AJ263" s="50"/>
      <c r="AK263" s="257"/>
      <c r="AL263" s="257"/>
      <c r="AM263" s="52"/>
      <c r="AN263" s="88"/>
    </row>
    <row r="264" spans="1:40" s="29" customFormat="1" ht="17.25" customHeight="1">
      <c r="A264" s="48"/>
      <c r="B264" s="49"/>
      <c r="C264" s="220"/>
      <c r="D264" s="220"/>
      <c r="E264" s="220"/>
      <c r="F264" s="220"/>
      <c r="G264" s="220"/>
      <c r="H264" s="220"/>
      <c r="I264" s="220"/>
      <c r="J264" s="220"/>
      <c r="K264" s="220"/>
      <c r="L264" s="220"/>
      <c r="M264" s="220"/>
      <c r="N264" s="220"/>
      <c r="O264" s="220"/>
      <c r="P264" s="220"/>
      <c r="Q264" s="220"/>
      <c r="R264" s="220"/>
      <c r="S264" s="220"/>
      <c r="T264" s="220"/>
      <c r="U264" s="220"/>
      <c r="V264" s="220"/>
      <c r="W264" s="220"/>
      <c r="X264" s="220"/>
      <c r="Y264" s="220"/>
      <c r="Z264" s="220"/>
      <c r="AA264" s="220"/>
      <c r="AB264" s="220"/>
      <c r="AC264" s="220"/>
      <c r="AD264" s="220"/>
      <c r="AE264" s="220"/>
      <c r="AF264" s="220"/>
      <c r="AG264" s="220"/>
      <c r="AH264" s="220"/>
      <c r="AI264" s="220"/>
      <c r="AJ264" s="50"/>
      <c r="AK264" s="257"/>
      <c r="AL264" s="257"/>
      <c r="AM264" s="52"/>
      <c r="AN264" s="88"/>
    </row>
    <row r="265" spans="1:40" s="29" customFormat="1" ht="17.25" customHeight="1">
      <c r="A265" s="48"/>
      <c r="B265" s="49"/>
      <c r="C265" s="220"/>
      <c r="D265" s="220"/>
      <c r="E265" s="220"/>
      <c r="F265" s="220"/>
      <c r="G265" s="220"/>
      <c r="H265" s="220"/>
      <c r="I265" s="220"/>
      <c r="J265" s="220"/>
      <c r="K265" s="220"/>
      <c r="L265" s="220"/>
      <c r="M265" s="220"/>
      <c r="N265" s="220"/>
      <c r="O265" s="220"/>
      <c r="P265" s="220"/>
      <c r="Q265" s="220"/>
      <c r="R265" s="220"/>
      <c r="S265" s="220"/>
      <c r="T265" s="220"/>
      <c r="U265" s="220"/>
      <c r="V265" s="220"/>
      <c r="W265" s="220"/>
      <c r="X265" s="220"/>
      <c r="Y265" s="220"/>
      <c r="Z265" s="220"/>
      <c r="AA265" s="220"/>
      <c r="AB265" s="220"/>
      <c r="AC265" s="220"/>
      <c r="AD265" s="220"/>
      <c r="AE265" s="220"/>
      <c r="AF265" s="220"/>
      <c r="AG265" s="220"/>
      <c r="AH265" s="220"/>
      <c r="AI265" s="220"/>
      <c r="AJ265" s="50"/>
      <c r="AK265" s="257"/>
      <c r="AL265" s="257"/>
      <c r="AM265" s="52"/>
      <c r="AN265" s="88"/>
    </row>
    <row r="266" spans="1:40" s="29" customFormat="1" ht="17.25" customHeight="1">
      <c r="A266" s="48"/>
      <c r="B266" s="49"/>
      <c r="C266" s="220"/>
      <c r="D266" s="220"/>
      <c r="E266" s="220"/>
      <c r="F266" s="220"/>
      <c r="G266" s="220"/>
      <c r="H266" s="220"/>
      <c r="I266" s="220"/>
      <c r="J266" s="220"/>
      <c r="K266" s="220"/>
      <c r="L266" s="220"/>
      <c r="M266" s="220"/>
      <c r="N266" s="220"/>
      <c r="O266" s="220"/>
      <c r="P266" s="220"/>
      <c r="Q266" s="220"/>
      <c r="R266" s="220"/>
      <c r="S266" s="220"/>
      <c r="T266" s="220"/>
      <c r="U266" s="220"/>
      <c r="V266" s="220"/>
      <c r="W266" s="220"/>
      <c r="X266" s="220"/>
      <c r="Y266" s="220"/>
      <c r="Z266" s="220"/>
      <c r="AA266" s="220"/>
      <c r="AB266" s="220"/>
      <c r="AC266" s="220"/>
      <c r="AD266" s="220"/>
      <c r="AE266" s="220"/>
      <c r="AF266" s="220"/>
      <c r="AG266" s="220"/>
      <c r="AH266" s="220"/>
      <c r="AI266" s="220"/>
      <c r="AJ266" s="50"/>
      <c r="AK266" s="257"/>
      <c r="AL266" s="257"/>
      <c r="AM266" s="52"/>
      <c r="AN266" s="88"/>
    </row>
    <row r="267" spans="1:40" s="29" customFormat="1" ht="17.25" customHeight="1">
      <c r="A267" s="48"/>
      <c r="B267" s="49"/>
      <c r="C267" s="220"/>
      <c r="D267" s="220"/>
      <c r="E267" s="220"/>
      <c r="F267" s="220"/>
      <c r="G267" s="220"/>
      <c r="H267" s="220"/>
      <c r="I267" s="220"/>
      <c r="J267" s="220"/>
      <c r="K267" s="220"/>
      <c r="L267" s="220"/>
      <c r="M267" s="220"/>
      <c r="N267" s="220"/>
      <c r="O267" s="220"/>
      <c r="P267" s="220"/>
      <c r="Q267" s="220"/>
      <c r="R267" s="220"/>
      <c r="S267" s="220"/>
      <c r="T267" s="220"/>
      <c r="U267" s="220"/>
      <c r="V267" s="220"/>
      <c r="W267" s="220"/>
      <c r="X267" s="220"/>
      <c r="Y267" s="220"/>
      <c r="Z267" s="220"/>
      <c r="AA267" s="220"/>
      <c r="AB267" s="220"/>
      <c r="AC267" s="220"/>
      <c r="AD267" s="220"/>
      <c r="AE267" s="220"/>
      <c r="AF267" s="220"/>
      <c r="AG267" s="220"/>
      <c r="AH267" s="220"/>
      <c r="AI267" s="220"/>
      <c r="AJ267" s="50"/>
      <c r="AK267" s="257"/>
      <c r="AL267" s="257"/>
      <c r="AM267" s="52"/>
      <c r="AN267" s="88"/>
    </row>
    <row r="268" spans="1:40" s="29" customFormat="1" ht="17.25" customHeight="1">
      <c r="A268" s="48"/>
      <c r="B268" s="49"/>
      <c r="C268" s="220"/>
      <c r="D268" s="220"/>
      <c r="E268" s="220"/>
      <c r="F268" s="220"/>
      <c r="G268" s="220"/>
      <c r="H268" s="220"/>
      <c r="I268" s="220"/>
      <c r="J268" s="220"/>
      <c r="K268" s="220"/>
      <c r="L268" s="220"/>
      <c r="M268" s="220"/>
      <c r="N268" s="220"/>
      <c r="O268" s="220"/>
      <c r="P268" s="220"/>
      <c r="Q268" s="220"/>
      <c r="R268" s="220"/>
      <c r="S268" s="220"/>
      <c r="T268" s="220"/>
      <c r="U268" s="220"/>
      <c r="V268" s="220"/>
      <c r="W268" s="220"/>
      <c r="X268" s="220"/>
      <c r="Y268" s="220"/>
      <c r="Z268" s="220"/>
      <c r="AA268" s="220"/>
      <c r="AB268" s="220"/>
      <c r="AC268" s="220"/>
      <c r="AD268" s="220"/>
      <c r="AE268" s="220"/>
      <c r="AF268" s="220"/>
      <c r="AG268" s="220"/>
      <c r="AH268" s="220"/>
      <c r="AI268" s="220"/>
      <c r="AJ268" s="50"/>
      <c r="AK268" s="257"/>
      <c r="AL268" s="257"/>
      <c r="AM268" s="52"/>
      <c r="AN268" s="88"/>
    </row>
    <row r="269" spans="1:40" s="29" customFormat="1" ht="17.25" customHeight="1">
      <c r="A269" s="48"/>
      <c r="B269" s="49"/>
      <c r="C269" s="220"/>
      <c r="D269" s="220"/>
      <c r="E269" s="220"/>
      <c r="F269" s="220"/>
      <c r="G269" s="220"/>
      <c r="H269" s="220"/>
      <c r="I269" s="220"/>
      <c r="J269" s="220"/>
      <c r="K269" s="220"/>
      <c r="L269" s="220"/>
      <c r="M269" s="220"/>
      <c r="N269" s="220"/>
      <c r="O269" s="220"/>
      <c r="P269" s="220"/>
      <c r="Q269" s="220"/>
      <c r="R269" s="220"/>
      <c r="S269" s="220"/>
      <c r="T269" s="220"/>
      <c r="U269" s="220"/>
      <c r="V269" s="220"/>
      <c r="W269" s="220"/>
      <c r="X269" s="220"/>
      <c r="Y269" s="220"/>
      <c r="Z269" s="220"/>
      <c r="AA269" s="220"/>
      <c r="AB269" s="220"/>
      <c r="AC269" s="220"/>
      <c r="AD269" s="220"/>
      <c r="AE269" s="220"/>
      <c r="AF269" s="220"/>
      <c r="AG269" s="220"/>
      <c r="AH269" s="220"/>
      <c r="AI269" s="220"/>
      <c r="AJ269" s="50"/>
      <c r="AK269" s="257"/>
      <c r="AL269" s="257"/>
      <c r="AM269" s="52"/>
      <c r="AN269" s="88"/>
    </row>
    <row r="270" spans="1:40" s="29" customFormat="1" ht="17.25" customHeight="1">
      <c r="A270" s="48"/>
      <c r="B270" s="49"/>
      <c r="C270" s="220"/>
      <c r="D270" s="220"/>
      <c r="E270" s="220"/>
      <c r="F270" s="220"/>
      <c r="G270" s="220"/>
      <c r="H270" s="220"/>
      <c r="I270" s="220"/>
      <c r="J270" s="220"/>
      <c r="K270" s="220"/>
      <c r="L270" s="220"/>
      <c r="M270" s="220"/>
      <c r="N270" s="220"/>
      <c r="O270" s="220"/>
      <c r="P270" s="220"/>
      <c r="Q270" s="220"/>
      <c r="R270" s="220"/>
      <c r="S270" s="220"/>
      <c r="T270" s="220"/>
      <c r="U270" s="220"/>
      <c r="V270" s="220"/>
      <c r="W270" s="220"/>
      <c r="X270" s="220"/>
      <c r="Y270" s="220"/>
      <c r="Z270" s="220"/>
      <c r="AA270" s="220"/>
      <c r="AB270" s="220"/>
      <c r="AC270" s="220"/>
      <c r="AD270" s="220"/>
      <c r="AE270" s="220"/>
      <c r="AF270" s="220"/>
      <c r="AG270" s="220"/>
      <c r="AH270" s="220"/>
      <c r="AI270" s="220"/>
      <c r="AJ270" s="50"/>
      <c r="AK270" s="257"/>
      <c r="AL270" s="257"/>
      <c r="AM270" s="52"/>
      <c r="AN270" s="88"/>
    </row>
    <row r="271" spans="1:40" s="29" customFormat="1" ht="17.25" customHeight="1">
      <c r="A271" s="48"/>
      <c r="B271" s="49"/>
      <c r="C271" s="220"/>
      <c r="D271" s="220"/>
      <c r="E271" s="220"/>
      <c r="F271" s="220"/>
      <c r="G271" s="220"/>
      <c r="H271" s="220"/>
      <c r="I271" s="220"/>
      <c r="J271" s="220"/>
      <c r="K271" s="220"/>
      <c r="L271" s="220"/>
      <c r="M271" s="220"/>
      <c r="N271" s="220"/>
      <c r="O271" s="220"/>
      <c r="P271" s="220"/>
      <c r="Q271" s="220"/>
      <c r="R271" s="220"/>
      <c r="S271" s="220"/>
      <c r="T271" s="220"/>
      <c r="U271" s="220"/>
      <c r="V271" s="220"/>
      <c r="W271" s="220"/>
      <c r="X271" s="220"/>
      <c r="Y271" s="220"/>
      <c r="Z271" s="220"/>
      <c r="AA271" s="220"/>
      <c r="AB271" s="220"/>
      <c r="AC271" s="220"/>
      <c r="AD271" s="220"/>
      <c r="AE271" s="220"/>
      <c r="AF271" s="220"/>
      <c r="AG271" s="220"/>
      <c r="AH271" s="220"/>
      <c r="AI271" s="220"/>
      <c r="AJ271" s="50"/>
      <c r="AK271" s="257"/>
      <c r="AL271" s="257"/>
      <c r="AM271" s="52"/>
      <c r="AN271" s="88"/>
    </row>
    <row r="272" spans="1:40" s="29" customFormat="1" ht="17.25" customHeight="1">
      <c r="A272" s="48"/>
      <c r="B272" s="49"/>
      <c r="C272" s="220"/>
      <c r="D272" s="220"/>
      <c r="E272" s="220"/>
      <c r="F272" s="220"/>
      <c r="G272" s="220"/>
      <c r="H272" s="220"/>
      <c r="I272" s="220"/>
      <c r="J272" s="220"/>
      <c r="K272" s="220"/>
      <c r="L272" s="220"/>
      <c r="M272" s="220"/>
      <c r="N272" s="220"/>
      <c r="O272" s="220"/>
      <c r="P272" s="220"/>
      <c r="Q272" s="220"/>
      <c r="R272" s="220"/>
      <c r="S272" s="220"/>
      <c r="T272" s="220"/>
      <c r="U272" s="220"/>
      <c r="V272" s="220"/>
      <c r="W272" s="220"/>
      <c r="X272" s="220"/>
      <c r="Y272" s="220"/>
      <c r="Z272" s="220"/>
      <c r="AA272" s="220"/>
      <c r="AB272" s="220"/>
      <c r="AC272" s="220"/>
      <c r="AD272" s="220"/>
      <c r="AE272" s="220"/>
      <c r="AF272" s="220"/>
      <c r="AG272" s="220"/>
      <c r="AH272" s="220"/>
      <c r="AI272" s="220"/>
      <c r="AJ272" s="50"/>
      <c r="AK272" s="257"/>
      <c r="AL272" s="257"/>
      <c r="AM272" s="52"/>
      <c r="AN272" s="88"/>
    </row>
    <row r="273" spans="1:40" s="29" customFormat="1" ht="17.25" customHeight="1">
      <c r="A273" s="48"/>
      <c r="B273" s="49"/>
      <c r="C273" s="220"/>
      <c r="D273" s="220"/>
      <c r="E273" s="220"/>
      <c r="F273" s="220"/>
      <c r="G273" s="220"/>
      <c r="H273" s="220"/>
      <c r="I273" s="220"/>
      <c r="J273" s="220"/>
      <c r="K273" s="220"/>
      <c r="L273" s="220"/>
      <c r="M273" s="220"/>
      <c r="N273" s="220"/>
      <c r="O273" s="220"/>
      <c r="P273" s="220"/>
      <c r="Q273" s="220"/>
      <c r="R273" s="220"/>
      <c r="S273" s="220"/>
      <c r="T273" s="220"/>
      <c r="U273" s="220"/>
      <c r="V273" s="220"/>
      <c r="W273" s="220"/>
      <c r="X273" s="220"/>
      <c r="Y273" s="220"/>
      <c r="Z273" s="220"/>
      <c r="AA273" s="220"/>
      <c r="AB273" s="220"/>
      <c r="AC273" s="220"/>
      <c r="AD273" s="220"/>
      <c r="AE273" s="220"/>
      <c r="AF273" s="220"/>
      <c r="AG273" s="220"/>
      <c r="AH273" s="220"/>
      <c r="AI273" s="220"/>
      <c r="AJ273" s="50"/>
      <c r="AK273" s="257"/>
      <c r="AL273" s="257"/>
      <c r="AM273" s="52"/>
      <c r="AN273" s="88"/>
    </row>
    <row r="274" spans="1:40" s="29" customFormat="1" ht="17.25" customHeight="1">
      <c r="A274" s="48"/>
      <c r="B274" s="49"/>
      <c r="C274" s="220"/>
      <c r="D274" s="220"/>
      <c r="E274" s="220"/>
      <c r="F274" s="220"/>
      <c r="G274" s="220"/>
      <c r="H274" s="220"/>
      <c r="I274" s="220"/>
      <c r="J274" s="220"/>
      <c r="K274" s="220"/>
      <c r="L274" s="220"/>
      <c r="M274" s="220"/>
      <c r="N274" s="220"/>
      <c r="O274" s="220"/>
      <c r="P274" s="220"/>
      <c r="Q274" s="220"/>
      <c r="R274" s="220"/>
      <c r="S274" s="220"/>
      <c r="T274" s="220"/>
      <c r="U274" s="220"/>
      <c r="V274" s="220"/>
      <c r="W274" s="220"/>
      <c r="X274" s="220"/>
      <c r="Y274" s="220"/>
      <c r="Z274" s="220"/>
      <c r="AA274" s="220"/>
      <c r="AB274" s="220"/>
      <c r="AC274" s="220"/>
      <c r="AD274" s="220"/>
      <c r="AE274" s="220"/>
      <c r="AF274" s="220"/>
      <c r="AG274" s="220"/>
      <c r="AH274" s="220"/>
      <c r="AI274" s="220"/>
      <c r="AJ274" s="50"/>
      <c r="AK274" s="257"/>
      <c r="AL274" s="257"/>
      <c r="AM274" s="52"/>
      <c r="AN274" s="88"/>
    </row>
    <row r="275" spans="1:40" s="29" customFormat="1" ht="17.25" customHeight="1">
      <c r="A275" s="48"/>
      <c r="B275" s="49"/>
      <c r="C275" s="220"/>
      <c r="D275" s="220"/>
      <c r="E275" s="220"/>
      <c r="F275" s="220"/>
      <c r="G275" s="220"/>
      <c r="H275" s="220"/>
      <c r="I275" s="220"/>
      <c r="J275" s="220"/>
      <c r="K275" s="220"/>
      <c r="L275" s="220"/>
      <c r="M275" s="220"/>
      <c r="N275" s="220"/>
      <c r="O275" s="220"/>
      <c r="P275" s="220"/>
      <c r="Q275" s="220"/>
      <c r="R275" s="220"/>
      <c r="S275" s="220"/>
      <c r="T275" s="220"/>
      <c r="U275" s="220"/>
      <c r="V275" s="220"/>
      <c r="W275" s="220"/>
      <c r="X275" s="220"/>
      <c r="Y275" s="220"/>
      <c r="Z275" s="220"/>
      <c r="AA275" s="220"/>
      <c r="AB275" s="220"/>
      <c r="AC275" s="220"/>
      <c r="AD275" s="220"/>
      <c r="AE275" s="220"/>
      <c r="AF275" s="220"/>
      <c r="AG275" s="220"/>
      <c r="AH275" s="220"/>
      <c r="AI275" s="220"/>
      <c r="AJ275" s="50"/>
      <c r="AK275" s="257"/>
      <c r="AL275" s="257"/>
      <c r="AM275" s="52"/>
      <c r="AN275" s="88"/>
    </row>
    <row r="276" spans="1:40" s="29" customFormat="1" ht="17.25" customHeight="1">
      <c r="A276" s="48"/>
      <c r="B276" s="49"/>
      <c r="C276" s="220"/>
      <c r="D276" s="220"/>
      <c r="E276" s="220"/>
      <c r="F276" s="220"/>
      <c r="G276" s="220"/>
      <c r="H276" s="220"/>
      <c r="I276" s="220"/>
      <c r="J276" s="220"/>
      <c r="K276" s="220"/>
      <c r="L276" s="220"/>
      <c r="M276" s="220"/>
      <c r="N276" s="220"/>
      <c r="O276" s="220"/>
      <c r="P276" s="220"/>
      <c r="Q276" s="220"/>
      <c r="R276" s="220"/>
      <c r="S276" s="220"/>
      <c r="T276" s="220"/>
      <c r="U276" s="220"/>
      <c r="V276" s="220"/>
      <c r="W276" s="220"/>
      <c r="X276" s="220"/>
      <c r="Y276" s="220"/>
      <c r="Z276" s="220"/>
      <c r="AA276" s="220"/>
      <c r="AB276" s="220"/>
      <c r="AC276" s="220"/>
      <c r="AD276" s="220"/>
      <c r="AE276" s="220"/>
      <c r="AF276" s="220"/>
      <c r="AG276" s="220"/>
      <c r="AH276" s="220"/>
      <c r="AI276" s="220"/>
      <c r="AJ276" s="50"/>
      <c r="AK276" s="257"/>
      <c r="AL276" s="257"/>
      <c r="AM276" s="52"/>
      <c r="AN276" s="88"/>
    </row>
    <row r="277" spans="1:40" s="29" customFormat="1" ht="17.25" customHeight="1">
      <c r="A277" s="48"/>
      <c r="B277" s="49"/>
      <c r="C277" s="220"/>
      <c r="D277" s="220"/>
      <c r="E277" s="220"/>
      <c r="F277" s="220"/>
      <c r="G277" s="220"/>
      <c r="H277" s="220"/>
      <c r="I277" s="220"/>
      <c r="J277" s="220"/>
      <c r="K277" s="220"/>
      <c r="L277" s="220"/>
      <c r="M277" s="220"/>
      <c r="N277" s="220"/>
      <c r="O277" s="220"/>
      <c r="P277" s="220"/>
      <c r="Q277" s="220"/>
      <c r="R277" s="220"/>
      <c r="S277" s="220"/>
      <c r="T277" s="220"/>
      <c r="U277" s="220"/>
      <c r="V277" s="220"/>
      <c r="W277" s="220"/>
      <c r="X277" s="220"/>
      <c r="Y277" s="220"/>
      <c r="Z277" s="220"/>
      <c r="AA277" s="220"/>
      <c r="AB277" s="220"/>
      <c r="AC277" s="220"/>
      <c r="AD277" s="220"/>
      <c r="AE277" s="220"/>
      <c r="AF277" s="220"/>
      <c r="AG277" s="220"/>
      <c r="AH277" s="220"/>
      <c r="AI277" s="220"/>
      <c r="AJ277" s="50"/>
      <c r="AK277" s="257"/>
      <c r="AL277" s="257"/>
      <c r="AM277" s="52"/>
      <c r="AN277" s="88"/>
    </row>
    <row r="278" spans="1:40" s="29" customFormat="1" ht="17.25" customHeight="1">
      <c r="A278" s="48"/>
      <c r="B278" s="49"/>
      <c r="C278" s="220"/>
      <c r="D278" s="220"/>
      <c r="E278" s="220"/>
      <c r="F278" s="220"/>
      <c r="G278" s="220"/>
      <c r="H278" s="220"/>
      <c r="I278" s="220"/>
      <c r="J278" s="220"/>
      <c r="K278" s="220"/>
      <c r="L278" s="220"/>
      <c r="M278" s="220"/>
      <c r="N278" s="220"/>
      <c r="O278" s="220"/>
      <c r="P278" s="220"/>
      <c r="Q278" s="220"/>
      <c r="R278" s="220"/>
      <c r="S278" s="220"/>
      <c r="T278" s="220"/>
      <c r="U278" s="220"/>
      <c r="V278" s="220"/>
      <c r="W278" s="220"/>
      <c r="X278" s="220"/>
      <c r="Y278" s="220"/>
      <c r="Z278" s="220"/>
      <c r="AA278" s="220"/>
      <c r="AB278" s="220"/>
      <c r="AC278" s="220"/>
      <c r="AD278" s="220"/>
      <c r="AE278" s="220"/>
      <c r="AF278" s="220"/>
      <c r="AG278" s="220"/>
      <c r="AH278" s="220"/>
      <c r="AI278" s="220"/>
      <c r="AJ278" s="50"/>
      <c r="AK278" s="257"/>
      <c r="AL278" s="257"/>
      <c r="AM278" s="52"/>
      <c r="AN278" s="88"/>
    </row>
    <row r="279" spans="1:40" s="29" customFormat="1" ht="17.25" customHeight="1">
      <c r="A279" s="48"/>
      <c r="B279" s="49"/>
      <c r="C279" s="220"/>
      <c r="D279" s="220"/>
      <c r="E279" s="220"/>
      <c r="F279" s="220"/>
      <c r="G279" s="220"/>
      <c r="H279" s="220"/>
      <c r="I279" s="220"/>
      <c r="J279" s="220"/>
      <c r="K279" s="220"/>
      <c r="L279" s="220"/>
      <c r="M279" s="220"/>
      <c r="N279" s="220"/>
      <c r="O279" s="220"/>
      <c r="P279" s="220"/>
      <c r="Q279" s="220"/>
      <c r="R279" s="220"/>
      <c r="S279" s="220"/>
      <c r="T279" s="220"/>
      <c r="U279" s="220"/>
      <c r="V279" s="220"/>
      <c r="W279" s="220"/>
      <c r="X279" s="220"/>
      <c r="Y279" s="220"/>
      <c r="Z279" s="220"/>
      <c r="AA279" s="220"/>
      <c r="AB279" s="220"/>
      <c r="AC279" s="220"/>
      <c r="AD279" s="220"/>
      <c r="AE279" s="220"/>
      <c r="AF279" s="220"/>
      <c r="AG279" s="220"/>
      <c r="AH279" s="220"/>
      <c r="AI279" s="220"/>
      <c r="AJ279" s="50"/>
      <c r="AK279" s="257"/>
      <c r="AL279" s="257"/>
      <c r="AM279" s="52"/>
      <c r="AN279" s="88"/>
    </row>
    <row r="280" spans="1:40" s="29" customFormat="1" ht="17.25" customHeight="1">
      <c r="A280" s="48"/>
      <c r="B280" s="49"/>
      <c r="C280" s="220"/>
      <c r="D280" s="220"/>
      <c r="E280" s="220"/>
      <c r="F280" s="220"/>
      <c r="G280" s="220"/>
      <c r="H280" s="220"/>
      <c r="I280" s="220"/>
      <c r="J280" s="220"/>
      <c r="K280" s="220"/>
      <c r="L280" s="220"/>
      <c r="M280" s="220"/>
      <c r="N280" s="220"/>
      <c r="O280" s="220"/>
      <c r="P280" s="220"/>
      <c r="Q280" s="220"/>
      <c r="R280" s="220"/>
      <c r="S280" s="220"/>
      <c r="T280" s="220"/>
      <c r="U280" s="220"/>
      <c r="V280" s="220"/>
      <c r="W280" s="220"/>
      <c r="X280" s="220"/>
      <c r="Y280" s="220"/>
      <c r="Z280" s="220"/>
      <c r="AA280" s="220"/>
      <c r="AB280" s="220"/>
      <c r="AC280" s="220"/>
      <c r="AD280" s="220"/>
      <c r="AE280" s="220"/>
      <c r="AF280" s="220"/>
      <c r="AG280" s="220"/>
      <c r="AH280" s="220"/>
      <c r="AI280" s="220"/>
      <c r="AJ280" s="50"/>
      <c r="AK280" s="257"/>
      <c r="AL280" s="257"/>
      <c r="AM280" s="52"/>
      <c r="AN280" s="88"/>
    </row>
    <row r="281" spans="1:40" s="29" customFormat="1" ht="17.25" customHeight="1">
      <c r="A281" s="48"/>
      <c r="B281" s="49"/>
      <c r="C281" s="220"/>
      <c r="D281" s="220"/>
      <c r="E281" s="220"/>
      <c r="F281" s="220"/>
      <c r="G281" s="220"/>
      <c r="H281" s="220"/>
      <c r="I281" s="220"/>
      <c r="J281" s="220"/>
      <c r="K281" s="220"/>
      <c r="L281" s="220"/>
      <c r="M281" s="220"/>
      <c r="N281" s="220"/>
      <c r="O281" s="220"/>
      <c r="P281" s="220"/>
      <c r="Q281" s="220"/>
      <c r="R281" s="220"/>
      <c r="S281" s="220"/>
      <c r="T281" s="220"/>
      <c r="U281" s="220"/>
      <c r="V281" s="220"/>
      <c r="W281" s="220"/>
      <c r="X281" s="220"/>
      <c r="Y281" s="220"/>
      <c r="Z281" s="220"/>
      <c r="AA281" s="220"/>
      <c r="AB281" s="220"/>
      <c r="AC281" s="220"/>
      <c r="AD281" s="220"/>
      <c r="AE281" s="220"/>
      <c r="AF281" s="220"/>
      <c r="AG281" s="220"/>
      <c r="AH281" s="220"/>
      <c r="AI281" s="220"/>
      <c r="AJ281" s="50"/>
      <c r="AK281" s="257"/>
      <c r="AL281" s="257"/>
      <c r="AM281" s="52"/>
      <c r="AN281" s="88"/>
    </row>
    <row r="282" spans="1:40" s="29" customFormat="1" ht="17.25" customHeight="1">
      <c r="A282" s="48"/>
      <c r="B282" s="49"/>
      <c r="C282" s="220"/>
      <c r="D282" s="220"/>
      <c r="E282" s="220"/>
      <c r="F282" s="220"/>
      <c r="G282" s="220"/>
      <c r="H282" s="220"/>
      <c r="I282" s="220"/>
      <c r="J282" s="220"/>
      <c r="K282" s="220"/>
      <c r="L282" s="220"/>
      <c r="M282" s="220"/>
      <c r="N282" s="220"/>
      <c r="O282" s="220"/>
      <c r="P282" s="220"/>
      <c r="Q282" s="220"/>
      <c r="R282" s="220"/>
      <c r="S282" s="220"/>
      <c r="T282" s="220"/>
      <c r="U282" s="220"/>
      <c r="V282" s="220"/>
      <c r="W282" s="220"/>
      <c r="X282" s="220"/>
      <c r="Y282" s="220"/>
      <c r="Z282" s="220"/>
      <c r="AA282" s="220"/>
      <c r="AB282" s="220"/>
      <c r="AC282" s="220"/>
      <c r="AD282" s="220"/>
      <c r="AE282" s="220"/>
      <c r="AF282" s="220"/>
      <c r="AG282" s="220"/>
      <c r="AH282" s="220"/>
      <c r="AI282" s="220"/>
      <c r="AJ282" s="50"/>
      <c r="AK282" s="257"/>
      <c r="AL282" s="257"/>
      <c r="AM282" s="52"/>
      <c r="AN282" s="88"/>
    </row>
    <row r="283" spans="1:40" s="29" customFormat="1" ht="17.25" customHeight="1">
      <c r="A283" s="48"/>
      <c r="B283" s="49"/>
      <c r="C283" s="220"/>
      <c r="D283" s="220"/>
      <c r="E283" s="220"/>
      <c r="F283" s="220"/>
      <c r="G283" s="220"/>
      <c r="H283" s="220"/>
      <c r="I283" s="220"/>
      <c r="J283" s="220"/>
      <c r="K283" s="220"/>
      <c r="L283" s="220"/>
      <c r="M283" s="220"/>
      <c r="N283" s="220"/>
      <c r="O283" s="220"/>
      <c r="P283" s="220"/>
      <c r="Q283" s="220"/>
      <c r="R283" s="220"/>
      <c r="S283" s="220"/>
      <c r="T283" s="220"/>
      <c r="U283" s="220"/>
      <c r="V283" s="220"/>
      <c r="W283" s="220"/>
      <c r="X283" s="220"/>
      <c r="Y283" s="220"/>
      <c r="Z283" s="220"/>
      <c r="AA283" s="220"/>
      <c r="AB283" s="220"/>
      <c r="AC283" s="220"/>
      <c r="AD283" s="220"/>
      <c r="AE283" s="220"/>
      <c r="AF283" s="220"/>
      <c r="AG283" s="220"/>
      <c r="AH283" s="220"/>
      <c r="AI283" s="220"/>
      <c r="AJ283" s="50"/>
      <c r="AK283" s="257"/>
      <c r="AL283" s="257"/>
      <c r="AM283" s="52"/>
      <c r="AN283" s="88"/>
    </row>
    <row r="284" spans="1:40" s="29" customFormat="1" ht="17.25" customHeight="1">
      <c r="A284" s="48"/>
      <c r="B284" s="49"/>
      <c r="C284" s="220"/>
      <c r="D284" s="220"/>
      <c r="E284" s="220"/>
      <c r="F284" s="220"/>
      <c r="G284" s="220"/>
      <c r="H284" s="220"/>
      <c r="I284" s="220"/>
      <c r="J284" s="220"/>
      <c r="K284" s="220"/>
      <c r="L284" s="220"/>
      <c r="M284" s="220"/>
      <c r="N284" s="220"/>
      <c r="O284" s="220"/>
      <c r="P284" s="220"/>
      <c r="Q284" s="220"/>
      <c r="R284" s="220"/>
      <c r="S284" s="220"/>
      <c r="T284" s="220"/>
      <c r="U284" s="220"/>
      <c r="V284" s="220"/>
      <c r="W284" s="220"/>
      <c r="X284" s="220"/>
      <c r="Y284" s="220"/>
      <c r="Z284" s="220"/>
      <c r="AA284" s="220"/>
      <c r="AB284" s="220"/>
      <c r="AC284" s="220"/>
      <c r="AD284" s="220"/>
      <c r="AE284" s="220"/>
      <c r="AF284" s="220"/>
      <c r="AG284" s="220"/>
      <c r="AH284" s="220"/>
      <c r="AI284" s="220"/>
      <c r="AJ284" s="50"/>
      <c r="AK284" s="257"/>
      <c r="AL284" s="257"/>
      <c r="AM284" s="52"/>
      <c r="AN284" s="88"/>
    </row>
    <row r="285" spans="1:40" s="29" customFormat="1" ht="17.25" customHeight="1">
      <c r="A285" s="48"/>
      <c r="B285" s="49"/>
      <c r="C285" s="220"/>
      <c r="D285" s="220"/>
      <c r="E285" s="220"/>
      <c r="F285" s="220"/>
      <c r="G285" s="220"/>
      <c r="H285" s="220"/>
      <c r="I285" s="220"/>
      <c r="J285" s="220"/>
      <c r="K285" s="220"/>
      <c r="L285" s="220"/>
      <c r="M285" s="220"/>
      <c r="N285" s="220"/>
      <c r="O285" s="220"/>
      <c r="P285" s="220"/>
      <c r="Q285" s="220"/>
      <c r="R285" s="220"/>
      <c r="S285" s="220"/>
      <c r="T285" s="220"/>
      <c r="U285" s="220"/>
      <c r="V285" s="220"/>
      <c r="W285" s="220"/>
      <c r="X285" s="220"/>
      <c r="Y285" s="220"/>
      <c r="Z285" s="220"/>
      <c r="AA285" s="220"/>
      <c r="AB285" s="220"/>
      <c r="AC285" s="220"/>
      <c r="AD285" s="220"/>
      <c r="AE285" s="220"/>
      <c r="AF285" s="220"/>
      <c r="AG285" s="220"/>
      <c r="AH285" s="220"/>
      <c r="AI285" s="220"/>
      <c r="AJ285" s="50"/>
      <c r="AK285" s="257"/>
      <c r="AL285" s="257"/>
      <c r="AM285" s="52"/>
      <c r="AN285" s="88"/>
    </row>
    <row r="286" spans="1:40" s="29" customFormat="1" ht="17.25" customHeight="1">
      <c r="A286" s="48"/>
      <c r="B286" s="49"/>
      <c r="C286" s="220"/>
      <c r="D286" s="220"/>
      <c r="E286" s="220"/>
      <c r="F286" s="220"/>
      <c r="G286" s="220"/>
      <c r="H286" s="220"/>
      <c r="I286" s="220"/>
      <c r="J286" s="220"/>
      <c r="K286" s="220"/>
      <c r="L286" s="220"/>
      <c r="M286" s="220"/>
      <c r="N286" s="220"/>
      <c r="O286" s="220"/>
      <c r="P286" s="220"/>
      <c r="Q286" s="220"/>
      <c r="R286" s="220"/>
      <c r="S286" s="220"/>
      <c r="T286" s="220"/>
      <c r="U286" s="220"/>
      <c r="V286" s="220"/>
      <c r="W286" s="220"/>
      <c r="X286" s="220"/>
      <c r="Y286" s="220"/>
      <c r="Z286" s="220"/>
      <c r="AA286" s="220"/>
      <c r="AB286" s="220"/>
      <c r="AC286" s="220"/>
      <c r="AD286" s="220"/>
      <c r="AE286" s="220"/>
      <c r="AF286" s="220"/>
      <c r="AG286" s="220"/>
      <c r="AH286" s="220"/>
      <c r="AI286" s="220"/>
      <c r="AJ286" s="50"/>
      <c r="AK286" s="257"/>
      <c r="AL286" s="257"/>
      <c r="AM286" s="52"/>
      <c r="AN286" s="88"/>
    </row>
    <row r="287" spans="1:40" s="29" customFormat="1" ht="17.25" customHeight="1">
      <c r="A287" s="48"/>
      <c r="B287" s="49"/>
      <c r="C287" s="220"/>
      <c r="D287" s="220"/>
      <c r="E287" s="220"/>
      <c r="F287" s="220"/>
      <c r="G287" s="220"/>
      <c r="H287" s="220"/>
      <c r="I287" s="220"/>
      <c r="J287" s="220"/>
      <c r="K287" s="220"/>
      <c r="L287" s="220"/>
      <c r="M287" s="220"/>
      <c r="N287" s="220"/>
      <c r="O287" s="220"/>
      <c r="P287" s="220"/>
      <c r="Q287" s="220"/>
      <c r="R287" s="220"/>
      <c r="S287" s="220"/>
      <c r="T287" s="220"/>
      <c r="U287" s="220"/>
      <c r="V287" s="220"/>
      <c r="W287" s="220"/>
      <c r="X287" s="220"/>
      <c r="Y287" s="220"/>
      <c r="Z287" s="220"/>
      <c r="AA287" s="220"/>
      <c r="AB287" s="220"/>
      <c r="AC287" s="220"/>
      <c r="AD287" s="220"/>
      <c r="AE287" s="220"/>
      <c r="AF287" s="220"/>
      <c r="AG287" s="220"/>
      <c r="AH287" s="220"/>
      <c r="AI287" s="220"/>
      <c r="AJ287" s="50"/>
      <c r="AK287" s="257"/>
      <c r="AL287" s="257"/>
      <c r="AM287" s="52"/>
      <c r="AN287" s="88"/>
    </row>
    <row r="288" spans="1:40" s="29" customFormat="1" ht="17.25" customHeight="1">
      <c r="A288" s="48"/>
      <c r="B288" s="49"/>
      <c r="C288" s="220"/>
      <c r="D288" s="220"/>
      <c r="E288" s="220"/>
      <c r="F288" s="220"/>
      <c r="G288" s="220"/>
      <c r="H288" s="220"/>
      <c r="I288" s="220"/>
      <c r="J288" s="220"/>
      <c r="K288" s="220"/>
      <c r="L288" s="220"/>
      <c r="M288" s="220"/>
      <c r="N288" s="220"/>
      <c r="O288" s="220"/>
      <c r="P288" s="220"/>
      <c r="Q288" s="220"/>
      <c r="R288" s="220"/>
      <c r="S288" s="220"/>
      <c r="T288" s="220"/>
      <c r="U288" s="220"/>
      <c r="V288" s="220"/>
      <c r="W288" s="220"/>
      <c r="X288" s="220"/>
      <c r="Y288" s="220"/>
      <c r="Z288" s="220"/>
      <c r="AA288" s="220"/>
      <c r="AB288" s="220"/>
      <c r="AC288" s="220"/>
      <c r="AD288" s="220"/>
      <c r="AE288" s="220"/>
      <c r="AF288" s="220"/>
      <c r="AG288" s="220"/>
      <c r="AH288" s="220"/>
      <c r="AI288" s="220"/>
      <c r="AJ288" s="50"/>
      <c r="AK288" s="257"/>
      <c r="AL288" s="257"/>
      <c r="AM288" s="52"/>
      <c r="AN288" s="88"/>
    </row>
    <row r="289" spans="1:40" s="29" customFormat="1" ht="17.25" customHeight="1">
      <c r="A289" s="48"/>
      <c r="B289" s="49"/>
      <c r="C289" s="220"/>
      <c r="D289" s="220"/>
      <c r="E289" s="220"/>
      <c r="F289" s="220"/>
      <c r="G289" s="220"/>
      <c r="H289" s="220"/>
      <c r="I289" s="220"/>
      <c r="J289" s="220"/>
      <c r="K289" s="220"/>
      <c r="L289" s="220"/>
      <c r="M289" s="220"/>
      <c r="N289" s="220"/>
      <c r="O289" s="220"/>
      <c r="P289" s="220"/>
      <c r="Q289" s="220"/>
      <c r="R289" s="220"/>
      <c r="S289" s="220"/>
      <c r="T289" s="220"/>
      <c r="U289" s="220"/>
      <c r="V289" s="220"/>
      <c r="W289" s="220"/>
      <c r="X289" s="220"/>
      <c r="Y289" s="220"/>
      <c r="Z289" s="220"/>
      <c r="AA289" s="220"/>
      <c r="AB289" s="220"/>
      <c r="AC289" s="220"/>
      <c r="AD289" s="220"/>
      <c r="AE289" s="220"/>
      <c r="AF289" s="220"/>
      <c r="AG289" s="220"/>
      <c r="AH289" s="220"/>
      <c r="AI289" s="220"/>
      <c r="AJ289" s="50"/>
      <c r="AK289" s="257"/>
      <c r="AL289" s="257"/>
      <c r="AM289" s="52"/>
      <c r="AN289" s="88"/>
    </row>
    <row r="290" spans="1:40" s="29" customFormat="1" ht="17.25" customHeight="1">
      <c r="A290" s="48"/>
      <c r="B290" s="49"/>
      <c r="C290" s="220"/>
      <c r="D290" s="220"/>
      <c r="E290" s="220"/>
      <c r="F290" s="220"/>
      <c r="G290" s="220"/>
      <c r="H290" s="220"/>
      <c r="I290" s="220"/>
      <c r="J290" s="220"/>
      <c r="K290" s="220"/>
      <c r="L290" s="220"/>
      <c r="M290" s="220"/>
      <c r="N290" s="220"/>
      <c r="O290" s="220"/>
      <c r="P290" s="220"/>
      <c r="Q290" s="220"/>
      <c r="R290" s="220"/>
      <c r="S290" s="220"/>
      <c r="T290" s="220"/>
      <c r="U290" s="220"/>
      <c r="V290" s="220"/>
      <c r="W290" s="220"/>
      <c r="X290" s="220"/>
      <c r="Y290" s="220"/>
      <c r="Z290" s="220"/>
      <c r="AA290" s="220"/>
      <c r="AB290" s="220"/>
      <c r="AC290" s="220"/>
      <c r="AD290" s="220"/>
      <c r="AE290" s="220"/>
      <c r="AF290" s="220"/>
      <c r="AG290" s="220"/>
      <c r="AH290" s="220"/>
      <c r="AI290" s="220"/>
      <c r="AJ290" s="50"/>
      <c r="AK290" s="257"/>
      <c r="AL290" s="257"/>
      <c r="AM290" s="52"/>
      <c r="AN290" s="88"/>
    </row>
    <row r="291" spans="1:40" s="29" customFormat="1" ht="17.25" customHeight="1">
      <c r="A291" s="48"/>
      <c r="B291" s="49"/>
      <c r="C291" s="220"/>
      <c r="D291" s="220"/>
      <c r="E291" s="220"/>
      <c r="F291" s="220"/>
      <c r="G291" s="220"/>
      <c r="H291" s="220"/>
      <c r="I291" s="220"/>
      <c r="J291" s="220"/>
      <c r="K291" s="220"/>
      <c r="L291" s="220"/>
      <c r="M291" s="220"/>
      <c r="N291" s="220"/>
      <c r="O291" s="220"/>
      <c r="P291" s="220"/>
      <c r="Q291" s="220"/>
      <c r="R291" s="220"/>
      <c r="S291" s="220"/>
      <c r="T291" s="220"/>
      <c r="U291" s="220"/>
      <c r="V291" s="220"/>
      <c r="W291" s="220"/>
      <c r="X291" s="220"/>
      <c r="Y291" s="220"/>
      <c r="Z291" s="220"/>
      <c r="AA291" s="220"/>
      <c r="AB291" s="220"/>
      <c r="AC291" s="220"/>
      <c r="AD291" s="220"/>
      <c r="AE291" s="220"/>
      <c r="AF291" s="220"/>
      <c r="AG291" s="220"/>
      <c r="AH291" s="220"/>
      <c r="AI291" s="220"/>
      <c r="AJ291" s="50"/>
      <c r="AK291" s="257"/>
      <c r="AL291" s="257"/>
      <c r="AM291" s="52"/>
      <c r="AN291" s="88"/>
    </row>
    <row r="292" spans="1:40" s="29" customFormat="1" ht="17.25" customHeight="1">
      <c r="A292" s="48"/>
      <c r="B292" s="49"/>
      <c r="C292" s="220"/>
      <c r="D292" s="220"/>
      <c r="E292" s="220"/>
      <c r="F292" s="220"/>
      <c r="G292" s="220"/>
      <c r="H292" s="220"/>
      <c r="I292" s="220"/>
      <c r="J292" s="220"/>
      <c r="K292" s="220"/>
      <c r="L292" s="220"/>
      <c r="M292" s="220"/>
      <c r="N292" s="220"/>
      <c r="O292" s="220"/>
      <c r="P292" s="220"/>
      <c r="Q292" s="220"/>
      <c r="R292" s="220"/>
      <c r="S292" s="220"/>
      <c r="T292" s="220"/>
      <c r="U292" s="220"/>
      <c r="V292" s="220"/>
      <c r="W292" s="220"/>
      <c r="X292" s="220"/>
      <c r="Y292" s="220"/>
      <c r="Z292" s="220"/>
      <c r="AA292" s="220"/>
      <c r="AB292" s="220"/>
      <c r="AC292" s="220"/>
      <c r="AD292" s="220"/>
      <c r="AE292" s="220"/>
      <c r="AF292" s="220"/>
      <c r="AG292" s="220"/>
      <c r="AH292" s="220"/>
      <c r="AI292" s="220"/>
      <c r="AJ292" s="50"/>
      <c r="AK292" s="257"/>
      <c r="AL292" s="257"/>
      <c r="AM292" s="52"/>
      <c r="AN292" s="88"/>
    </row>
    <row r="293" spans="1:40" s="29" customFormat="1" ht="17.25" customHeight="1">
      <c r="A293" s="48"/>
      <c r="B293" s="49"/>
      <c r="C293" s="220"/>
      <c r="D293" s="220"/>
      <c r="E293" s="220"/>
      <c r="F293" s="220"/>
      <c r="G293" s="220"/>
      <c r="H293" s="220"/>
      <c r="I293" s="220"/>
      <c r="J293" s="220"/>
      <c r="K293" s="220"/>
      <c r="L293" s="220"/>
      <c r="M293" s="220"/>
      <c r="N293" s="220"/>
      <c r="O293" s="220"/>
      <c r="P293" s="220"/>
      <c r="Q293" s="220"/>
      <c r="R293" s="220"/>
      <c r="S293" s="220"/>
      <c r="T293" s="220"/>
      <c r="U293" s="220"/>
      <c r="V293" s="220"/>
      <c r="W293" s="220"/>
      <c r="X293" s="220"/>
      <c r="Y293" s="220"/>
      <c r="Z293" s="220"/>
      <c r="AA293" s="220"/>
      <c r="AB293" s="220"/>
      <c r="AC293" s="220"/>
      <c r="AD293" s="220"/>
      <c r="AE293" s="220"/>
      <c r="AF293" s="220"/>
      <c r="AG293" s="220"/>
      <c r="AH293" s="220"/>
      <c r="AI293" s="220"/>
      <c r="AJ293" s="50"/>
      <c r="AK293" s="257"/>
      <c r="AL293" s="257"/>
      <c r="AM293" s="52"/>
      <c r="AN293" s="88"/>
    </row>
    <row r="294" spans="1:40" s="29" customFormat="1" ht="17.25" customHeight="1">
      <c r="A294" s="48"/>
      <c r="B294" s="49"/>
      <c r="C294" s="220"/>
      <c r="D294" s="220"/>
      <c r="E294" s="220"/>
      <c r="F294" s="220"/>
      <c r="G294" s="220"/>
      <c r="H294" s="220"/>
      <c r="I294" s="220"/>
      <c r="J294" s="220"/>
      <c r="K294" s="220"/>
      <c r="L294" s="220"/>
      <c r="M294" s="220"/>
      <c r="N294" s="220"/>
      <c r="O294" s="220"/>
      <c r="P294" s="220"/>
      <c r="Q294" s="220"/>
      <c r="R294" s="220"/>
      <c r="S294" s="220"/>
      <c r="T294" s="220"/>
      <c r="U294" s="220"/>
      <c r="V294" s="220"/>
      <c r="W294" s="220"/>
      <c r="X294" s="220"/>
      <c r="Y294" s="220"/>
      <c r="Z294" s="220"/>
      <c r="AA294" s="220"/>
      <c r="AB294" s="220"/>
      <c r="AC294" s="220"/>
      <c r="AD294" s="220"/>
      <c r="AE294" s="220"/>
      <c r="AF294" s="220"/>
      <c r="AG294" s="220"/>
      <c r="AH294" s="220"/>
      <c r="AI294" s="220"/>
      <c r="AJ294" s="50"/>
      <c r="AK294" s="257"/>
      <c r="AL294" s="257"/>
      <c r="AM294" s="52"/>
      <c r="AN294" s="88"/>
    </row>
    <row r="295" spans="1:40" s="29" customFormat="1" ht="17.25" customHeight="1">
      <c r="A295" s="48"/>
      <c r="B295" s="49"/>
      <c r="C295" s="220"/>
      <c r="D295" s="220"/>
      <c r="E295" s="220"/>
      <c r="F295" s="220"/>
      <c r="G295" s="220"/>
      <c r="H295" s="220"/>
      <c r="I295" s="220"/>
      <c r="J295" s="220"/>
      <c r="K295" s="220"/>
      <c r="L295" s="220"/>
      <c r="M295" s="220"/>
      <c r="N295" s="220"/>
      <c r="O295" s="220"/>
      <c r="P295" s="220"/>
      <c r="Q295" s="220"/>
      <c r="R295" s="220"/>
      <c r="S295" s="220"/>
      <c r="T295" s="220"/>
      <c r="U295" s="220"/>
      <c r="V295" s="220"/>
      <c r="W295" s="220"/>
      <c r="X295" s="220"/>
      <c r="Y295" s="220"/>
      <c r="Z295" s="220"/>
      <c r="AA295" s="220"/>
      <c r="AB295" s="220"/>
      <c r="AC295" s="220"/>
      <c r="AD295" s="220"/>
      <c r="AE295" s="220"/>
      <c r="AF295" s="220"/>
      <c r="AG295" s="220"/>
      <c r="AH295" s="220"/>
      <c r="AI295" s="220"/>
      <c r="AJ295" s="50"/>
      <c r="AK295" s="257"/>
      <c r="AL295" s="257"/>
      <c r="AM295" s="52"/>
      <c r="AN295" s="88"/>
    </row>
    <row r="296" spans="1:40" s="29" customFormat="1" ht="17.25" customHeight="1">
      <c r="A296" s="48"/>
      <c r="B296" s="49"/>
      <c r="C296" s="220"/>
      <c r="D296" s="220"/>
      <c r="E296" s="220"/>
      <c r="F296" s="220"/>
      <c r="G296" s="220"/>
      <c r="H296" s="220"/>
      <c r="I296" s="220"/>
      <c r="J296" s="220"/>
      <c r="K296" s="220"/>
      <c r="L296" s="220"/>
      <c r="M296" s="220"/>
      <c r="N296" s="220"/>
      <c r="O296" s="220"/>
      <c r="P296" s="220"/>
      <c r="Q296" s="220"/>
      <c r="R296" s="220"/>
      <c r="S296" s="220"/>
      <c r="T296" s="220"/>
      <c r="U296" s="220"/>
      <c r="V296" s="220"/>
      <c r="W296" s="220"/>
      <c r="X296" s="220"/>
      <c r="Y296" s="220"/>
      <c r="Z296" s="220"/>
      <c r="AA296" s="220"/>
      <c r="AB296" s="220"/>
      <c r="AC296" s="220"/>
      <c r="AD296" s="220"/>
      <c r="AE296" s="220"/>
      <c r="AF296" s="220"/>
      <c r="AG296" s="220"/>
      <c r="AH296" s="220"/>
      <c r="AI296" s="220"/>
      <c r="AJ296" s="50"/>
      <c r="AK296" s="257"/>
      <c r="AL296" s="257"/>
      <c r="AM296" s="52"/>
      <c r="AN296" s="88"/>
    </row>
    <row r="297" spans="1:40" s="29" customFormat="1" ht="17.25" customHeight="1">
      <c r="A297" s="48"/>
      <c r="B297" s="49"/>
      <c r="C297" s="220"/>
      <c r="D297" s="220"/>
      <c r="E297" s="220"/>
      <c r="F297" s="220"/>
      <c r="G297" s="220"/>
      <c r="H297" s="220"/>
      <c r="I297" s="220"/>
      <c r="J297" s="220"/>
      <c r="K297" s="220"/>
      <c r="L297" s="220"/>
      <c r="M297" s="220"/>
      <c r="N297" s="220"/>
      <c r="O297" s="220"/>
      <c r="P297" s="220"/>
      <c r="Q297" s="220"/>
      <c r="R297" s="220"/>
      <c r="S297" s="220"/>
      <c r="T297" s="220"/>
      <c r="U297" s="220"/>
      <c r="V297" s="220"/>
      <c r="W297" s="220"/>
      <c r="X297" s="220"/>
      <c r="Y297" s="220"/>
      <c r="Z297" s="220"/>
      <c r="AA297" s="220"/>
      <c r="AB297" s="220"/>
      <c r="AC297" s="220"/>
      <c r="AD297" s="220"/>
      <c r="AE297" s="220"/>
      <c r="AF297" s="220"/>
      <c r="AG297" s="220"/>
      <c r="AH297" s="220"/>
      <c r="AI297" s="220"/>
      <c r="AJ297" s="50"/>
      <c r="AK297" s="257"/>
      <c r="AL297" s="257"/>
      <c r="AM297" s="52"/>
      <c r="AN297" s="88"/>
    </row>
    <row r="298" spans="1:40" s="29" customFormat="1" ht="17.25" customHeight="1">
      <c r="A298" s="48"/>
      <c r="B298" s="49"/>
      <c r="C298" s="220"/>
      <c r="D298" s="220"/>
      <c r="E298" s="220"/>
      <c r="F298" s="220"/>
      <c r="G298" s="220"/>
      <c r="H298" s="220"/>
      <c r="I298" s="220"/>
      <c r="J298" s="220"/>
      <c r="K298" s="220"/>
      <c r="L298" s="220"/>
      <c r="M298" s="220"/>
      <c r="N298" s="220"/>
      <c r="O298" s="220"/>
      <c r="P298" s="220"/>
      <c r="Q298" s="220"/>
      <c r="R298" s="220"/>
      <c r="S298" s="220"/>
      <c r="T298" s="220"/>
      <c r="U298" s="220"/>
      <c r="V298" s="220"/>
      <c r="W298" s="220"/>
      <c r="X298" s="220"/>
      <c r="Y298" s="220"/>
      <c r="Z298" s="220"/>
      <c r="AA298" s="220"/>
      <c r="AB298" s="220"/>
      <c r="AC298" s="220"/>
      <c r="AD298" s="220"/>
      <c r="AE298" s="220"/>
      <c r="AF298" s="220"/>
      <c r="AG298" s="220"/>
      <c r="AH298" s="220"/>
      <c r="AI298" s="220"/>
      <c r="AJ298" s="50"/>
      <c r="AK298" s="257"/>
      <c r="AL298" s="257"/>
      <c r="AM298" s="52"/>
      <c r="AN298" s="88"/>
    </row>
    <row r="299" spans="1:40" s="29" customFormat="1" ht="17.25" customHeight="1">
      <c r="A299" s="48"/>
      <c r="B299" s="49"/>
      <c r="C299" s="220"/>
      <c r="D299" s="220"/>
      <c r="E299" s="220"/>
      <c r="F299" s="220"/>
      <c r="G299" s="220"/>
      <c r="H299" s="220"/>
      <c r="I299" s="220"/>
      <c r="J299" s="220"/>
      <c r="K299" s="220"/>
      <c r="L299" s="220"/>
      <c r="M299" s="220"/>
      <c r="N299" s="220"/>
      <c r="O299" s="220"/>
      <c r="P299" s="220"/>
      <c r="Q299" s="220"/>
      <c r="R299" s="220"/>
      <c r="S299" s="220"/>
      <c r="T299" s="220"/>
      <c r="U299" s="220"/>
      <c r="V299" s="220"/>
      <c r="W299" s="220"/>
      <c r="X299" s="220"/>
      <c r="Y299" s="220"/>
      <c r="Z299" s="220"/>
      <c r="AA299" s="220"/>
      <c r="AB299" s="220"/>
      <c r="AC299" s="220"/>
      <c r="AD299" s="220"/>
      <c r="AE299" s="220"/>
      <c r="AF299" s="220"/>
      <c r="AG299" s="220"/>
      <c r="AH299" s="220"/>
      <c r="AI299" s="220"/>
      <c r="AJ299" s="50"/>
      <c r="AK299" s="257"/>
      <c r="AL299" s="257"/>
      <c r="AM299" s="52"/>
      <c r="AN299" s="88"/>
    </row>
    <row r="300" spans="1:40" s="29" customFormat="1" ht="17.25" customHeight="1">
      <c r="A300" s="48"/>
      <c r="B300" s="49"/>
      <c r="C300" s="220"/>
      <c r="D300" s="220"/>
      <c r="E300" s="220"/>
      <c r="F300" s="220"/>
      <c r="G300" s="220"/>
      <c r="H300" s="220"/>
      <c r="I300" s="220"/>
      <c r="J300" s="220"/>
      <c r="K300" s="220"/>
      <c r="L300" s="220"/>
      <c r="M300" s="220"/>
      <c r="N300" s="220"/>
      <c r="O300" s="220"/>
      <c r="P300" s="220"/>
      <c r="Q300" s="220"/>
      <c r="R300" s="220"/>
      <c r="S300" s="220"/>
      <c r="T300" s="220"/>
      <c r="U300" s="220"/>
      <c r="V300" s="220"/>
      <c r="W300" s="220"/>
      <c r="X300" s="220"/>
      <c r="Y300" s="220"/>
      <c r="Z300" s="220"/>
      <c r="AA300" s="220"/>
      <c r="AB300" s="220"/>
      <c r="AC300" s="220"/>
      <c r="AD300" s="220"/>
      <c r="AE300" s="220"/>
      <c r="AF300" s="220"/>
      <c r="AG300" s="220"/>
      <c r="AH300" s="220"/>
      <c r="AI300" s="220"/>
      <c r="AJ300" s="50"/>
      <c r="AK300" s="257"/>
      <c r="AL300" s="257"/>
      <c r="AM300" s="52"/>
      <c r="AN300" s="88"/>
    </row>
    <row r="301" spans="1:40" s="29" customFormat="1" ht="17.25" customHeight="1">
      <c r="A301" s="48"/>
      <c r="B301" s="49"/>
      <c r="C301" s="220"/>
      <c r="D301" s="220"/>
      <c r="E301" s="220"/>
      <c r="F301" s="220"/>
      <c r="G301" s="220"/>
      <c r="H301" s="220"/>
      <c r="I301" s="220"/>
      <c r="J301" s="220"/>
      <c r="K301" s="220"/>
      <c r="L301" s="220"/>
      <c r="M301" s="220"/>
      <c r="N301" s="220"/>
      <c r="O301" s="220"/>
      <c r="P301" s="220"/>
      <c r="Q301" s="220"/>
      <c r="R301" s="220"/>
      <c r="S301" s="220"/>
      <c r="T301" s="220"/>
      <c r="U301" s="220"/>
      <c r="V301" s="220"/>
      <c r="W301" s="220"/>
      <c r="X301" s="220"/>
      <c r="Y301" s="220"/>
      <c r="Z301" s="220"/>
      <c r="AA301" s="220"/>
      <c r="AB301" s="220"/>
      <c r="AC301" s="220"/>
      <c r="AD301" s="220"/>
      <c r="AE301" s="220"/>
      <c r="AF301" s="220"/>
      <c r="AG301" s="220"/>
      <c r="AH301" s="220"/>
      <c r="AI301" s="220"/>
      <c r="AJ301" s="50"/>
      <c r="AK301" s="257"/>
      <c r="AL301" s="257"/>
      <c r="AM301" s="52"/>
      <c r="AN301" s="88"/>
    </row>
    <row r="302" spans="1:40" s="29" customFormat="1" ht="17.25" customHeight="1">
      <c r="A302" s="48"/>
      <c r="B302" s="49"/>
      <c r="C302" s="220"/>
      <c r="D302" s="220"/>
      <c r="E302" s="220"/>
      <c r="F302" s="220"/>
      <c r="G302" s="220"/>
      <c r="H302" s="220"/>
      <c r="I302" s="220"/>
      <c r="J302" s="220"/>
      <c r="K302" s="220"/>
      <c r="L302" s="220"/>
      <c r="M302" s="220"/>
      <c r="N302" s="220"/>
      <c r="O302" s="220"/>
      <c r="P302" s="220"/>
      <c r="Q302" s="220"/>
      <c r="R302" s="220"/>
      <c r="S302" s="220"/>
      <c r="T302" s="220"/>
      <c r="U302" s="220"/>
      <c r="V302" s="220"/>
      <c r="W302" s="220"/>
      <c r="X302" s="220"/>
      <c r="Y302" s="220"/>
      <c r="Z302" s="220"/>
      <c r="AA302" s="220"/>
      <c r="AB302" s="220"/>
      <c r="AC302" s="220"/>
      <c r="AD302" s="220"/>
      <c r="AE302" s="220"/>
      <c r="AF302" s="220"/>
      <c r="AG302" s="220"/>
      <c r="AH302" s="220"/>
      <c r="AI302" s="220"/>
      <c r="AJ302" s="50"/>
      <c r="AK302" s="257"/>
      <c r="AL302" s="257"/>
      <c r="AM302" s="52"/>
      <c r="AN302" s="88"/>
    </row>
    <row r="303" spans="1:40" s="29" customFormat="1" ht="17.25" customHeight="1">
      <c r="A303" s="48"/>
      <c r="B303" s="49"/>
      <c r="C303" s="220"/>
      <c r="D303" s="220"/>
      <c r="E303" s="220"/>
      <c r="F303" s="220"/>
      <c r="G303" s="220"/>
      <c r="H303" s="220"/>
      <c r="I303" s="220"/>
      <c r="J303" s="220"/>
      <c r="K303" s="220"/>
      <c r="L303" s="220"/>
      <c r="M303" s="220"/>
      <c r="N303" s="220"/>
      <c r="O303" s="220"/>
      <c r="P303" s="220"/>
      <c r="Q303" s="220"/>
      <c r="R303" s="220"/>
      <c r="S303" s="220"/>
      <c r="T303" s="220"/>
      <c r="U303" s="220"/>
      <c r="V303" s="220"/>
      <c r="W303" s="220"/>
      <c r="X303" s="220"/>
      <c r="Y303" s="220"/>
      <c r="Z303" s="220"/>
      <c r="AA303" s="220"/>
      <c r="AB303" s="220"/>
      <c r="AC303" s="220"/>
      <c r="AD303" s="220"/>
      <c r="AE303" s="220"/>
      <c r="AF303" s="220"/>
      <c r="AG303" s="220"/>
      <c r="AH303" s="220"/>
      <c r="AI303" s="220"/>
      <c r="AJ303" s="50"/>
      <c r="AK303" s="257"/>
      <c r="AL303" s="257"/>
      <c r="AM303" s="52"/>
      <c r="AN303" s="88"/>
    </row>
    <row r="304" spans="1:40" s="29" customFormat="1" ht="17.25" customHeight="1">
      <c r="A304" s="48"/>
      <c r="B304" s="49"/>
      <c r="C304" s="220"/>
      <c r="D304" s="220"/>
      <c r="E304" s="220"/>
      <c r="F304" s="220"/>
      <c r="G304" s="220"/>
      <c r="H304" s="220"/>
      <c r="I304" s="220"/>
      <c r="J304" s="220"/>
      <c r="K304" s="220"/>
      <c r="L304" s="220"/>
      <c r="M304" s="220"/>
      <c r="N304" s="220"/>
      <c r="O304" s="220"/>
      <c r="P304" s="220"/>
      <c r="Q304" s="220"/>
      <c r="R304" s="220"/>
      <c r="S304" s="220"/>
      <c r="T304" s="220"/>
      <c r="U304" s="220"/>
      <c r="V304" s="220"/>
      <c r="W304" s="220"/>
      <c r="X304" s="220"/>
      <c r="Y304" s="220"/>
      <c r="Z304" s="220"/>
      <c r="AA304" s="220"/>
      <c r="AB304" s="220"/>
      <c r="AC304" s="220"/>
      <c r="AD304" s="220"/>
      <c r="AE304" s="220"/>
      <c r="AF304" s="220"/>
      <c r="AG304" s="220"/>
      <c r="AH304" s="220"/>
      <c r="AI304" s="220"/>
      <c r="AJ304" s="50"/>
      <c r="AK304" s="257"/>
      <c r="AL304" s="257"/>
      <c r="AM304" s="52"/>
      <c r="AN304" s="88"/>
    </row>
    <row r="305" spans="1:40" s="29" customFormat="1" ht="17.25" customHeight="1">
      <c r="A305" s="48"/>
      <c r="B305" s="49"/>
      <c r="C305" s="220"/>
      <c r="D305" s="220"/>
      <c r="E305" s="220"/>
      <c r="F305" s="220"/>
      <c r="G305" s="220"/>
      <c r="H305" s="220"/>
      <c r="I305" s="220"/>
      <c r="J305" s="220"/>
      <c r="K305" s="220"/>
      <c r="L305" s="220"/>
      <c r="M305" s="220"/>
      <c r="N305" s="220"/>
      <c r="O305" s="220"/>
      <c r="P305" s="220"/>
      <c r="Q305" s="220"/>
      <c r="R305" s="220"/>
      <c r="S305" s="220"/>
      <c r="T305" s="220"/>
      <c r="U305" s="220"/>
      <c r="V305" s="220"/>
      <c r="W305" s="220"/>
      <c r="X305" s="220"/>
      <c r="Y305" s="220"/>
      <c r="Z305" s="220"/>
      <c r="AA305" s="220"/>
      <c r="AB305" s="220"/>
      <c r="AC305" s="220"/>
      <c r="AD305" s="220"/>
      <c r="AE305" s="220"/>
      <c r="AF305" s="220"/>
      <c r="AG305" s="220"/>
      <c r="AH305" s="220"/>
      <c r="AI305" s="220"/>
      <c r="AJ305" s="50"/>
      <c r="AK305" s="257"/>
      <c r="AL305" s="257"/>
      <c r="AM305" s="52"/>
      <c r="AN305" s="88"/>
    </row>
    <row r="306" spans="1:40" s="29" customFormat="1" ht="17.25" customHeight="1">
      <c r="A306" s="48"/>
      <c r="B306" s="49"/>
      <c r="C306" s="220"/>
      <c r="D306" s="220"/>
      <c r="E306" s="220"/>
      <c r="F306" s="220"/>
      <c r="G306" s="220"/>
      <c r="H306" s="220"/>
      <c r="I306" s="220"/>
      <c r="J306" s="220"/>
      <c r="K306" s="220"/>
      <c r="L306" s="220"/>
      <c r="M306" s="220"/>
      <c r="N306" s="220"/>
      <c r="O306" s="220"/>
      <c r="P306" s="220"/>
      <c r="Q306" s="220"/>
      <c r="R306" s="220"/>
      <c r="S306" s="220"/>
      <c r="T306" s="220"/>
      <c r="U306" s="220"/>
      <c r="V306" s="220"/>
      <c r="W306" s="220"/>
      <c r="X306" s="220"/>
      <c r="Y306" s="220"/>
      <c r="Z306" s="220"/>
      <c r="AA306" s="220"/>
      <c r="AB306" s="220"/>
      <c r="AC306" s="220"/>
      <c r="AD306" s="220"/>
      <c r="AE306" s="220"/>
      <c r="AF306" s="220"/>
      <c r="AG306" s="220"/>
      <c r="AH306" s="220"/>
      <c r="AI306" s="220"/>
      <c r="AJ306" s="50"/>
      <c r="AK306" s="257"/>
      <c r="AL306" s="257"/>
      <c r="AM306" s="52"/>
      <c r="AN306" s="88"/>
    </row>
    <row r="307" spans="1:40" s="29" customFormat="1" ht="17.25" customHeight="1">
      <c r="A307" s="48"/>
      <c r="B307" s="49"/>
      <c r="C307" s="220"/>
      <c r="D307" s="220"/>
      <c r="E307" s="220"/>
      <c r="F307" s="220"/>
      <c r="G307" s="220"/>
      <c r="H307" s="220"/>
      <c r="I307" s="220"/>
      <c r="J307" s="220"/>
      <c r="K307" s="220"/>
      <c r="L307" s="220"/>
      <c r="M307" s="220"/>
      <c r="N307" s="220"/>
      <c r="O307" s="220"/>
      <c r="P307" s="220"/>
      <c r="Q307" s="220"/>
      <c r="R307" s="220"/>
      <c r="S307" s="220"/>
      <c r="T307" s="220"/>
      <c r="U307" s="220"/>
      <c r="V307" s="220"/>
      <c r="W307" s="220"/>
      <c r="X307" s="220"/>
      <c r="Y307" s="220"/>
      <c r="Z307" s="220"/>
      <c r="AA307" s="220"/>
      <c r="AB307" s="220"/>
      <c r="AC307" s="220"/>
      <c r="AD307" s="220"/>
      <c r="AE307" s="220"/>
      <c r="AF307" s="220"/>
      <c r="AG307" s="220"/>
      <c r="AH307" s="220"/>
      <c r="AI307" s="220"/>
      <c r="AJ307" s="50"/>
      <c r="AK307" s="257"/>
      <c r="AL307" s="257"/>
      <c r="AM307" s="52"/>
      <c r="AN307" s="88"/>
    </row>
    <row r="308" spans="1:40" s="29" customFormat="1" ht="17.25" customHeight="1">
      <c r="A308" s="48"/>
      <c r="B308" s="49"/>
      <c r="C308" s="220"/>
      <c r="D308" s="220"/>
      <c r="E308" s="220"/>
      <c r="F308" s="220"/>
      <c r="G308" s="220"/>
      <c r="H308" s="220"/>
      <c r="I308" s="220"/>
      <c r="J308" s="220"/>
      <c r="K308" s="220"/>
      <c r="L308" s="220"/>
      <c r="M308" s="220"/>
      <c r="N308" s="220"/>
      <c r="O308" s="220"/>
      <c r="P308" s="220"/>
      <c r="Q308" s="220"/>
      <c r="R308" s="220"/>
      <c r="S308" s="220"/>
      <c r="T308" s="220"/>
      <c r="U308" s="220"/>
      <c r="V308" s="220"/>
      <c r="W308" s="220"/>
      <c r="X308" s="220"/>
      <c r="Y308" s="220"/>
      <c r="Z308" s="220"/>
      <c r="AA308" s="220"/>
      <c r="AB308" s="220"/>
      <c r="AC308" s="220"/>
      <c r="AD308" s="220"/>
      <c r="AE308" s="220"/>
      <c r="AF308" s="220"/>
      <c r="AG308" s="220"/>
      <c r="AH308" s="220"/>
      <c r="AI308" s="220"/>
      <c r="AJ308" s="50"/>
      <c r="AK308" s="257"/>
      <c r="AL308" s="257"/>
      <c r="AM308" s="52"/>
      <c r="AN308" s="88"/>
    </row>
    <row r="309" spans="1:40" s="29" customFormat="1" ht="17.25" customHeight="1">
      <c r="A309" s="48"/>
      <c r="B309" s="49"/>
      <c r="C309" s="220"/>
      <c r="D309" s="220"/>
      <c r="E309" s="220"/>
      <c r="F309" s="220"/>
      <c r="G309" s="220"/>
      <c r="H309" s="220"/>
      <c r="I309" s="220"/>
      <c r="J309" s="220"/>
      <c r="K309" s="220"/>
      <c r="L309" s="220"/>
      <c r="M309" s="220"/>
      <c r="N309" s="220"/>
      <c r="O309" s="220"/>
      <c r="P309" s="220"/>
      <c r="Q309" s="220"/>
      <c r="R309" s="220"/>
      <c r="S309" s="220"/>
      <c r="T309" s="220"/>
      <c r="U309" s="220"/>
      <c r="V309" s="220"/>
      <c r="W309" s="220"/>
      <c r="X309" s="220"/>
      <c r="Y309" s="220"/>
      <c r="Z309" s="220"/>
      <c r="AA309" s="220"/>
      <c r="AB309" s="220"/>
      <c r="AC309" s="220"/>
      <c r="AD309" s="220"/>
      <c r="AE309" s="220"/>
      <c r="AF309" s="220"/>
      <c r="AG309" s="220"/>
      <c r="AH309" s="220"/>
      <c r="AI309" s="220"/>
      <c r="AJ309" s="50"/>
      <c r="AK309" s="257"/>
      <c r="AL309" s="257"/>
      <c r="AM309" s="52"/>
      <c r="AN309" s="88"/>
    </row>
    <row r="310" spans="1:40" s="29" customFormat="1" ht="17.25" customHeight="1">
      <c r="A310" s="48"/>
      <c r="B310" s="49"/>
      <c r="C310" s="220"/>
      <c r="D310" s="220"/>
      <c r="E310" s="220"/>
      <c r="F310" s="220"/>
      <c r="G310" s="220"/>
      <c r="H310" s="220"/>
      <c r="I310" s="220"/>
      <c r="J310" s="220"/>
      <c r="K310" s="220"/>
      <c r="L310" s="220"/>
      <c r="M310" s="220"/>
      <c r="N310" s="220"/>
      <c r="O310" s="220"/>
      <c r="P310" s="220"/>
      <c r="Q310" s="220"/>
      <c r="R310" s="220"/>
      <c r="S310" s="220"/>
      <c r="T310" s="220"/>
      <c r="U310" s="220"/>
      <c r="V310" s="220"/>
      <c r="W310" s="220"/>
      <c r="X310" s="220"/>
      <c r="Y310" s="220"/>
      <c r="Z310" s="220"/>
      <c r="AA310" s="220"/>
      <c r="AB310" s="220"/>
      <c r="AC310" s="220"/>
      <c r="AD310" s="220"/>
      <c r="AE310" s="220"/>
      <c r="AF310" s="220"/>
      <c r="AG310" s="220"/>
      <c r="AH310" s="220"/>
      <c r="AI310" s="220"/>
      <c r="AJ310" s="50"/>
      <c r="AK310" s="257"/>
      <c r="AL310" s="257"/>
      <c r="AM310" s="52"/>
      <c r="AN310" s="88"/>
    </row>
    <row r="311" spans="1:40" s="29" customFormat="1" ht="17.25" customHeight="1">
      <c r="A311" s="48"/>
      <c r="B311" s="49"/>
      <c r="C311" s="220"/>
      <c r="D311" s="220"/>
      <c r="E311" s="220"/>
      <c r="F311" s="220"/>
      <c r="G311" s="220"/>
      <c r="H311" s="220"/>
      <c r="I311" s="220"/>
      <c r="J311" s="220"/>
      <c r="K311" s="220"/>
      <c r="L311" s="220"/>
      <c r="M311" s="220"/>
      <c r="N311" s="220"/>
      <c r="O311" s="220"/>
      <c r="P311" s="220"/>
      <c r="Q311" s="220"/>
      <c r="R311" s="220"/>
      <c r="S311" s="220"/>
      <c r="T311" s="220"/>
      <c r="U311" s="220"/>
      <c r="V311" s="220"/>
      <c r="W311" s="220"/>
      <c r="X311" s="220"/>
      <c r="Y311" s="220"/>
      <c r="Z311" s="220"/>
      <c r="AA311" s="220"/>
      <c r="AB311" s="220"/>
      <c r="AC311" s="220"/>
      <c r="AD311" s="220"/>
      <c r="AE311" s="220"/>
      <c r="AF311" s="220"/>
      <c r="AG311" s="220"/>
      <c r="AH311" s="220"/>
      <c r="AI311" s="220"/>
      <c r="AJ311" s="50"/>
      <c r="AK311" s="257"/>
      <c r="AL311" s="257"/>
      <c r="AM311" s="52"/>
      <c r="AN311" s="88"/>
    </row>
    <row r="312" spans="1:40" s="29" customFormat="1" ht="17.25" customHeight="1">
      <c r="A312" s="48"/>
      <c r="B312" s="49"/>
      <c r="C312" s="220"/>
      <c r="D312" s="220"/>
      <c r="E312" s="220"/>
      <c r="F312" s="220"/>
      <c r="G312" s="220"/>
      <c r="H312" s="220"/>
      <c r="I312" s="220"/>
      <c r="J312" s="220"/>
      <c r="K312" s="220"/>
      <c r="L312" s="220"/>
      <c r="M312" s="220"/>
      <c r="N312" s="220"/>
      <c r="O312" s="220"/>
      <c r="P312" s="220"/>
      <c r="Q312" s="220"/>
      <c r="R312" s="220"/>
      <c r="S312" s="220"/>
      <c r="T312" s="220"/>
      <c r="U312" s="220"/>
      <c r="V312" s="220"/>
      <c r="W312" s="220"/>
      <c r="X312" s="220"/>
      <c r="Y312" s="220"/>
      <c r="Z312" s="220"/>
      <c r="AA312" s="220"/>
      <c r="AB312" s="220"/>
      <c r="AC312" s="220"/>
      <c r="AD312" s="220"/>
      <c r="AE312" s="220"/>
      <c r="AF312" s="220"/>
      <c r="AG312" s="220"/>
      <c r="AH312" s="220"/>
      <c r="AI312" s="220"/>
      <c r="AJ312" s="50"/>
      <c r="AK312" s="257"/>
      <c r="AL312" s="257"/>
      <c r="AM312" s="52"/>
      <c r="AN312" s="88"/>
    </row>
    <row r="313" spans="1:40" s="29" customFormat="1" ht="17.25" customHeight="1">
      <c r="A313" s="48"/>
      <c r="B313" s="49"/>
      <c r="C313" s="220"/>
      <c r="D313" s="220"/>
      <c r="E313" s="220"/>
      <c r="F313" s="220"/>
      <c r="G313" s="220"/>
      <c r="H313" s="220"/>
      <c r="I313" s="220"/>
      <c r="J313" s="220"/>
      <c r="K313" s="220"/>
      <c r="L313" s="220"/>
      <c r="M313" s="220"/>
      <c r="N313" s="220"/>
      <c r="O313" s="220"/>
      <c r="P313" s="220"/>
      <c r="Q313" s="220"/>
      <c r="R313" s="220"/>
      <c r="S313" s="220"/>
      <c r="T313" s="220"/>
      <c r="U313" s="220"/>
      <c r="V313" s="220"/>
      <c r="W313" s="220"/>
      <c r="X313" s="220"/>
      <c r="Y313" s="220"/>
      <c r="Z313" s="220"/>
      <c r="AA313" s="220"/>
      <c r="AB313" s="220"/>
      <c r="AC313" s="220"/>
      <c r="AD313" s="220"/>
      <c r="AE313" s="220"/>
      <c r="AF313" s="220"/>
      <c r="AG313" s="220"/>
      <c r="AH313" s="220"/>
      <c r="AI313" s="220"/>
      <c r="AJ313" s="50"/>
      <c r="AK313" s="257"/>
      <c r="AL313" s="257"/>
      <c r="AM313" s="52"/>
      <c r="AN313" s="88"/>
    </row>
    <row r="314" spans="1:40" s="29" customFormat="1" ht="17.25" customHeight="1">
      <c r="A314" s="48"/>
      <c r="B314" s="49"/>
      <c r="C314" s="220"/>
      <c r="D314" s="220"/>
      <c r="E314" s="220"/>
      <c r="F314" s="220"/>
      <c r="G314" s="220"/>
      <c r="H314" s="220"/>
      <c r="I314" s="220"/>
      <c r="J314" s="220"/>
      <c r="K314" s="220"/>
      <c r="L314" s="220"/>
      <c r="M314" s="220"/>
      <c r="N314" s="220"/>
      <c r="O314" s="220"/>
      <c r="P314" s="220"/>
      <c r="Q314" s="220"/>
      <c r="R314" s="220"/>
      <c r="S314" s="220"/>
      <c r="T314" s="220"/>
      <c r="U314" s="220"/>
      <c r="V314" s="220"/>
      <c r="W314" s="220"/>
      <c r="X314" s="220"/>
      <c r="Y314" s="220"/>
      <c r="Z314" s="220"/>
      <c r="AA314" s="220"/>
      <c r="AB314" s="220"/>
      <c r="AC314" s="220"/>
      <c r="AD314" s="220"/>
      <c r="AE314" s="220"/>
      <c r="AF314" s="220"/>
      <c r="AG314" s="220"/>
      <c r="AH314" s="220"/>
      <c r="AI314" s="220"/>
      <c r="AJ314" s="50"/>
      <c r="AK314" s="257"/>
      <c r="AL314" s="257"/>
      <c r="AM314" s="52"/>
      <c r="AN314" s="88"/>
    </row>
    <row r="315" spans="1:40" s="29" customFormat="1" ht="17.25" customHeight="1">
      <c r="A315" s="48"/>
      <c r="B315" s="49"/>
      <c r="C315" s="220"/>
      <c r="D315" s="220"/>
      <c r="E315" s="220"/>
      <c r="F315" s="220"/>
      <c r="G315" s="220"/>
      <c r="H315" s="220"/>
      <c r="I315" s="220"/>
      <c r="J315" s="220"/>
      <c r="K315" s="220"/>
      <c r="L315" s="220"/>
      <c r="M315" s="220"/>
      <c r="N315" s="220"/>
      <c r="O315" s="220"/>
      <c r="P315" s="220"/>
      <c r="Q315" s="220"/>
      <c r="R315" s="220"/>
      <c r="S315" s="220"/>
      <c r="T315" s="220"/>
      <c r="U315" s="220"/>
      <c r="V315" s="220"/>
      <c r="W315" s="220"/>
      <c r="X315" s="220"/>
      <c r="Y315" s="220"/>
      <c r="Z315" s="220"/>
      <c r="AA315" s="220"/>
      <c r="AB315" s="220"/>
      <c r="AC315" s="220"/>
      <c r="AD315" s="220"/>
      <c r="AE315" s="220"/>
      <c r="AF315" s="220"/>
      <c r="AG315" s="220"/>
      <c r="AH315" s="220"/>
      <c r="AI315" s="220"/>
      <c r="AJ315" s="50"/>
      <c r="AK315" s="257"/>
      <c r="AL315" s="257"/>
      <c r="AM315" s="52"/>
      <c r="AN315" s="88"/>
    </row>
    <row r="316" spans="1:40" s="29" customFormat="1" ht="17.25" customHeight="1">
      <c r="A316" s="48"/>
      <c r="B316" s="49"/>
      <c r="C316" s="220"/>
      <c r="D316" s="220"/>
      <c r="E316" s="220"/>
      <c r="F316" s="220"/>
      <c r="G316" s="220"/>
      <c r="H316" s="220"/>
      <c r="I316" s="220"/>
      <c r="J316" s="220"/>
      <c r="K316" s="220"/>
      <c r="L316" s="220"/>
      <c r="M316" s="220"/>
      <c r="N316" s="220"/>
      <c r="O316" s="220"/>
      <c r="P316" s="220"/>
      <c r="Q316" s="220"/>
      <c r="R316" s="220"/>
      <c r="S316" s="220"/>
      <c r="T316" s="220"/>
      <c r="U316" s="220"/>
      <c r="V316" s="220"/>
      <c r="W316" s="220"/>
      <c r="X316" s="220"/>
      <c r="Y316" s="220"/>
      <c r="Z316" s="220"/>
      <c r="AA316" s="220"/>
      <c r="AB316" s="220"/>
      <c r="AC316" s="220"/>
      <c r="AD316" s="220"/>
      <c r="AE316" s="220"/>
      <c r="AF316" s="220"/>
      <c r="AG316" s="220"/>
      <c r="AH316" s="220"/>
      <c r="AI316" s="220"/>
      <c r="AJ316" s="50"/>
      <c r="AK316" s="257"/>
      <c r="AL316" s="257"/>
      <c r="AM316" s="52"/>
      <c r="AN316" s="88"/>
    </row>
    <row r="317" spans="1:40" s="29" customFormat="1" ht="17.25" customHeight="1">
      <c r="A317" s="48"/>
      <c r="B317" s="49"/>
      <c r="C317" s="220"/>
      <c r="D317" s="220"/>
      <c r="E317" s="220"/>
      <c r="F317" s="220"/>
      <c r="G317" s="220"/>
      <c r="H317" s="220"/>
      <c r="I317" s="220"/>
      <c r="J317" s="220"/>
      <c r="K317" s="220"/>
      <c r="L317" s="220"/>
      <c r="M317" s="220"/>
      <c r="N317" s="220"/>
      <c r="O317" s="220"/>
      <c r="P317" s="220"/>
      <c r="Q317" s="220"/>
      <c r="R317" s="220"/>
      <c r="S317" s="220"/>
      <c r="T317" s="220"/>
      <c r="U317" s="220"/>
      <c r="V317" s="220"/>
      <c r="W317" s="220"/>
      <c r="X317" s="220"/>
      <c r="Y317" s="220"/>
      <c r="Z317" s="220"/>
      <c r="AA317" s="220"/>
      <c r="AB317" s="220"/>
      <c r="AC317" s="220"/>
      <c r="AD317" s="220"/>
      <c r="AE317" s="220"/>
      <c r="AF317" s="220"/>
      <c r="AG317" s="220"/>
      <c r="AH317" s="220"/>
      <c r="AI317" s="220"/>
      <c r="AJ317" s="50"/>
      <c r="AK317" s="257"/>
      <c r="AL317" s="257"/>
      <c r="AM317" s="52"/>
      <c r="AN317" s="88"/>
    </row>
    <row r="318" spans="1:40" s="29" customFormat="1" ht="17.25" customHeight="1">
      <c r="A318" s="48"/>
      <c r="B318" s="49"/>
      <c r="C318" s="220"/>
      <c r="D318" s="220"/>
      <c r="E318" s="220"/>
      <c r="F318" s="220"/>
      <c r="G318" s="220"/>
      <c r="H318" s="220"/>
      <c r="I318" s="220"/>
      <c r="J318" s="220"/>
      <c r="K318" s="220"/>
      <c r="L318" s="220"/>
      <c r="M318" s="220"/>
      <c r="N318" s="220"/>
      <c r="O318" s="220"/>
      <c r="P318" s="220"/>
      <c r="Q318" s="220"/>
      <c r="R318" s="220"/>
      <c r="S318" s="220"/>
      <c r="T318" s="220"/>
      <c r="U318" s="220"/>
      <c r="V318" s="220"/>
      <c r="W318" s="220"/>
      <c r="X318" s="220"/>
      <c r="Y318" s="220"/>
      <c r="Z318" s="220"/>
      <c r="AA318" s="220"/>
      <c r="AB318" s="220"/>
      <c r="AC318" s="220"/>
      <c r="AD318" s="220"/>
      <c r="AE318" s="220"/>
      <c r="AF318" s="220"/>
      <c r="AG318" s="220"/>
      <c r="AH318" s="220"/>
      <c r="AI318" s="220"/>
      <c r="AJ318" s="50"/>
      <c r="AK318" s="257"/>
      <c r="AL318" s="257"/>
      <c r="AM318" s="52"/>
      <c r="AN318" s="88"/>
    </row>
    <row r="319" spans="1:40" s="29" customFormat="1" ht="17.25" customHeight="1">
      <c r="A319" s="48"/>
      <c r="B319" s="49"/>
      <c r="C319" s="220"/>
      <c r="D319" s="220"/>
      <c r="E319" s="220"/>
      <c r="F319" s="220"/>
      <c r="G319" s="220"/>
      <c r="H319" s="220"/>
      <c r="I319" s="220"/>
      <c r="J319" s="220"/>
      <c r="K319" s="220"/>
      <c r="L319" s="220"/>
      <c r="M319" s="220"/>
      <c r="N319" s="220"/>
      <c r="O319" s="220"/>
      <c r="P319" s="220"/>
      <c r="Q319" s="220"/>
      <c r="R319" s="220"/>
      <c r="S319" s="220"/>
      <c r="T319" s="220"/>
      <c r="U319" s="220"/>
      <c r="V319" s="220"/>
      <c r="W319" s="220"/>
      <c r="X319" s="220"/>
      <c r="Y319" s="220"/>
      <c r="Z319" s="220"/>
      <c r="AA319" s="220"/>
      <c r="AB319" s="220"/>
      <c r="AC319" s="220"/>
      <c r="AD319" s="220"/>
      <c r="AE319" s="220"/>
      <c r="AF319" s="220"/>
      <c r="AG319" s="220"/>
      <c r="AH319" s="220"/>
      <c r="AI319" s="220"/>
      <c r="AJ319" s="50"/>
      <c r="AK319" s="257"/>
      <c r="AL319" s="257"/>
      <c r="AM319" s="52"/>
      <c r="AN319" s="88"/>
    </row>
    <row r="320" spans="1:40" s="29" customFormat="1" ht="17.25" customHeight="1">
      <c r="A320" s="48"/>
      <c r="B320" s="49"/>
      <c r="C320" s="220"/>
      <c r="D320" s="220"/>
      <c r="E320" s="220"/>
      <c r="F320" s="220"/>
      <c r="G320" s="220"/>
      <c r="H320" s="220"/>
      <c r="I320" s="220"/>
      <c r="J320" s="220"/>
      <c r="K320" s="220"/>
      <c r="L320" s="220"/>
      <c r="M320" s="220"/>
      <c r="N320" s="220"/>
      <c r="O320" s="220"/>
      <c r="P320" s="220"/>
      <c r="Q320" s="220"/>
      <c r="R320" s="220"/>
      <c r="S320" s="220"/>
      <c r="T320" s="220"/>
      <c r="U320" s="220"/>
      <c r="V320" s="220"/>
      <c r="W320" s="220"/>
      <c r="X320" s="220"/>
      <c r="Y320" s="220"/>
      <c r="Z320" s="220"/>
      <c r="AA320" s="220"/>
      <c r="AB320" s="220"/>
      <c r="AC320" s="220"/>
      <c r="AD320" s="220"/>
      <c r="AE320" s="220"/>
      <c r="AF320" s="220"/>
      <c r="AG320" s="220"/>
      <c r="AH320" s="220"/>
      <c r="AI320" s="220"/>
      <c r="AJ320" s="50"/>
      <c r="AK320" s="257"/>
      <c r="AL320" s="257"/>
      <c r="AM320" s="52"/>
      <c r="AN320" s="88"/>
    </row>
    <row r="321" spans="1:40" s="29" customFormat="1" ht="17.25" customHeight="1">
      <c r="A321" s="48"/>
      <c r="B321" s="49"/>
      <c r="C321" s="220"/>
      <c r="D321" s="220"/>
      <c r="E321" s="220"/>
      <c r="F321" s="220"/>
      <c r="G321" s="220"/>
      <c r="H321" s="220"/>
      <c r="I321" s="220"/>
      <c r="J321" s="220"/>
      <c r="K321" s="220"/>
      <c r="L321" s="220"/>
      <c r="M321" s="220"/>
      <c r="N321" s="220"/>
      <c r="O321" s="220"/>
      <c r="P321" s="220"/>
      <c r="Q321" s="220"/>
      <c r="R321" s="220"/>
      <c r="S321" s="220"/>
      <c r="T321" s="220"/>
      <c r="U321" s="220"/>
      <c r="V321" s="220"/>
      <c r="W321" s="220"/>
      <c r="X321" s="220"/>
      <c r="Y321" s="220"/>
      <c r="Z321" s="220"/>
      <c r="AA321" s="220"/>
      <c r="AB321" s="220"/>
      <c r="AC321" s="220"/>
      <c r="AD321" s="220"/>
      <c r="AE321" s="220"/>
      <c r="AF321" s="220"/>
      <c r="AG321" s="220"/>
      <c r="AH321" s="220"/>
      <c r="AI321" s="220"/>
      <c r="AJ321" s="50"/>
      <c r="AK321" s="257"/>
      <c r="AL321" s="257"/>
      <c r="AM321" s="52"/>
      <c r="AN321" s="88"/>
    </row>
    <row r="322" spans="1:40" s="29" customFormat="1" ht="17.25" customHeight="1">
      <c r="A322" s="48"/>
      <c r="B322" s="49"/>
      <c r="C322" s="220"/>
      <c r="D322" s="220"/>
      <c r="E322" s="220"/>
      <c r="F322" s="220"/>
      <c r="G322" s="220"/>
      <c r="H322" s="220"/>
      <c r="I322" s="220"/>
      <c r="J322" s="220"/>
      <c r="K322" s="220"/>
      <c r="L322" s="220"/>
      <c r="M322" s="220"/>
      <c r="N322" s="220"/>
      <c r="O322" s="220"/>
      <c r="P322" s="220"/>
      <c r="Q322" s="220"/>
      <c r="R322" s="220"/>
      <c r="S322" s="220"/>
      <c r="T322" s="220"/>
      <c r="U322" s="220"/>
      <c r="V322" s="220"/>
      <c r="W322" s="220"/>
      <c r="X322" s="220"/>
      <c r="Y322" s="220"/>
      <c r="Z322" s="220"/>
      <c r="AA322" s="220"/>
      <c r="AB322" s="220"/>
      <c r="AC322" s="220"/>
      <c r="AD322" s="220"/>
      <c r="AE322" s="220"/>
      <c r="AF322" s="220"/>
      <c r="AG322" s="220"/>
      <c r="AH322" s="220"/>
      <c r="AI322" s="220"/>
      <c r="AJ322" s="50"/>
      <c r="AK322" s="257"/>
      <c r="AL322" s="257"/>
      <c r="AM322" s="52"/>
      <c r="AN322" s="88"/>
    </row>
    <row r="323" spans="1:40" s="29" customFormat="1" ht="17.25" customHeight="1">
      <c r="A323" s="48"/>
      <c r="B323" s="49"/>
      <c r="C323" s="220"/>
      <c r="D323" s="220"/>
      <c r="E323" s="220"/>
      <c r="F323" s="220"/>
      <c r="G323" s="220"/>
      <c r="H323" s="220"/>
      <c r="I323" s="220"/>
      <c r="J323" s="220"/>
      <c r="K323" s="220"/>
      <c r="L323" s="220"/>
      <c r="M323" s="220"/>
      <c r="N323" s="220"/>
      <c r="O323" s="220"/>
      <c r="P323" s="220"/>
      <c r="Q323" s="220"/>
      <c r="R323" s="220"/>
      <c r="S323" s="220"/>
      <c r="T323" s="220"/>
      <c r="U323" s="220"/>
      <c r="V323" s="220"/>
      <c r="W323" s="220"/>
      <c r="X323" s="220"/>
      <c r="Y323" s="220"/>
      <c r="Z323" s="220"/>
      <c r="AA323" s="220"/>
      <c r="AB323" s="220"/>
      <c r="AC323" s="220"/>
      <c r="AD323" s="220"/>
      <c r="AE323" s="220"/>
      <c r="AF323" s="220"/>
      <c r="AG323" s="220"/>
      <c r="AH323" s="220"/>
      <c r="AI323" s="220"/>
      <c r="AJ323" s="50"/>
      <c r="AK323" s="257"/>
      <c r="AL323" s="257"/>
      <c r="AM323" s="52"/>
      <c r="AN323" s="88"/>
    </row>
    <row r="324" spans="1:40" s="29" customFormat="1" ht="17.25" customHeight="1">
      <c r="A324" s="48"/>
      <c r="B324" s="49"/>
      <c r="C324" s="220"/>
      <c r="D324" s="220"/>
      <c r="E324" s="220"/>
      <c r="F324" s="220"/>
      <c r="G324" s="220"/>
      <c r="H324" s="220"/>
      <c r="I324" s="220"/>
      <c r="J324" s="220"/>
      <c r="K324" s="220"/>
      <c r="L324" s="220"/>
      <c r="M324" s="220"/>
      <c r="N324" s="220"/>
      <c r="O324" s="220"/>
      <c r="P324" s="220"/>
      <c r="Q324" s="220"/>
      <c r="R324" s="220"/>
      <c r="S324" s="220"/>
      <c r="T324" s="220"/>
      <c r="U324" s="220"/>
      <c r="V324" s="220"/>
      <c r="W324" s="220"/>
      <c r="X324" s="220"/>
      <c r="Y324" s="220"/>
      <c r="Z324" s="220"/>
      <c r="AA324" s="220"/>
      <c r="AB324" s="220"/>
      <c r="AC324" s="220"/>
      <c r="AD324" s="220"/>
      <c r="AE324" s="220"/>
      <c r="AF324" s="220"/>
      <c r="AG324" s="220"/>
      <c r="AH324" s="220"/>
      <c r="AI324" s="220"/>
      <c r="AJ324" s="50"/>
      <c r="AK324" s="257"/>
      <c r="AL324" s="257"/>
      <c r="AM324" s="52"/>
      <c r="AN324" s="88"/>
    </row>
    <row r="325" spans="1:40" s="29" customFormat="1" ht="17.25" customHeight="1">
      <c r="A325" s="48"/>
      <c r="B325" s="49"/>
      <c r="C325" s="220"/>
      <c r="D325" s="220"/>
      <c r="E325" s="220"/>
      <c r="F325" s="220"/>
      <c r="G325" s="220"/>
      <c r="H325" s="220"/>
      <c r="I325" s="220"/>
      <c r="J325" s="220"/>
      <c r="K325" s="220"/>
      <c r="L325" s="220"/>
      <c r="M325" s="220"/>
      <c r="N325" s="220"/>
      <c r="O325" s="220"/>
      <c r="P325" s="220"/>
      <c r="Q325" s="220"/>
      <c r="R325" s="220"/>
      <c r="S325" s="220"/>
      <c r="T325" s="220"/>
      <c r="U325" s="220"/>
      <c r="V325" s="220"/>
      <c r="W325" s="220"/>
      <c r="X325" s="220"/>
      <c r="Y325" s="220"/>
      <c r="Z325" s="220"/>
      <c r="AA325" s="220"/>
      <c r="AB325" s="220"/>
      <c r="AC325" s="220"/>
      <c r="AD325" s="220"/>
      <c r="AE325" s="220"/>
      <c r="AF325" s="220"/>
      <c r="AG325" s="220"/>
      <c r="AH325" s="220"/>
      <c r="AI325" s="220"/>
      <c r="AJ325" s="50"/>
      <c r="AK325" s="257"/>
      <c r="AL325" s="257"/>
      <c r="AM325" s="52"/>
      <c r="AN325" s="88"/>
    </row>
    <row r="326" spans="1:40" s="29" customFormat="1" ht="17.25" customHeight="1">
      <c r="A326" s="48"/>
      <c r="B326" s="49"/>
      <c r="C326" s="220"/>
      <c r="D326" s="220"/>
      <c r="E326" s="220"/>
      <c r="F326" s="220"/>
      <c r="G326" s="220"/>
      <c r="H326" s="220"/>
      <c r="I326" s="220"/>
      <c r="J326" s="220"/>
      <c r="K326" s="220"/>
      <c r="L326" s="220"/>
      <c r="M326" s="220"/>
      <c r="N326" s="220"/>
      <c r="O326" s="220"/>
      <c r="P326" s="220"/>
      <c r="Q326" s="220"/>
      <c r="R326" s="220"/>
      <c r="S326" s="220"/>
      <c r="T326" s="220"/>
      <c r="U326" s="220"/>
      <c r="V326" s="220"/>
      <c r="W326" s="220"/>
      <c r="X326" s="220"/>
      <c r="Y326" s="220"/>
      <c r="Z326" s="220"/>
      <c r="AA326" s="220"/>
      <c r="AB326" s="220"/>
      <c r="AC326" s="220"/>
      <c r="AD326" s="220"/>
      <c r="AE326" s="220"/>
      <c r="AF326" s="220"/>
      <c r="AG326" s="220"/>
      <c r="AH326" s="220"/>
      <c r="AI326" s="220"/>
      <c r="AJ326" s="50"/>
      <c r="AK326" s="257"/>
      <c r="AL326" s="257"/>
      <c r="AM326" s="52"/>
      <c r="AN326" s="88"/>
    </row>
    <row r="327" spans="1:40" s="29" customFormat="1" ht="17.25" customHeight="1">
      <c r="A327" s="48"/>
      <c r="B327" s="49"/>
      <c r="C327" s="220"/>
      <c r="D327" s="220"/>
      <c r="E327" s="220"/>
      <c r="F327" s="220"/>
      <c r="G327" s="220"/>
      <c r="H327" s="220"/>
      <c r="I327" s="220"/>
      <c r="J327" s="220"/>
      <c r="K327" s="220"/>
      <c r="L327" s="220"/>
      <c r="M327" s="220"/>
      <c r="N327" s="220"/>
      <c r="O327" s="220"/>
      <c r="P327" s="220"/>
      <c r="Q327" s="220"/>
      <c r="R327" s="220"/>
      <c r="S327" s="220"/>
      <c r="T327" s="220"/>
      <c r="U327" s="220"/>
      <c r="V327" s="220"/>
      <c r="W327" s="220"/>
      <c r="X327" s="220"/>
      <c r="Y327" s="220"/>
      <c r="Z327" s="220"/>
      <c r="AA327" s="220"/>
      <c r="AB327" s="220"/>
      <c r="AC327" s="220"/>
      <c r="AD327" s="220"/>
      <c r="AE327" s="220"/>
      <c r="AF327" s="220"/>
      <c r="AG327" s="220"/>
      <c r="AH327" s="220"/>
      <c r="AI327" s="220"/>
      <c r="AJ327" s="50"/>
      <c r="AK327" s="257"/>
      <c r="AL327" s="257"/>
      <c r="AM327" s="52"/>
      <c r="AN327" s="88"/>
    </row>
    <row r="328" spans="1:40" ht="31.5" customHeight="1">
      <c r="AK328" s="257"/>
    </row>
    <row r="329" spans="1:40" ht="31.5" customHeight="1">
      <c r="AK329" s="257"/>
    </row>
    <row r="330" spans="1:40" ht="31.5" customHeight="1"/>
    <row r="331" spans="1:40" ht="31.5" customHeight="1"/>
  </sheetData>
  <mergeCells count="23">
    <mergeCell ref="AF8:AH8"/>
    <mergeCell ref="A6:C6"/>
    <mergeCell ref="A1:AN1"/>
    <mergeCell ref="A2:AN2"/>
    <mergeCell ref="A3:AN3"/>
    <mergeCell ref="A4:AN4"/>
    <mergeCell ref="A5:C5"/>
    <mergeCell ref="AM8:AN8"/>
    <mergeCell ref="AJ8:AJ9"/>
    <mergeCell ref="AK8:AK9"/>
    <mergeCell ref="AL8:AL9"/>
    <mergeCell ref="A7:C7"/>
    <mergeCell ref="AC7:AG7"/>
    <mergeCell ref="A8:A10"/>
    <mergeCell ref="B8:B10"/>
    <mergeCell ref="C8:C9"/>
    <mergeCell ref="V8:X8"/>
    <mergeCell ref="AA8:AC8"/>
    <mergeCell ref="D8:D9"/>
    <mergeCell ref="E8:E9"/>
    <mergeCell ref="G8:I8"/>
    <mergeCell ref="L8:N8"/>
    <mergeCell ref="Q8:S8"/>
  </mergeCells>
  <printOptions horizontalCentered="1" verticalCentered="1"/>
  <pageMargins left="0.39370078740157483" right="0.31496062992125984" top="0.51181102362204722" bottom="0.31496062992125984" header="0.31496062992125984" footer="0.11811023622047245"/>
  <pageSetup paperSize="9" scale="46" orientation="landscape" r:id="rId1"/>
  <headerFooter>
    <oddFooter>&amp;R&amp;"Times New Roman,Italic"&amp;10Trang &amp;P</oddFooter>
  </headerFooter>
  <colBreaks count="1" manualBreakCount="1">
    <brk id="40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FD57-9E21-4501-B20E-CB4D1796700C}">
  <sheetPr>
    <tabColor rgb="FF7030A0"/>
  </sheetPr>
  <dimension ref="A1:AO323"/>
  <sheetViews>
    <sheetView view="pageBreakPreview" topLeftCell="D228" zoomScaleNormal="55" zoomScaleSheetLayoutView="100" workbookViewId="0">
      <selection activeCell="AA237" sqref="AA237"/>
    </sheetView>
  </sheetViews>
  <sheetFormatPr defaultColWidth="8.90625" defaultRowHeight="15.6"/>
  <cols>
    <col min="1" max="1" width="4" style="18" customWidth="1"/>
    <col min="2" max="2" width="9.453125" style="22" customWidth="1"/>
    <col min="3" max="3" width="5.90625" style="22" customWidth="1"/>
    <col min="4" max="4" width="6.54296875" style="189" customWidth="1"/>
    <col min="5" max="5" width="6" style="18" customWidth="1"/>
    <col min="6" max="6" width="6" style="18" hidden="1" customWidth="1"/>
    <col min="7" max="7" width="5.453125" style="18" customWidth="1"/>
    <col min="8" max="8" width="5" style="18" customWidth="1"/>
    <col min="9" max="9" width="5.1796875" style="18" customWidth="1"/>
    <col min="10" max="11" width="7.453125" style="18" hidden="1" customWidth="1"/>
    <col min="12" max="14" width="6.6328125" style="18" customWidth="1"/>
    <col min="15" max="15" width="7.08984375" style="18" hidden="1" customWidth="1"/>
    <col min="16" max="16" width="6.6328125" style="18" hidden="1" customWidth="1"/>
    <col min="17" max="19" width="5.6328125" style="18" customWidth="1"/>
    <col min="20" max="20" width="6.54296875" style="18" hidden="1" customWidth="1"/>
    <col min="21" max="21" width="6.36328125" style="18" hidden="1" customWidth="1"/>
    <col min="22" max="22" width="7.08984375" style="18" customWidth="1"/>
    <col min="23" max="23" width="7.36328125" style="18" customWidth="1"/>
    <col min="24" max="24" width="7" style="18" customWidth="1"/>
    <col min="25" max="26" width="7" style="18" hidden="1" customWidth="1"/>
    <col min="27" max="29" width="5.6328125" style="20" customWidth="1"/>
    <col min="30" max="31" width="7.08984375" style="20" hidden="1" customWidth="1"/>
    <col min="32" max="32" width="5.36328125" style="18" customWidth="1"/>
    <col min="33" max="34" width="4.90625" style="18" customWidth="1"/>
    <col min="35" max="35" width="6.1796875" style="18" hidden="1" customWidth="1"/>
    <col min="36" max="36" width="6.08984375" style="18" customWidth="1"/>
    <col min="37" max="37" width="6.81640625" style="18" customWidth="1"/>
    <col min="38" max="38" width="7.453125" style="18" customWidth="1"/>
    <col min="39" max="39" width="10.54296875" style="18" customWidth="1"/>
    <col min="40" max="40" width="10.08984375" style="18" customWidth="1"/>
    <col min="41" max="41" width="15.453125" style="18" customWidth="1"/>
    <col min="42" max="249" width="8.90625" style="18" customWidth="1"/>
    <col min="250" max="16384" width="8.90625" style="18"/>
  </cols>
  <sheetData>
    <row r="1" spans="1:40" ht="17.25" customHeight="1">
      <c r="A1" s="342" t="s">
        <v>147</v>
      </c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  <c r="Q1" s="343"/>
      <c r="R1" s="343"/>
      <c r="S1" s="343"/>
      <c r="T1" s="343"/>
      <c r="U1" s="343"/>
      <c r="V1" s="343"/>
      <c r="W1" s="343"/>
      <c r="X1" s="343"/>
      <c r="Y1" s="343"/>
      <c r="Z1" s="343"/>
      <c r="AA1" s="343"/>
      <c r="AB1" s="343"/>
      <c r="AC1" s="343"/>
      <c r="AD1" s="343"/>
      <c r="AE1" s="343"/>
      <c r="AF1" s="343"/>
      <c r="AG1" s="343"/>
      <c r="AH1" s="343"/>
      <c r="AI1" s="343"/>
      <c r="AJ1" s="343"/>
      <c r="AK1" s="343"/>
      <c r="AL1" s="343"/>
      <c r="AM1" s="343"/>
      <c r="AN1" s="344"/>
    </row>
    <row r="2" spans="1:40" ht="17.25" customHeight="1">
      <c r="A2" s="345" t="s">
        <v>148</v>
      </c>
      <c r="B2" s="346"/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46"/>
      <c r="R2" s="346"/>
      <c r="S2" s="346"/>
      <c r="T2" s="346"/>
      <c r="U2" s="346"/>
      <c r="V2" s="346"/>
      <c r="W2" s="346"/>
      <c r="X2" s="346"/>
      <c r="Y2" s="346"/>
      <c r="Z2" s="346"/>
      <c r="AA2" s="346"/>
      <c r="AB2" s="346"/>
      <c r="AC2" s="346"/>
      <c r="AD2" s="346"/>
      <c r="AE2" s="346"/>
      <c r="AF2" s="346"/>
      <c r="AG2" s="346"/>
      <c r="AH2" s="346"/>
      <c r="AI2" s="346"/>
      <c r="AJ2" s="346"/>
      <c r="AK2" s="346"/>
      <c r="AL2" s="346"/>
      <c r="AM2" s="346"/>
      <c r="AN2" s="347"/>
    </row>
    <row r="3" spans="1:40" ht="17.25" customHeight="1">
      <c r="A3" s="345" t="s">
        <v>149</v>
      </c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  <c r="Q3" s="346"/>
      <c r="R3" s="346"/>
      <c r="S3" s="346"/>
      <c r="T3" s="346"/>
      <c r="U3" s="346"/>
      <c r="V3" s="346"/>
      <c r="W3" s="346"/>
      <c r="X3" s="346"/>
      <c r="Y3" s="346"/>
      <c r="Z3" s="346"/>
      <c r="AA3" s="346"/>
      <c r="AB3" s="346"/>
      <c r="AC3" s="346"/>
      <c r="AD3" s="346"/>
      <c r="AE3" s="346"/>
      <c r="AF3" s="346"/>
      <c r="AG3" s="346"/>
      <c r="AH3" s="346"/>
      <c r="AI3" s="346"/>
      <c r="AJ3" s="346"/>
      <c r="AK3" s="346"/>
      <c r="AL3" s="346"/>
      <c r="AM3" s="346"/>
      <c r="AN3" s="347"/>
    </row>
    <row r="4" spans="1:40" s="19" customFormat="1" ht="17.25" customHeight="1">
      <c r="A4" s="348" t="s">
        <v>121</v>
      </c>
      <c r="B4" s="349"/>
      <c r="C4" s="349"/>
      <c r="D4" s="349"/>
      <c r="E4" s="349"/>
      <c r="F4" s="349"/>
      <c r="G4" s="349"/>
      <c r="H4" s="349"/>
      <c r="I4" s="349"/>
      <c r="J4" s="349"/>
      <c r="K4" s="349"/>
      <c r="L4" s="349"/>
      <c r="M4" s="349"/>
      <c r="N4" s="349"/>
      <c r="O4" s="349"/>
      <c r="P4" s="349"/>
      <c r="Q4" s="349"/>
      <c r="R4" s="349"/>
      <c r="S4" s="349"/>
      <c r="T4" s="349"/>
      <c r="U4" s="349"/>
      <c r="V4" s="349"/>
      <c r="W4" s="349"/>
      <c r="X4" s="349"/>
      <c r="Y4" s="349"/>
      <c r="Z4" s="349"/>
      <c r="AA4" s="349"/>
      <c r="AB4" s="349"/>
      <c r="AC4" s="349"/>
      <c r="AD4" s="349"/>
      <c r="AE4" s="349"/>
      <c r="AF4" s="349"/>
      <c r="AG4" s="349"/>
      <c r="AH4" s="349"/>
      <c r="AI4" s="349"/>
      <c r="AJ4" s="349"/>
      <c r="AK4" s="349"/>
      <c r="AL4" s="349"/>
      <c r="AM4" s="349"/>
      <c r="AN4" s="350"/>
    </row>
    <row r="5" spans="1:40" s="19" customFormat="1" ht="17.25" customHeight="1">
      <c r="A5" s="351" t="s">
        <v>122</v>
      </c>
      <c r="B5" s="352"/>
      <c r="C5" s="352"/>
      <c r="D5" s="234"/>
      <c r="E5" s="234"/>
      <c r="F5" s="234"/>
      <c r="G5" s="234"/>
      <c r="H5" s="234"/>
      <c r="I5" s="234"/>
      <c r="J5" s="234"/>
      <c r="K5" s="234"/>
      <c r="L5" s="234"/>
      <c r="M5" s="235"/>
      <c r="N5" s="235"/>
      <c r="O5" s="235"/>
      <c r="P5" s="235"/>
      <c r="Q5" s="235"/>
      <c r="R5" s="234"/>
      <c r="S5" s="234"/>
      <c r="T5" s="234"/>
      <c r="U5" s="234"/>
      <c r="V5" s="234"/>
      <c r="W5" s="234"/>
      <c r="X5" s="234"/>
      <c r="Y5" s="234"/>
      <c r="Z5" s="234"/>
      <c r="AA5" s="234" t="s">
        <v>123</v>
      </c>
      <c r="AB5" s="234"/>
      <c r="AC5" s="234"/>
      <c r="AD5" s="234"/>
      <c r="AE5" s="234"/>
      <c r="AF5" s="234"/>
      <c r="AG5" s="234"/>
      <c r="AH5" s="234"/>
      <c r="AI5" s="234"/>
      <c r="AJ5" s="234"/>
      <c r="AK5" s="234"/>
      <c r="AL5" s="234"/>
      <c r="AM5" s="234"/>
      <c r="AN5" s="238"/>
    </row>
    <row r="6" spans="1:40" s="19" customFormat="1" ht="17.25" customHeight="1">
      <c r="A6" s="353" t="s">
        <v>124</v>
      </c>
      <c r="B6" s="354"/>
      <c r="C6" s="354"/>
      <c r="D6" s="236"/>
      <c r="E6" s="236"/>
      <c r="F6" s="236"/>
      <c r="G6" s="236"/>
      <c r="H6" s="236"/>
      <c r="I6" s="236"/>
      <c r="J6" s="236"/>
      <c r="K6" s="236"/>
      <c r="L6" s="236"/>
      <c r="M6" s="237"/>
      <c r="N6" s="237"/>
      <c r="O6" s="237"/>
      <c r="P6" s="237"/>
      <c r="Q6" s="237"/>
      <c r="R6" s="236"/>
      <c r="S6" s="236"/>
      <c r="T6" s="236"/>
      <c r="U6" s="236"/>
      <c r="V6" s="236"/>
      <c r="W6" s="236"/>
      <c r="X6" s="236"/>
      <c r="Y6" s="236"/>
      <c r="Z6" s="236"/>
      <c r="AA6" s="236" t="s">
        <v>125</v>
      </c>
      <c r="AB6" s="236"/>
      <c r="AC6" s="220">
        <f>C11</f>
        <v>1049</v>
      </c>
      <c r="AD6" s="258"/>
      <c r="AE6" s="258"/>
      <c r="AF6" s="236"/>
      <c r="AG6" s="236"/>
      <c r="AH6" s="236"/>
      <c r="AI6" s="236"/>
      <c r="AJ6" s="236"/>
      <c r="AK6" s="236"/>
      <c r="AL6" s="236"/>
      <c r="AM6" s="236"/>
      <c r="AN6" s="239"/>
    </row>
    <row r="7" spans="1:40" s="19" customFormat="1" ht="17.25" customHeight="1">
      <c r="A7" s="339" t="s">
        <v>126</v>
      </c>
      <c r="B7" s="340" t="s">
        <v>143</v>
      </c>
      <c r="C7" s="340"/>
      <c r="D7" s="240" t="s">
        <v>156</v>
      </c>
      <c r="E7" s="240"/>
      <c r="F7" s="240"/>
      <c r="G7" s="240"/>
      <c r="H7" s="240"/>
      <c r="I7" s="240"/>
      <c r="J7" s="240"/>
      <c r="K7" s="240"/>
      <c r="L7" s="240"/>
      <c r="M7" s="241"/>
      <c r="N7" s="241"/>
      <c r="O7" s="241"/>
      <c r="P7" s="241"/>
      <c r="Q7" s="241"/>
      <c r="R7" s="240"/>
      <c r="S7" s="240"/>
      <c r="T7" s="240"/>
      <c r="U7" s="240"/>
      <c r="V7" s="240"/>
      <c r="W7" s="240"/>
      <c r="X7" s="240"/>
      <c r="Y7" s="240"/>
      <c r="Z7" s="240"/>
      <c r="AA7" s="240" t="s">
        <v>127</v>
      </c>
      <c r="AB7" s="240"/>
      <c r="AC7" s="341">
        <f>B11</f>
        <v>45585</v>
      </c>
      <c r="AD7" s="341"/>
      <c r="AE7" s="341"/>
      <c r="AF7" s="341"/>
      <c r="AG7" s="341"/>
      <c r="AH7" s="240"/>
      <c r="AI7" s="240"/>
      <c r="AJ7" s="240"/>
      <c r="AK7" s="240"/>
      <c r="AL7" s="240"/>
      <c r="AM7" s="240"/>
      <c r="AN7" s="242"/>
    </row>
    <row r="8" spans="1:40" s="46" customFormat="1" ht="47.25" customHeight="1">
      <c r="A8" s="357" t="s">
        <v>1</v>
      </c>
      <c r="B8" s="359" t="s">
        <v>2</v>
      </c>
      <c r="C8" s="360" t="s">
        <v>10</v>
      </c>
      <c r="D8" s="360" t="s">
        <v>3</v>
      </c>
      <c r="E8" s="357" t="s">
        <v>11</v>
      </c>
      <c r="F8" s="265" t="s">
        <v>70</v>
      </c>
      <c r="G8" s="362" t="s">
        <v>70</v>
      </c>
      <c r="H8" s="363"/>
      <c r="I8" s="363"/>
      <c r="J8" s="266"/>
      <c r="K8" s="265" t="s">
        <v>98</v>
      </c>
      <c r="L8" s="362" t="s">
        <v>98</v>
      </c>
      <c r="M8" s="363"/>
      <c r="N8" s="363"/>
      <c r="O8" s="266"/>
      <c r="P8" s="267" t="s">
        <v>99</v>
      </c>
      <c r="Q8" s="362" t="s">
        <v>99</v>
      </c>
      <c r="R8" s="363"/>
      <c r="S8" s="364"/>
      <c r="T8" s="267"/>
      <c r="U8" s="267" t="s">
        <v>71</v>
      </c>
      <c r="V8" s="362" t="s">
        <v>71</v>
      </c>
      <c r="W8" s="363"/>
      <c r="X8" s="364"/>
      <c r="Y8" s="267"/>
      <c r="Z8" s="268" t="s">
        <v>100</v>
      </c>
      <c r="AA8" s="355" t="s">
        <v>100</v>
      </c>
      <c r="AB8" s="358"/>
      <c r="AC8" s="356"/>
      <c r="AD8" s="268"/>
      <c r="AE8" s="268" t="s">
        <v>101</v>
      </c>
      <c r="AF8" s="355" t="s">
        <v>101</v>
      </c>
      <c r="AG8" s="358"/>
      <c r="AH8" s="356"/>
      <c r="AI8" s="269"/>
      <c r="AJ8" s="357" t="s">
        <v>73</v>
      </c>
      <c r="AK8" s="357" t="s">
        <v>72</v>
      </c>
      <c r="AL8" s="357" t="s">
        <v>144</v>
      </c>
      <c r="AM8" s="355" t="s">
        <v>66</v>
      </c>
      <c r="AN8" s="356"/>
    </row>
    <row r="9" spans="1:40" s="29" customFormat="1" ht="40.5" customHeight="1">
      <c r="A9" s="357"/>
      <c r="B9" s="359"/>
      <c r="C9" s="361"/>
      <c r="D9" s="361"/>
      <c r="E9" s="357"/>
      <c r="F9" s="47" t="s">
        <v>145</v>
      </c>
      <c r="G9" s="47" t="s">
        <v>6</v>
      </c>
      <c r="H9" s="47" t="s">
        <v>7</v>
      </c>
      <c r="I9" s="47" t="s">
        <v>8</v>
      </c>
      <c r="J9" s="47" t="s">
        <v>146</v>
      </c>
      <c r="K9" s="47" t="s">
        <v>145</v>
      </c>
      <c r="L9" s="47" t="s">
        <v>6</v>
      </c>
      <c r="M9" s="47" t="s">
        <v>7</v>
      </c>
      <c r="N9" s="47" t="s">
        <v>8</v>
      </c>
      <c r="O9" s="47" t="s">
        <v>146</v>
      </c>
      <c r="P9" s="47" t="s">
        <v>145</v>
      </c>
      <c r="Q9" s="47" t="s">
        <v>6</v>
      </c>
      <c r="R9" s="47" t="s">
        <v>7</v>
      </c>
      <c r="S9" s="47" t="s">
        <v>8</v>
      </c>
      <c r="T9" s="47" t="s">
        <v>146</v>
      </c>
      <c r="U9" s="47" t="s">
        <v>145</v>
      </c>
      <c r="V9" s="47" t="s">
        <v>6</v>
      </c>
      <c r="W9" s="47" t="s">
        <v>7</v>
      </c>
      <c r="X9" s="47" t="s">
        <v>8</v>
      </c>
      <c r="Y9" s="47" t="s">
        <v>146</v>
      </c>
      <c r="Z9" s="47" t="s">
        <v>145</v>
      </c>
      <c r="AA9" s="47" t="s">
        <v>6</v>
      </c>
      <c r="AB9" s="47" t="s">
        <v>7</v>
      </c>
      <c r="AC9" s="47" t="s">
        <v>8</v>
      </c>
      <c r="AD9" s="47" t="s">
        <v>146</v>
      </c>
      <c r="AE9" s="47" t="s">
        <v>145</v>
      </c>
      <c r="AF9" s="47" t="s">
        <v>6</v>
      </c>
      <c r="AG9" s="47" t="s">
        <v>7</v>
      </c>
      <c r="AH9" s="47" t="s">
        <v>8</v>
      </c>
      <c r="AI9" s="47" t="s">
        <v>146</v>
      </c>
      <c r="AJ9" s="357"/>
      <c r="AK9" s="357"/>
      <c r="AL9" s="357"/>
      <c r="AM9" s="47" t="s">
        <v>67</v>
      </c>
      <c r="AN9" s="87" t="s">
        <v>68</v>
      </c>
    </row>
    <row r="10" spans="1:40" s="29" customFormat="1" ht="20.100000000000001" customHeight="1">
      <c r="A10" s="357"/>
      <c r="B10" s="359"/>
      <c r="C10" s="49" t="s">
        <v>0</v>
      </c>
      <c r="D10" s="49" t="s">
        <v>0</v>
      </c>
      <c r="E10" s="48" t="s">
        <v>0</v>
      </c>
      <c r="F10" s="48" t="s">
        <v>0</v>
      </c>
      <c r="G10" s="48" t="s">
        <v>0</v>
      </c>
      <c r="H10" s="48" t="s">
        <v>0</v>
      </c>
      <c r="I10" s="48" t="s">
        <v>0</v>
      </c>
      <c r="J10" s="48" t="s">
        <v>0</v>
      </c>
      <c r="K10" s="48" t="s">
        <v>0</v>
      </c>
      <c r="L10" s="48" t="s">
        <v>0</v>
      </c>
      <c r="M10" s="48" t="s">
        <v>0</v>
      </c>
      <c r="N10" s="48" t="s">
        <v>0</v>
      </c>
      <c r="O10" s="48" t="s">
        <v>0</v>
      </c>
      <c r="P10" s="48" t="s">
        <v>0</v>
      </c>
      <c r="Q10" s="48" t="s">
        <v>0</v>
      </c>
      <c r="R10" s="48" t="s">
        <v>0</v>
      </c>
      <c r="S10" s="48" t="s">
        <v>0</v>
      </c>
      <c r="T10" s="48" t="s">
        <v>0</v>
      </c>
      <c r="U10" s="48" t="s">
        <v>0</v>
      </c>
      <c r="V10" s="48" t="s">
        <v>0</v>
      </c>
      <c r="W10" s="48" t="s">
        <v>0</v>
      </c>
      <c r="X10" s="48" t="s">
        <v>0</v>
      </c>
      <c r="Y10" s="48" t="s">
        <v>0</v>
      </c>
      <c r="Z10" s="48" t="s">
        <v>9</v>
      </c>
      <c r="AA10" s="48" t="s">
        <v>9</v>
      </c>
      <c r="AB10" s="48" t="s">
        <v>9</v>
      </c>
      <c r="AC10" s="48" t="s">
        <v>9</v>
      </c>
      <c r="AD10" s="48" t="s">
        <v>9</v>
      </c>
      <c r="AE10" s="48" t="s">
        <v>9</v>
      </c>
      <c r="AF10" s="48" t="s">
        <v>9</v>
      </c>
      <c r="AG10" s="48" t="s">
        <v>9</v>
      </c>
      <c r="AH10" s="48" t="s">
        <v>9</v>
      </c>
      <c r="AI10" s="48" t="s">
        <v>9</v>
      </c>
      <c r="AJ10" s="48" t="s">
        <v>0</v>
      </c>
      <c r="AK10" s="48" t="s">
        <v>0</v>
      </c>
      <c r="AL10" s="48" t="s">
        <v>0</v>
      </c>
      <c r="AM10" s="48"/>
      <c r="AN10" s="67"/>
    </row>
    <row r="11" spans="1:40" s="29" customFormat="1" ht="17.25" customHeight="1">
      <c r="A11" s="48">
        <v>1</v>
      </c>
      <c r="B11" s="49">
        <v>45585</v>
      </c>
      <c r="C11" s="220">
        <v>1049</v>
      </c>
      <c r="D11" s="220">
        <v>2433</v>
      </c>
      <c r="E11" s="220">
        <v>3502</v>
      </c>
      <c r="F11" s="220">
        <f>E11-K11</f>
        <v>853</v>
      </c>
      <c r="G11" s="220">
        <v>750</v>
      </c>
      <c r="H11" s="220">
        <v>785</v>
      </c>
      <c r="I11" s="220">
        <v>870</v>
      </c>
      <c r="J11" s="220">
        <f>E11-O11</f>
        <v>943</v>
      </c>
      <c r="K11" s="220">
        <f>P11+U11</f>
        <v>2649</v>
      </c>
      <c r="L11" s="220">
        <v>2752</v>
      </c>
      <c r="M11" s="220">
        <v>2717</v>
      </c>
      <c r="N11" s="220">
        <v>2632</v>
      </c>
      <c r="O11" s="220">
        <f>T11+Y11</f>
        <v>2559</v>
      </c>
      <c r="P11" s="220">
        <v>2000</v>
      </c>
      <c r="Q11" s="220">
        <v>2150</v>
      </c>
      <c r="R11" s="220">
        <v>2150</v>
      </c>
      <c r="S11" s="220">
        <v>2150</v>
      </c>
      <c r="T11" s="220">
        <v>2000</v>
      </c>
      <c r="U11" s="220">
        <v>649</v>
      </c>
      <c r="V11" s="220">
        <v>602</v>
      </c>
      <c r="W11" s="220">
        <v>567</v>
      </c>
      <c r="X11" s="220">
        <v>482</v>
      </c>
      <c r="Y11" s="220">
        <v>559</v>
      </c>
      <c r="Z11" s="220">
        <v>0</v>
      </c>
      <c r="AA11" s="220">
        <v>0</v>
      </c>
      <c r="AB11" s="220">
        <v>0</v>
      </c>
      <c r="AC11" s="220">
        <v>0</v>
      </c>
      <c r="AD11" s="220">
        <v>0</v>
      </c>
      <c r="AE11" s="220">
        <v>0</v>
      </c>
      <c r="AF11" s="220">
        <v>0</v>
      </c>
      <c r="AG11" s="220">
        <v>0</v>
      </c>
      <c r="AH11" s="220">
        <v>0</v>
      </c>
      <c r="AI11" s="220">
        <v>0</v>
      </c>
      <c r="AJ11" s="50">
        <f>W11/1000</f>
        <v>0.56699999999999995</v>
      </c>
      <c r="AK11" s="257"/>
      <c r="AL11" s="257">
        <f>AK11</f>
        <v>0</v>
      </c>
      <c r="AM11" s="52"/>
      <c r="AN11" s="88"/>
    </row>
    <row r="12" spans="1:40" s="261" customFormat="1" ht="17.25" customHeight="1">
      <c r="A12" s="76">
        <v>2</v>
      </c>
      <c r="B12" s="77">
        <f>B11+1</f>
        <v>45586</v>
      </c>
      <c r="C12" s="213">
        <f>+C11</f>
        <v>1049</v>
      </c>
      <c r="D12" s="213">
        <f>D11+15</f>
        <v>2448</v>
      </c>
      <c r="E12" s="213">
        <f>+C12+D12</f>
        <v>3497</v>
      </c>
      <c r="F12" s="213">
        <f t="shared" ref="F12:F75" si="0">E12-K12</f>
        <v>852</v>
      </c>
      <c r="G12" s="213">
        <f t="shared" ref="G12:G75" si="1">E12-L12</f>
        <v>748</v>
      </c>
      <c r="H12" s="213">
        <f t="shared" ref="H12:H75" si="2">E12-M12</f>
        <v>784</v>
      </c>
      <c r="I12" s="213">
        <f t="shared" ref="I12:I75" si="3">E12-N12</f>
        <v>870</v>
      </c>
      <c r="J12" s="213">
        <f t="shared" ref="J12:J75" si="4">E12-O12</f>
        <v>942</v>
      </c>
      <c r="K12" s="213">
        <f t="shared" ref="K12:O62" si="5">P12+U12</f>
        <v>2645</v>
      </c>
      <c r="L12" s="213">
        <f t="shared" si="5"/>
        <v>2749</v>
      </c>
      <c r="M12" s="213">
        <f t="shared" si="5"/>
        <v>2713</v>
      </c>
      <c r="N12" s="213">
        <f t="shared" si="5"/>
        <v>2627</v>
      </c>
      <c r="O12" s="213">
        <f t="shared" si="5"/>
        <v>2555</v>
      </c>
      <c r="P12" s="213">
        <f>+P11</f>
        <v>2000</v>
      </c>
      <c r="Q12" s="213">
        <f>+Q11</f>
        <v>2150</v>
      </c>
      <c r="R12" s="213">
        <f>+R11</f>
        <v>2150</v>
      </c>
      <c r="S12" s="213">
        <f>+S11</f>
        <v>2150</v>
      </c>
      <c r="T12" s="213">
        <f>+T11</f>
        <v>2000</v>
      </c>
      <c r="U12" s="213">
        <f>U11-Z12</f>
        <v>645</v>
      </c>
      <c r="V12" s="213">
        <f>V11-AA12</f>
        <v>599</v>
      </c>
      <c r="W12" s="213">
        <f>W11-AB12</f>
        <v>563</v>
      </c>
      <c r="X12" s="213">
        <f>X11-AC12</f>
        <v>477</v>
      </c>
      <c r="Y12" s="213">
        <f>Y11-AD12</f>
        <v>555</v>
      </c>
      <c r="Z12" s="213">
        <v>4</v>
      </c>
      <c r="AA12" s="213">
        <v>3</v>
      </c>
      <c r="AB12" s="213">
        <v>4</v>
      </c>
      <c r="AC12" s="213">
        <v>5</v>
      </c>
      <c r="AD12" s="213">
        <v>4</v>
      </c>
      <c r="AE12" s="213">
        <f>AE11-Z12</f>
        <v>-4</v>
      </c>
      <c r="AF12" s="213">
        <f>AF11-AA12</f>
        <v>-3</v>
      </c>
      <c r="AG12" s="213">
        <f>AG11-AB12</f>
        <v>-4</v>
      </c>
      <c r="AH12" s="213">
        <f>AH11-AC12</f>
        <v>-5</v>
      </c>
      <c r="AI12" s="213">
        <f>AI11-AD12</f>
        <v>-4</v>
      </c>
      <c r="AJ12" s="78">
        <f>AJ11-AB12/1000+AK12</f>
        <v>0.86299999999999999</v>
      </c>
      <c r="AK12" s="259">
        <v>0.3</v>
      </c>
      <c r="AL12" s="259">
        <f>AL11+AK12</f>
        <v>0.3</v>
      </c>
      <c r="AM12" s="81"/>
      <c r="AN12" s="260"/>
    </row>
    <row r="13" spans="1:40" s="29" customFormat="1" ht="17.25" customHeight="1">
      <c r="A13" s="48">
        <v>3</v>
      </c>
      <c r="B13" s="49">
        <f t="shared" ref="B13:B76" si="6">B12+1</f>
        <v>45587</v>
      </c>
      <c r="C13" s="220">
        <f t="shared" ref="C13:C76" si="7">+C12</f>
        <v>1049</v>
      </c>
      <c r="D13" s="220">
        <f>D12+26</f>
        <v>2474</v>
      </c>
      <c r="E13" s="220">
        <f t="shared" ref="E13:E76" si="8">+C13+D13</f>
        <v>3523</v>
      </c>
      <c r="F13" s="220">
        <f t="shared" si="0"/>
        <v>881</v>
      </c>
      <c r="G13" s="220">
        <f t="shared" si="1"/>
        <v>777</v>
      </c>
      <c r="H13" s="220">
        <f t="shared" si="2"/>
        <v>813</v>
      </c>
      <c r="I13" s="220">
        <f t="shared" si="3"/>
        <v>901</v>
      </c>
      <c r="J13" s="220">
        <f t="shared" si="4"/>
        <v>971</v>
      </c>
      <c r="K13" s="220">
        <f t="shared" si="5"/>
        <v>2642</v>
      </c>
      <c r="L13" s="220">
        <f t="shared" si="5"/>
        <v>2746</v>
      </c>
      <c r="M13" s="220">
        <f t="shared" si="5"/>
        <v>2710</v>
      </c>
      <c r="N13" s="220">
        <f t="shared" si="5"/>
        <v>2622</v>
      </c>
      <c r="O13" s="220">
        <f t="shared" si="5"/>
        <v>2552</v>
      </c>
      <c r="P13" s="220">
        <f t="shared" ref="P13:T28" si="9">+P12</f>
        <v>2000</v>
      </c>
      <c r="Q13" s="220">
        <f t="shared" si="9"/>
        <v>2150</v>
      </c>
      <c r="R13" s="220">
        <f t="shared" si="9"/>
        <v>2150</v>
      </c>
      <c r="S13" s="220">
        <f t="shared" si="9"/>
        <v>2150</v>
      </c>
      <c r="T13" s="220">
        <f t="shared" si="9"/>
        <v>2000</v>
      </c>
      <c r="U13" s="220">
        <f t="shared" ref="U13:Y28" si="10">U12-Z13</f>
        <v>642</v>
      </c>
      <c r="V13" s="220">
        <f t="shared" si="10"/>
        <v>596</v>
      </c>
      <c r="W13" s="220">
        <f t="shared" si="10"/>
        <v>560</v>
      </c>
      <c r="X13" s="220">
        <f t="shared" si="10"/>
        <v>472</v>
      </c>
      <c r="Y13" s="220">
        <f t="shared" si="10"/>
        <v>552</v>
      </c>
      <c r="Z13" s="220">
        <v>3</v>
      </c>
      <c r="AA13" s="220">
        <v>3</v>
      </c>
      <c r="AB13" s="220">
        <v>3</v>
      </c>
      <c r="AC13" s="220">
        <v>5</v>
      </c>
      <c r="AD13" s="220">
        <v>3</v>
      </c>
      <c r="AE13" s="220">
        <f t="shared" ref="AE13:AI28" si="11">AE12-Z13</f>
        <v>-7</v>
      </c>
      <c r="AF13" s="220">
        <f t="shared" si="11"/>
        <v>-6</v>
      </c>
      <c r="AG13" s="220">
        <f t="shared" si="11"/>
        <v>-7</v>
      </c>
      <c r="AH13" s="220">
        <f t="shared" si="11"/>
        <v>-10</v>
      </c>
      <c r="AI13" s="220">
        <f t="shared" si="11"/>
        <v>-7</v>
      </c>
      <c r="AJ13" s="50">
        <f t="shared" ref="AJ13:AJ76" si="12">AJ12-AB13/1000+AK13</f>
        <v>0.86</v>
      </c>
      <c r="AK13" s="257"/>
      <c r="AL13" s="257">
        <f t="shared" ref="AL13:AL76" si="13">AL12+AK13</f>
        <v>0.3</v>
      </c>
      <c r="AM13" s="52"/>
      <c r="AN13" s="88"/>
    </row>
    <row r="14" spans="1:40" s="29" customFormat="1" ht="17.25" customHeight="1">
      <c r="A14" s="48">
        <v>4</v>
      </c>
      <c r="B14" s="49">
        <f t="shared" si="6"/>
        <v>45588</v>
      </c>
      <c r="C14" s="220">
        <f t="shared" si="7"/>
        <v>1049</v>
      </c>
      <c r="D14" s="220">
        <f>D13+32</f>
        <v>2506</v>
      </c>
      <c r="E14" s="220">
        <f t="shared" si="8"/>
        <v>3555</v>
      </c>
      <c r="F14" s="220">
        <f t="shared" si="0"/>
        <v>916</v>
      </c>
      <c r="G14" s="220">
        <f t="shared" si="1"/>
        <v>811</v>
      </c>
      <c r="H14" s="220">
        <f t="shared" si="2"/>
        <v>853</v>
      </c>
      <c r="I14" s="220">
        <f t="shared" si="3"/>
        <v>938</v>
      </c>
      <c r="J14" s="220">
        <f t="shared" si="4"/>
        <v>1006</v>
      </c>
      <c r="K14" s="220">
        <f t="shared" si="5"/>
        <v>2639</v>
      </c>
      <c r="L14" s="220">
        <f t="shared" si="5"/>
        <v>2744</v>
      </c>
      <c r="M14" s="220">
        <f t="shared" si="5"/>
        <v>2702</v>
      </c>
      <c r="N14" s="220">
        <f t="shared" si="5"/>
        <v>2617</v>
      </c>
      <c r="O14" s="220">
        <f t="shared" si="5"/>
        <v>2549</v>
      </c>
      <c r="P14" s="220">
        <f t="shared" si="9"/>
        <v>2000</v>
      </c>
      <c r="Q14" s="220">
        <f t="shared" si="9"/>
        <v>2150</v>
      </c>
      <c r="R14" s="220">
        <f t="shared" si="9"/>
        <v>2150</v>
      </c>
      <c r="S14" s="220">
        <f t="shared" si="9"/>
        <v>2150</v>
      </c>
      <c r="T14" s="220">
        <f t="shared" si="9"/>
        <v>2000</v>
      </c>
      <c r="U14" s="220">
        <f t="shared" si="10"/>
        <v>639</v>
      </c>
      <c r="V14" s="220">
        <f t="shared" si="10"/>
        <v>594</v>
      </c>
      <c r="W14" s="220">
        <f t="shared" si="10"/>
        <v>552</v>
      </c>
      <c r="X14" s="220">
        <f t="shared" si="10"/>
        <v>467</v>
      </c>
      <c r="Y14" s="220">
        <f t="shared" si="10"/>
        <v>549</v>
      </c>
      <c r="Z14" s="220">
        <v>3</v>
      </c>
      <c r="AA14" s="220">
        <v>2</v>
      </c>
      <c r="AB14" s="220">
        <v>8</v>
      </c>
      <c r="AC14" s="220">
        <v>5</v>
      </c>
      <c r="AD14" s="220">
        <v>3</v>
      </c>
      <c r="AE14" s="220">
        <f t="shared" si="11"/>
        <v>-10</v>
      </c>
      <c r="AF14" s="220">
        <f t="shared" si="11"/>
        <v>-8</v>
      </c>
      <c r="AG14" s="220">
        <f t="shared" si="11"/>
        <v>-15</v>
      </c>
      <c r="AH14" s="220">
        <f t="shared" si="11"/>
        <v>-15</v>
      </c>
      <c r="AI14" s="220">
        <f t="shared" si="11"/>
        <v>-10</v>
      </c>
      <c r="AJ14" s="50">
        <f t="shared" si="12"/>
        <v>0.85199999999999998</v>
      </c>
      <c r="AK14" s="257"/>
      <c r="AL14" s="257">
        <f t="shared" si="13"/>
        <v>0.3</v>
      </c>
      <c r="AM14" s="52"/>
      <c r="AN14" s="88"/>
    </row>
    <row r="15" spans="1:40" s="29" customFormat="1" ht="17.25" customHeight="1">
      <c r="A15" s="48">
        <v>5</v>
      </c>
      <c r="B15" s="49">
        <f t="shared" si="6"/>
        <v>45589</v>
      </c>
      <c r="C15" s="220">
        <f t="shared" si="7"/>
        <v>1049</v>
      </c>
      <c r="D15" s="220">
        <f>D14-18</f>
        <v>2488</v>
      </c>
      <c r="E15" s="220">
        <f t="shared" si="8"/>
        <v>3537</v>
      </c>
      <c r="F15" s="220">
        <f t="shared" si="0"/>
        <v>900</v>
      </c>
      <c r="G15" s="220">
        <f t="shared" si="1"/>
        <v>797</v>
      </c>
      <c r="H15" s="220">
        <f t="shared" si="2"/>
        <v>842</v>
      </c>
      <c r="I15" s="220">
        <f t="shared" si="3"/>
        <v>924</v>
      </c>
      <c r="J15" s="220">
        <f t="shared" si="4"/>
        <v>990</v>
      </c>
      <c r="K15" s="220">
        <f t="shared" si="5"/>
        <v>2637</v>
      </c>
      <c r="L15" s="220">
        <f t="shared" si="5"/>
        <v>2740</v>
      </c>
      <c r="M15" s="220">
        <f t="shared" si="5"/>
        <v>2695</v>
      </c>
      <c r="N15" s="220">
        <f t="shared" si="5"/>
        <v>2613</v>
      </c>
      <c r="O15" s="220">
        <f t="shared" si="5"/>
        <v>2547</v>
      </c>
      <c r="P15" s="220">
        <f t="shared" si="9"/>
        <v>2000</v>
      </c>
      <c r="Q15" s="220">
        <f t="shared" si="9"/>
        <v>2150</v>
      </c>
      <c r="R15" s="220">
        <f t="shared" si="9"/>
        <v>2150</v>
      </c>
      <c r="S15" s="220">
        <f t="shared" si="9"/>
        <v>2150</v>
      </c>
      <c r="T15" s="220">
        <f t="shared" si="9"/>
        <v>2000</v>
      </c>
      <c r="U15" s="220">
        <f t="shared" si="10"/>
        <v>637</v>
      </c>
      <c r="V15" s="220">
        <f t="shared" si="10"/>
        <v>590</v>
      </c>
      <c r="W15" s="220">
        <f t="shared" si="10"/>
        <v>545</v>
      </c>
      <c r="X15" s="220">
        <f t="shared" si="10"/>
        <v>463</v>
      </c>
      <c r="Y15" s="220">
        <f t="shared" si="10"/>
        <v>547</v>
      </c>
      <c r="Z15" s="220">
        <v>2</v>
      </c>
      <c r="AA15" s="220">
        <v>4</v>
      </c>
      <c r="AB15" s="220">
        <v>7</v>
      </c>
      <c r="AC15" s="220">
        <v>4</v>
      </c>
      <c r="AD15" s="220">
        <v>2</v>
      </c>
      <c r="AE15" s="220">
        <f t="shared" si="11"/>
        <v>-12</v>
      </c>
      <c r="AF15" s="220">
        <f t="shared" si="11"/>
        <v>-12</v>
      </c>
      <c r="AG15" s="220">
        <f t="shared" si="11"/>
        <v>-22</v>
      </c>
      <c r="AH15" s="220">
        <f t="shared" si="11"/>
        <v>-19</v>
      </c>
      <c r="AI15" s="220">
        <f t="shared" si="11"/>
        <v>-12</v>
      </c>
      <c r="AJ15" s="50">
        <f t="shared" si="12"/>
        <v>0.84499999999999997</v>
      </c>
      <c r="AK15" s="257"/>
      <c r="AL15" s="257">
        <f t="shared" si="13"/>
        <v>0.3</v>
      </c>
      <c r="AM15" s="52"/>
      <c r="AN15" s="88"/>
    </row>
    <row r="16" spans="1:40" s="29" customFormat="1" ht="17.25" customHeight="1">
      <c r="A16" s="48">
        <v>6</v>
      </c>
      <c r="B16" s="49">
        <f t="shared" si="6"/>
        <v>45590</v>
      </c>
      <c r="C16" s="220">
        <f t="shared" si="7"/>
        <v>1049</v>
      </c>
      <c r="D16" s="220">
        <f>D15-26</f>
        <v>2462</v>
      </c>
      <c r="E16" s="220">
        <f t="shared" si="8"/>
        <v>3511</v>
      </c>
      <c r="F16" s="220">
        <f t="shared" si="0"/>
        <v>878</v>
      </c>
      <c r="G16" s="220">
        <f t="shared" si="1"/>
        <v>775</v>
      </c>
      <c r="H16" s="220">
        <f t="shared" si="2"/>
        <v>825</v>
      </c>
      <c r="I16" s="220">
        <f t="shared" si="3"/>
        <v>907</v>
      </c>
      <c r="J16" s="220">
        <f t="shared" si="4"/>
        <v>968</v>
      </c>
      <c r="K16" s="220">
        <f t="shared" si="5"/>
        <v>2633</v>
      </c>
      <c r="L16" s="220">
        <f t="shared" si="5"/>
        <v>2736</v>
      </c>
      <c r="M16" s="220">
        <f t="shared" si="5"/>
        <v>2686</v>
      </c>
      <c r="N16" s="220">
        <f t="shared" si="5"/>
        <v>2604</v>
      </c>
      <c r="O16" s="220">
        <f t="shared" si="5"/>
        <v>2543</v>
      </c>
      <c r="P16" s="220">
        <f t="shared" si="9"/>
        <v>2000</v>
      </c>
      <c r="Q16" s="220">
        <f t="shared" si="9"/>
        <v>2150</v>
      </c>
      <c r="R16" s="220">
        <f t="shared" si="9"/>
        <v>2150</v>
      </c>
      <c r="S16" s="220">
        <f t="shared" si="9"/>
        <v>2150</v>
      </c>
      <c r="T16" s="220">
        <f t="shared" si="9"/>
        <v>2000</v>
      </c>
      <c r="U16" s="220">
        <f t="shared" si="10"/>
        <v>633</v>
      </c>
      <c r="V16" s="220">
        <f t="shared" si="10"/>
        <v>586</v>
      </c>
      <c r="W16" s="220">
        <f t="shared" si="10"/>
        <v>536</v>
      </c>
      <c r="X16" s="220">
        <f t="shared" si="10"/>
        <v>454</v>
      </c>
      <c r="Y16" s="220">
        <f t="shared" si="10"/>
        <v>543</v>
      </c>
      <c r="Z16" s="220">
        <v>4</v>
      </c>
      <c r="AA16" s="220">
        <v>4</v>
      </c>
      <c r="AB16" s="220">
        <v>9</v>
      </c>
      <c r="AC16" s="220">
        <v>9</v>
      </c>
      <c r="AD16" s="220">
        <v>4</v>
      </c>
      <c r="AE16" s="220">
        <f t="shared" si="11"/>
        <v>-16</v>
      </c>
      <c r="AF16" s="220">
        <f t="shared" si="11"/>
        <v>-16</v>
      </c>
      <c r="AG16" s="220">
        <f t="shared" si="11"/>
        <v>-31</v>
      </c>
      <c r="AH16" s="220">
        <f t="shared" si="11"/>
        <v>-28</v>
      </c>
      <c r="AI16" s="220">
        <f t="shared" si="11"/>
        <v>-16</v>
      </c>
      <c r="AJ16" s="50">
        <f t="shared" si="12"/>
        <v>0.83599999999999997</v>
      </c>
      <c r="AK16" s="257"/>
      <c r="AL16" s="257">
        <f t="shared" si="13"/>
        <v>0.3</v>
      </c>
      <c r="AM16" s="52"/>
      <c r="AN16" s="88"/>
    </row>
    <row r="17" spans="1:40" s="261" customFormat="1" ht="17.25" customHeight="1">
      <c r="A17" s="76">
        <v>7</v>
      </c>
      <c r="B17" s="77">
        <f t="shared" si="6"/>
        <v>45591</v>
      </c>
      <c r="C17" s="213">
        <f t="shared" si="7"/>
        <v>1049</v>
      </c>
      <c r="D17" s="213">
        <f t="shared" ref="D17" si="14">D16+15</f>
        <v>2477</v>
      </c>
      <c r="E17" s="213">
        <f t="shared" si="8"/>
        <v>3526</v>
      </c>
      <c r="F17" s="213">
        <f t="shared" si="0"/>
        <v>896</v>
      </c>
      <c r="G17" s="213">
        <f t="shared" si="1"/>
        <v>794</v>
      </c>
      <c r="H17" s="213">
        <f t="shared" si="2"/>
        <v>848</v>
      </c>
      <c r="I17" s="213">
        <f t="shared" si="3"/>
        <v>931</v>
      </c>
      <c r="J17" s="213">
        <f t="shared" si="4"/>
        <v>986</v>
      </c>
      <c r="K17" s="213">
        <f t="shared" si="5"/>
        <v>2630</v>
      </c>
      <c r="L17" s="213">
        <f t="shared" si="5"/>
        <v>2732</v>
      </c>
      <c r="M17" s="213">
        <f t="shared" si="5"/>
        <v>2678</v>
      </c>
      <c r="N17" s="213">
        <f t="shared" si="5"/>
        <v>2595</v>
      </c>
      <c r="O17" s="213">
        <f t="shared" si="5"/>
        <v>2540</v>
      </c>
      <c r="P17" s="213">
        <f t="shared" si="9"/>
        <v>2000</v>
      </c>
      <c r="Q17" s="213">
        <f t="shared" si="9"/>
        <v>2150</v>
      </c>
      <c r="R17" s="213">
        <f t="shared" si="9"/>
        <v>2150</v>
      </c>
      <c r="S17" s="213">
        <f t="shared" si="9"/>
        <v>2150</v>
      </c>
      <c r="T17" s="213">
        <f t="shared" si="9"/>
        <v>2000</v>
      </c>
      <c r="U17" s="213">
        <f t="shared" si="10"/>
        <v>630</v>
      </c>
      <c r="V17" s="213">
        <f t="shared" si="10"/>
        <v>582</v>
      </c>
      <c r="W17" s="213">
        <f t="shared" si="10"/>
        <v>528</v>
      </c>
      <c r="X17" s="213">
        <f t="shared" si="10"/>
        <v>445</v>
      </c>
      <c r="Y17" s="213">
        <f t="shared" si="10"/>
        <v>540</v>
      </c>
      <c r="Z17" s="213">
        <v>3</v>
      </c>
      <c r="AA17" s="213">
        <v>4</v>
      </c>
      <c r="AB17" s="213">
        <v>8</v>
      </c>
      <c r="AC17" s="213">
        <v>9</v>
      </c>
      <c r="AD17" s="213">
        <v>3</v>
      </c>
      <c r="AE17" s="213">
        <f t="shared" si="11"/>
        <v>-19</v>
      </c>
      <c r="AF17" s="213">
        <f t="shared" si="11"/>
        <v>-20</v>
      </c>
      <c r="AG17" s="213">
        <f t="shared" si="11"/>
        <v>-39</v>
      </c>
      <c r="AH17" s="213">
        <f t="shared" si="11"/>
        <v>-37</v>
      </c>
      <c r="AI17" s="213">
        <f t="shared" si="11"/>
        <v>-19</v>
      </c>
      <c r="AJ17" s="78">
        <f t="shared" si="12"/>
        <v>1.1279999999999999</v>
      </c>
      <c r="AK17" s="259">
        <v>0.3</v>
      </c>
      <c r="AL17" s="259">
        <f t="shared" si="13"/>
        <v>0.6</v>
      </c>
      <c r="AM17" s="81"/>
      <c r="AN17" s="260"/>
    </row>
    <row r="18" spans="1:40" s="29" customFormat="1" ht="17.25" customHeight="1">
      <c r="A18" s="48">
        <v>8</v>
      </c>
      <c r="B18" s="49">
        <f t="shared" si="6"/>
        <v>45592</v>
      </c>
      <c r="C18" s="220">
        <f t="shared" si="7"/>
        <v>1049</v>
      </c>
      <c r="D18" s="220">
        <f t="shared" ref="D18" si="15">D17+26</f>
        <v>2503</v>
      </c>
      <c r="E18" s="220">
        <f t="shared" si="8"/>
        <v>3552</v>
      </c>
      <c r="F18" s="220">
        <f t="shared" si="0"/>
        <v>924</v>
      </c>
      <c r="G18" s="220">
        <f t="shared" si="1"/>
        <v>823</v>
      </c>
      <c r="H18" s="220">
        <f t="shared" si="2"/>
        <v>882</v>
      </c>
      <c r="I18" s="220">
        <f t="shared" si="3"/>
        <v>965</v>
      </c>
      <c r="J18" s="220">
        <f t="shared" si="4"/>
        <v>1014</v>
      </c>
      <c r="K18" s="220">
        <f t="shared" si="5"/>
        <v>2628</v>
      </c>
      <c r="L18" s="220">
        <f t="shared" si="5"/>
        <v>2729</v>
      </c>
      <c r="M18" s="220">
        <f t="shared" si="5"/>
        <v>2670</v>
      </c>
      <c r="N18" s="220">
        <f t="shared" si="5"/>
        <v>2587</v>
      </c>
      <c r="O18" s="220">
        <f t="shared" si="5"/>
        <v>2538</v>
      </c>
      <c r="P18" s="220">
        <f t="shared" si="9"/>
        <v>2000</v>
      </c>
      <c r="Q18" s="220">
        <f t="shared" si="9"/>
        <v>2150</v>
      </c>
      <c r="R18" s="220">
        <f t="shared" si="9"/>
        <v>2150</v>
      </c>
      <c r="S18" s="220">
        <f t="shared" si="9"/>
        <v>2150</v>
      </c>
      <c r="T18" s="220">
        <f t="shared" si="9"/>
        <v>2000</v>
      </c>
      <c r="U18" s="220">
        <f t="shared" si="10"/>
        <v>628</v>
      </c>
      <c r="V18" s="220">
        <f t="shared" si="10"/>
        <v>579</v>
      </c>
      <c r="W18" s="220">
        <f t="shared" si="10"/>
        <v>520</v>
      </c>
      <c r="X18" s="220">
        <f t="shared" si="10"/>
        <v>437</v>
      </c>
      <c r="Y18" s="220">
        <f t="shared" si="10"/>
        <v>538</v>
      </c>
      <c r="Z18" s="220">
        <v>2</v>
      </c>
      <c r="AA18" s="220">
        <v>3</v>
      </c>
      <c r="AB18" s="220">
        <v>8</v>
      </c>
      <c r="AC18" s="220">
        <v>8</v>
      </c>
      <c r="AD18" s="220">
        <v>2</v>
      </c>
      <c r="AE18" s="220">
        <f t="shared" si="11"/>
        <v>-21</v>
      </c>
      <c r="AF18" s="220">
        <f t="shared" si="11"/>
        <v>-23</v>
      </c>
      <c r="AG18" s="220">
        <f t="shared" si="11"/>
        <v>-47</v>
      </c>
      <c r="AH18" s="220">
        <f t="shared" si="11"/>
        <v>-45</v>
      </c>
      <c r="AI18" s="220">
        <f t="shared" si="11"/>
        <v>-21</v>
      </c>
      <c r="AJ18" s="50">
        <f t="shared" si="12"/>
        <v>1.1199999999999999</v>
      </c>
      <c r="AK18" s="257"/>
      <c r="AL18" s="257">
        <f t="shared" si="13"/>
        <v>0.6</v>
      </c>
      <c r="AM18" s="52"/>
      <c r="AN18" s="88"/>
    </row>
    <row r="19" spans="1:40" s="29" customFormat="1" ht="17.25" customHeight="1">
      <c r="A19" s="48">
        <v>9</v>
      </c>
      <c r="B19" s="49">
        <f t="shared" si="6"/>
        <v>45593</v>
      </c>
      <c r="C19" s="220">
        <f t="shared" si="7"/>
        <v>1049</v>
      </c>
      <c r="D19" s="220">
        <f t="shared" ref="D19" si="16">D18+32</f>
        <v>2535</v>
      </c>
      <c r="E19" s="220">
        <f t="shared" si="8"/>
        <v>3584</v>
      </c>
      <c r="F19" s="220">
        <f t="shared" si="0"/>
        <v>960</v>
      </c>
      <c r="G19" s="220">
        <f t="shared" si="1"/>
        <v>858</v>
      </c>
      <c r="H19" s="220">
        <f t="shared" si="2"/>
        <v>922</v>
      </c>
      <c r="I19" s="220">
        <f t="shared" si="3"/>
        <v>1004</v>
      </c>
      <c r="J19" s="220">
        <f t="shared" si="4"/>
        <v>1050</v>
      </c>
      <c r="K19" s="220">
        <f t="shared" si="5"/>
        <v>2624</v>
      </c>
      <c r="L19" s="220">
        <f t="shared" si="5"/>
        <v>2726</v>
      </c>
      <c r="M19" s="220">
        <f t="shared" si="5"/>
        <v>2662</v>
      </c>
      <c r="N19" s="220">
        <f t="shared" si="5"/>
        <v>2580</v>
      </c>
      <c r="O19" s="220">
        <f t="shared" si="5"/>
        <v>2534</v>
      </c>
      <c r="P19" s="220">
        <f t="shared" si="9"/>
        <v>2000</v>
      </c>
      <c r="Q19" s="220">
        <f t="shared" si="9"/>
        <v>2150</v>
      </c>
      <c r="R19" s="220">
        <f t="shared" si="9"/>
        <v>2150</v>
      </c>
      <c r="S19" s="220">
        <f t="shared" si="9"/>
        <v>2150</v>
      </c>
      <c r="T19" s="220">
        <f t="shared" si="9"/>
        <v>2000</v>
      </c>
      <c r="U19" s="220">
        <f t="shared" si="10"/>
        <v>624</v>
      </c>
      <c r="V19" s="220">
        <f t="shared" si="10"/>
        <v>576</v>
      </c>
      <c r="W19" s="220">
        <f t="shared" si="10"/>
        <v>512</v>
      </c>
      <c r="X19" s="220">
        <f t="shared" si="10"/>
        <v>430</v>
      </c>
      <c r="Y19" s="220">
        <f t="shared" si="10"/>
        <v>534</v>
      </c>
      <c r="Z19" s="220">
        <v>4</v>
      </c>
      <c r="AA19" s="220">
        <v>3</v>
      </c>
      <c r="AB19" s="220">
        <v>8</v>
      </c>
      <c r="AC19" s="220">
        <v>7</v>
      </c>
      <c r="AD19" s="220">
        <v>4</v>
      </c>
      <c r="AE19" s="220">
        <f t="shared" si="11"/>
        <v>-25</v>
      </c>
      <c r="AF19" s="220">
        <f t="shared" si="11"/>
        <v>-26</v>
      </c>
      <c r="AG19" s="220">
        <f t="shared" si="11"/>
        <v>-55</v>
      </c>
      <c r="AH19" s="220">
        <f t="shared" si="11"/>
        <v>-52</v>
      </c>
      <c r="AI19" s="220">
        <f t="shared" si="11"/>
        <v>-25</v>
      </c>
      <c r="AJ19" s="50">
        <f t="shared" si="12"/>
        <v>1.1119999999999999</v>
      </c>
      <c r="AK19" s="257"/>
      <c r="AL19" s="257">
        <f t="shared" si="13"/>
        <v>0.6</v>
      </c>
      <c r="AM19" s="52"/>
      <c r="AN19" s="88"/>
    </row>
    <row r="20" spans="1:40" s="29" customFormat="1" ht="17.25" customHeight="1">
      <c r="A20" s="48">
        <v>10</v>
      </c>
      <c r="B20" s="49">
        <f t="shared" si="6"/>
        <v>45594</v>
      </c>
      <c r="C20" s="220">
        <f t="shared" si="7"/>
        <v>1049</v>
      </c>
      <c r="D20" s="220">
        <f t="shared" ref="D20" si="17">D19-18</f>
        <v>2517</v>
      </c>
      <c r="E20" s="220">
        <f t="shared" si="8"/>
        <v>3566</v>
      </c>
      <c r="F20" s="220">
        <f t="shared" si="0"/>
        <v>945</v>
      </c>
      <c r="G20" s="220">
        <f t="shared" si="1"/>
        <v>845</v>
      </c>
      <c r="H20" s="220">
        <f t="shared" si="2"/>
        <v>911</v>
      </c>
      <c r="I20" s="220">
        <f t="shared" si="3"/>
        <v>995</v>
      </c>
      <c r="J20" s="220">
        <f t="shared" si="4"/>
        <v>1035</v>
      </c>
      <c r="K20" s="220">
        <f t="shared" si="5"/>
        <v>2621</v>
      </c>
      <c r="L20" s="220">
        <f t="shared" si="5"/>
        <v>2721</v>
      </c>
      <c r="M20" s="220">
        <f t="shared" si="5"/>
        <v>2655</v>
      </c>
      <c r="N20" s="220">
        <f t="shared" si="5"/>
        <v>2571</v>
      </c>
      <c r="O20" s="220">
        <f t="shared" si="5"/>
        <v>2531</v>
      </c>
      <c r="P20" s="220">
        <f t="shared" si="9"/>
        <v>2000</v>
      </c>
      <c r="Q20" s="220">
        <f t="shared" si="9"/>
        <v>2150</v>
      </c>
      <c r="R20" s="220">
        <f t="shared" si="9"/>
        <v>2150</v>
      </c>
      <c r="S20" s="220">
        <f t="shared" si="9"/>
        <v>2150</v>
      </c>
      <c r="T20" s="220">
        <f t="shared" si="9"/>
        <v>2000</v>
      </c>
      <c r="U20" s="220">
        <f t="shared" si="10"/>
        <v>621</v>
      </c>
      <c r="V20" s="220">
        <f t="shared" si="10"/>
        <v>571</v>
      </c>
      <c r="W20" s="220">
        <f t="shared" si="10"/>
        <v>505</v>
      </c>
      <c r="X20" s="220">
        <f t="shared" si="10"/>
        <v>421</v>
      </c>
      <c r="Y20" s="220">
        <f t="shared" si="10"/>
        <v>531</v>
      </c>
      <c r="Z20" s="220">
        <v>3</v>
      </c>
      <c r="AA20" s="220">
        <v>5</v>
      </c>
      <c r="AB20" s="220">
        <v>7</v>
      </c>
      <c r="AC20" s="220">
        <v>9</v>
      </c>
      <c r="AD20" s="220">
        <v>3</v>
      </c>
      <c r="AE20" s="220">
        <f t="shared" si="11"/>
        <v>-28</v>
      </c>
      <c r="AF20" s="220">
        <f t="shared" si="11"/>
        <v>-31</v>
      </c>
      <c r="AG20" s="220">
        <f t="shared" si="11"/>
        <v>-62</v>
      </c>
      <c r="AH20" s="220">
        <f t="shared" si="11"/>
        <v>-61</v>
      </c>
      <c r="AI20" s="220">
        <f t="shared" si="11"/>
        <v>-28</v>
      </c>
      <c r="AJ20" s="50">
        <f t="shared" si="12"/>
        <v>1.105</v>
      </c>
      <c r="AK20" s="257"/>
      <c r="AL20" s="257">
        <f t="shared" si="13"/>
        <v>0.6</v>
      </c>
      <c r="AM20" s="52"/>
      <c r="AN20" s="88"/>
    </row>
    <row r="21" spans="1:40" s="29" customFormat="1" ht="17.25" customHeight="1">
      <c r="A21" s="48">
        <v>11</v>
      </c>
      <c r="B21" s="49">
        <f t="shared" si="6"/>
        <v>45595</v>
      </c>
      <c r="C21" s="220">
        <f t="shared" si="7"/>
        <v>1049</v>
      </c>
      <c r="D21" s="220">
        <f t="shared" ref="D21" si="18">D20-26</f>
        <v>2491</v>
      </c>
      <c r="E21" s="220">
        <f t="shared" si="8"/>
        <v>3540</v>
      </c>
      <c r="F21" s="220">
        <f t="shared" si="0"/>
        <v>924</v>
      </c>
      <c r="G21" s="220">
        <f t="shared" si="1"/>
        <v>823</v>
      </c>
      <c r="H21" s="220">
        <f t="shared" si="2"/>
        <v>892</v>
      </c>
      <c r="I21" s="220">
        <f t="shared" si="3"/>
        <v>978</v>
      </c>
      <c r="J21" s="220">
        <f t="shared" si="4"/>
        <v>1014</v>
      </c>
      <c r="K21" s="220">
        <f t="shared" si="5"/>
        <v>2616</v>
      </c>
      <c r="L21" s="220">
        <f t="shared" si="5"/>
        <v>2717</v>
      </c>
      <c r="M21" s="220">
        <f t="shared" si="5"/>
        <v>2648</v>
      </c>
      <c r="N21" s="220">
        <f t="shared" si="5"/>
        <v>2562</v>
      </c>
      <c r="O21" s="220">
        <f t="shared" si="5"/>
        <v>2526</v>
      </c>
      <c r="P21" s="220">
        <f t="shared" si="9"/>
        <v>2000</v>
      </c>
      <c r="Q21" s="220">
        <f t="shared" si="9"/>
        <v>2150</v>
      </c>
      <c r="R21" s="220">
        <f t="shared" si="9"/>
        <v>2150</v>
      </c>
      <c r="S21" s="220">
        <f t="shared" si="9"/>
        <v>2150</v>
      </c>
      <c r="T21" s="220">
        <f t="shared" si="9"/>
        <v>2000</v>
      </c>
      <c r="U21" s="220">
        <f t="shared" si="10"/>
        <v>616</v>
      </c>
      <c r="V21" s="220">
        <f t="shared" si="10"/>
        <v>567</v>
      </c>
      <c r="W21" s="220">
        <f t="shared" si="10"/>
        <v>498</v>
      </c>
      <c r="X21" s="220">
        <f t="shared" si="10"/>
        <v>412</v>
      </c>
      <c r="Y21" s="220">
        <f t="shared" si="10"/>
        <v>526</v>
      </c>
      <c r="Z21" s="220">
        <v>5</v>
      </c>
      <c r="AA21" s="220">
        <v>4</v>
      </c>
      <c r="AB21" s="220">
        <v>7</v>
      </c>
      <c r="AC21" s="220">
        <v>9</v>
      </c>
      <c r="AD21" s="220">
        <v>5</v>
      </c>
      <c r="AE21" s="220">
        <f t="shared" si="11"/>
        <v>-33</v>
      </c>
      <c r="AF21" s="220">
        <f t="shared" si="11"/>
        <v>-35</v>
      </c>
      <c r="AG21" s="220">
        <f t="shared" si="11"/>
        <v>-69</v>
      </c>
      <c r="AH21" s="220">
        <f t="shared" si="11"/>
        <v>-70</v>
      </c>
      <c r="AI21" s="220">
        <f t="shared" si="11"/>
        <v>-33</v>
      </c>
      <c r="AJ21" s="50">
        <f t="shared" si="12"/>
        <v>1.0980000000000001</v>
      </c>
      <c r="AK21" s="257"/>
      <c r="AL21" s="257">
        <f t="shared" si="13"/>
        <v>0.6</v>
      </c>
      <c r="AM21" s="52"/>
      <c r="AN21" s="88"/>
    </row>
    <row r="22" spans="1:40" s="261" customFormat="1" ht="17.25" customHeight="1">
      <c r="A22" s="76">
        <v>12</v>
      </c>
      <c r="B22" s="77">
        <f t="shared" si="6"/>
        <v>45596</v>
      </c>
      <c r="C22" s="213">
        <f t="shared" si="7"/>
        <v>1049</v>
      </c>
      <c r="D22" s="213">
        <f t="shared" ref="D22" si="19">D21+15</f>
        <v>2506</v>
      </c>
      <c r="E22" s="213">
        <f t="shared" si="8"/>
        <v>3555</v>
      </c>
      <c r="F22" s="213">
        <f t="shared" si="0"/>
        <v>943</v>
      </c>
      <c r="G22" s="213">
        <f t="shared" si="1"/>
        <v>841</v>
      </c>
      <c r="H22" s="213">
        <f t="shared" si="2"/>
        <v>913</v>
      </c>
      <c r="I22" s="213">
        <f t="shared" si="3"/>
        <v>1001</v>
      </c>
      <c r="J22" s="213">
        <f t="shared" si="4"/>
        <v>1036</v>
      </c>
      <c r="K22" s="213">
        <f t="shared" si="5"/>
        <v>2612</v>
      </c>
      <c r="L22" s="213">
        <f t="shared" si="5"/>
        <v>2714</v>
      </c>
      <c r="M22" s="213">
        <f t="shared" si="5"/>
        <v>2642</v>
      </c>
      <c r="N22" s="213">
        <f t="shared" si="5"/>
        <v>2554</v>
      </c>
      <c r="O22" s="213">
        <f t="shared" si="5"/>
        <v>2519</v>
      </c>
      <c r="P22" s="213">
        <f t="shared" si="9"/>
        <v>2000</v>
      </c>
      <c r="Q22" s="213">
        <f t="shared" si="9"/>
        <v>2150</v>
      </c>
      <c r="R22" s="213">
        <f t="shared" si="9"/>
        <v>2150</v>
      </c>
      <c r="S22" s="213">
        <f t="shared" si="9"/>
        <v>2150</v>
      </c>
      <c r="T22" s="213">
        <f t="shared" si="9"/>
        <v>2000</v>
      </c>
      <c r="U22" s="213">
        <f t="shared" si="10"/>
        <v>612</v>
      </c>
      <c r="V22" s="213">
        <f t="shared" si="10"/>
        <v>564</v>
      </c>
      <c r="W22" s="213">
        <f t="shared" si="10"/>
        <v>492</v>
      </c>
      <c r="X22" s="213">
        <f t="shared" si="10"/>
        <v>404</v>
      </c>
      <c r="Y22" s="213">
        <f t="shared" si="10"/>
        <v>519</v>
      </c>
      <c r="Z22" s="213">
        <v>4</v>
      </c>
      <c r="AA22" s="213">
        <v>3</v>
      </c>
      <c r="AB22" s="213">
        <v>6</v>
      </c>
      <c r="AC22" s="213">
        <v>8</v>
      </c>
      <c r="AD22" s="213">
        <v>7</v>
      </c>
      <c r="AE22" s="213">
        <f t="shared" si="11"/>
        <v>-37</v>
      </c>
      <c r="AF22" s="213">
        <f t="shared" si="11"/>
        <v>-38</v>
      </c>
      <c r="AG22" s="213">
        <f t="shared" si="11"/>
        <v>-75</v>
      </c>
      <c r="AH22" s="213">
        <f t="shared" si="11"/>
        <v>-78</v>
      </c>
      <c r="AI22" s="213">
        <f t="shared" si="11"/>
        <v>-40</v>
      </c>
      <c r="AJ22" s="78">
        <f t="shared" si="12"/>
        <v>1.3920000000000001</v>
      </c>
      <c r="AK22" s="259">
        <v>0.3</v>
      </c>
      <c r="AL22" s="259">
        <f t="shared" si="13"/>
        <v>0.89999999999999991</v>
      </c>
      <c r="AM22" s="81"/>
      <c r="AN22" s="260"/>
    </row>
    <row r="23" spans="1:40" s="29" customFormat="1" ht="17.25" customHeight="1">
      <c r="A23" s="48">
        <v>13</v>
      </c>
      <c r="B23" s="49">
        <f t="shared" si="6"/>
        <v>45597</v>
      </c>
      <c r="C23" s="220">
        <f t="shared" si="7"/>
        <v>1049</v>
      </c>
      <c r="D23" s="220">
        <f t="shared" ref="D23" si="20">D22+26</f>
        <v>2532</v>
      </c>
      <c r="E23" s="220">
        <f t="shared" si="8"/>
        <v>3581</v>
      </c>
      <c r="F23" s="220">
        <f t="shared" si="0"/>
        <v>972</v>
      </c>
      <c r="G23" s="220">
        <f t="shared" si="1"/>
        <v>870</v>
      </c>
      <c r="H23" s="220">
        <f t="shared" si="2"/>
        <v>945</v>
      </c>
      <c r="I23" s="220">
        <f t="shared" si="3"/>
        <v>1034</v>
      </c>
      <c r="J23" s="220">
        <f t="shared" si="4"/>
        <v>1069</v>
      </c>
      <c r="K23" s="220">
        <f t="shared" si="5"/>
        <v>2609</v>
      </c>
      <c r="L23" s="220">
        <f t="shared" si="5"/>
        <v>2711</v>
      </c>
      <c r="M23" s="220">
        <f t="shared" si="5"/>
        <v>2636</v>
      </c>
      <c r="N23" s="220">
        <f t="shared" si="5"/>
        <v>2547</v>
      </c>
      <c r="O23" s="220">
        <f t="shared" si="5"/>
        <v>2512</v>
      </c>
      <c r="P23" s="220">
        <f t="shared" si="9"/>
        <v>2000</v>
      </c>
      <c r="Q23" s="220">
        <f t="shared" si="9"/>
        <v>2150</v>
      </c>
      <c r="R23" s="220">
        <f t="shared" si="9"/>
        <v>2150</v>
      </c>
      <c r="S23" s="220">
        <f t="shared" si="9"/>
        <v>2150</v>
      </c>
      <c r="T23" s="220">
        <f t="shared" si="9"/>
        <v>2000</v>
      </c>
      <c r="U23" s="220">
        <f t="shared" si="10"/>
        <v>609</v>
      </c>
      <c r="V23" s="220">
        <f t="shared" si="10"/>
        <v>561</v>
      </c>
      <c r="W23" s="220">
        <f t="shared" si="10"/>
        <v>486</v>
      </c>
      <c r="X23" s="220">
        <f t="shared" si="10"/>
        <v>397</v>
      </c>
      <c r="Y23" s="220">
        <f t="shared" si="10"/>
        <v>512</v>
      </c>
      <c r="Z23" s="220">
        <v>3</v>
      </c>
      <c r="AA23" s="220">
        <v>3</v>
      </c>
      <c r="AB23" s="220">
        <v>6</v>
      </c>
      <c r="AC23" s="220">
        <v>7</v>
      </c>
      <c r="AD23" s="220">
        <v>7</v>
      </c>
      <c r="AE23" s="220">
        <f t="shared" si="11"/>
        <v>-40</v>
      </c>
      <c r="AF23" s="220">
        <f t="shared" si="11"/>
        <v>-41</v>
      </c>
      <c r="AG23" s="220">
        <f t="shared" si="11"/>
        <v>-81</v>
      </c>
      <c r="AH23" s="220">
        <f t="shared" si="11"/>
        <v>-85</v>
      </c>
      <c r="AI23" s="220">
        <f t="shared" si="11"/>
        <v>-47</v>
      </c>
      <c r="AJ23" s="50">
        <f t="shared" si="12"/>
        <v>1.3860000000000001</v>
      </c>
      <c r="AK23" s="257"/>
      <c r="AL23" s="257">
        <f t="shared" si="13"/>
        <v>0.89999999999999991</v>
      </c>
      <c r="AM23" s="52"/>
      <c r="AN23" s="88"/>
    </row>
    <row r="24" spans="1:40" s="29" customFormat="1" ht="17.25" customHeight="1">
      <c r="A24" s="48">
        <v>14</v>
      </c>
      <c r="B24" s="49">
        <f t="shared" si="6"/>
        <v>45598</v>
      </c>
      <c r="C24" s="220">
        <f t="shared" si="7"/>
        <v>1049</v>
      </c>
      <c r="D24" s="220">
        <f t="shared" ref="D24" si="21">D23+32</f>
        <v>2564</v>
      </c>
      <c r="E24" s="220">
        <f t="shared" si="8"/>
        <v>3613</v>
      </c>
      <c r="F24" s="220">
        <f t="shared" si="0"/>
        <v>1008</v>
      </c>
      <c r="G24" s="220">
        <f t="shared" si="1"/>
        <v>907</v>
      </c>
      <c r="H24" s="220">
        <f t="shared" si="2"/>
        <v>982</v>
      </c>
      <c r="I24" s="220">
        <f t="shared" si="3"/>
        <v>1071</v>
      </c>
      <c r="J24" s="220">
        <f t="shared" si="4"/>
        <v>1108</v>
      </c>
      <c r="K24" s="220">
        <f t="shared" si="5"/>
        <v>2605</v>
      </c>
      <c r="L24" s="220">
        <f t="shared" si="5"/>
        <v>2706</v>
      </c>
      <c r="M24" s="220">
        <f t="shared" si="5"/>
        <v>2631</v>
      </c>
      <c r="N24" s="220">
        <f t="shared" si="5"/>
        <v>2542</v>
      </c>
      <c r="O24" s="220">
        <f t="shared" si="5"/>
        <v>2505</v>
      </c>
      <c r="P24" s="220">
        <f t="shared" si="9"/>
        <v>2000</v>
      </c>
      <c r="Q24" s="220">
        <f t="shared" si="9"/>
        <v>2150</v>
      </c>
      <c r="R24" s="220">
        <f t="shared" si="9"/>
        <v>2150</v>
      </c>
      <c r="S24" s="220">
        <f t="shared" si="9"/>
        <v>2150</v>
      </c>
      <c r="T24" s="220">
        <f t="shared" si="9"/>
        <v>2000</v>
      </c>
      <c r="U24" s="220">
        <f t="shared" si="10"/>
        <v>605</v>
      </c>
      <c r="V24" s="220">
        <f t="shared" si="10"/>
        <v>556</v>
      </c>
      <c r="W24" s="220">
        <f t="shared" si="10"/>
        <v>481</v>
      </c>
      <c r="X24" s="220">
        <f t="shared" si="10"/>
        <v>392</v>
      </c>
      <c r="Y24" s="220">
        <f t="shared" si="10"/>
        <v>505</v>
      </c>
      <c r="Z24" s="220">
        <v>4</v>
      </c>
      <c r="AA24" s="220">
        <v>5</v>
      </c>
      <c r="AB24" s="220">
        <v>5</v>
      </c>
      <c r="AC24" s="220">
        <v>5</v>
      </c>
      <c r="AD24" s="220">
        <v>7</v>
      </c>
      <c r="AE24" s="220">
        <f t="shared" si="11"/>
        <v>-44</v>
      </c>
      <c r="AF24" s="220">
        <f t="shared" si="11"/>
        <v>-46</v>
      </c>
      <c r="AG24" s="220">
        <f t="shared" si="11"/>
        <v>-86</v>
      </c>
      <c r="AH24" s="220">
        <f t="shared" si="11"/>
        <v>-90</v>
      </c>
      <c r="AI24" s="220">
        <f t="shared" si="11"/>
        <v>-54</v>
      </c>
      <c r="AJ24" s="50">
        <f t="shared" si="12"/>
        <v>1.3810000000000002</v>
      </c>
      <c r="AK24" s="257"/>
      <c r="AL24" s="257">
        <f t="shared" si="13"/>
        <v>0.89999999999999991</v>
      </c>
      <c r="AM24" s="52"/>
      <c r="AN24" s="88"/>
    </row>
    <row r="25" spans="1:40" s="29" customFormat="1" ht="17.25" customHeight="1">
      <c r="A25" s="48">
        <v>15</v>
      </c>
      <c r="B25" s="49">
        <f t="shared" si="6"/>
        <v>45599</v>
      </c>
      <c r="C25" s="220">
        <f t="shared" si="7"/>
        <v>1049</v>
      </c>
      <c r="D25" s="220">
        <f t="shared" ref="D25" si="22">D24-18</f>
        <v>2546</v>
      </c>
      <c r="E25" s="220">
        <f t="shared" si="8"/>
        <v>3595</v>
      </c>
      <c r="F25" s="220">
        <f t="shared" si="0"/>
        <v>993</v>
      </c>
      <c r="G25" s="220">
        <f t="shared" si="1"/>
        <v>893</v>
      </c>
      <c r="H25" s="220">
        <f t="shared" si="2"/>
        <v>969</v>
      </c>
      <c r="I25" s="220">
        <f t="shared" si="3"/>
        <v>1062</v>
      </c>
      <c r="J25" s="220">
        <f t="shared" si="4"/>
        <v>1096</v>
      </c>
      <c r="K25" s="220">
        <f t="shared" si="5"/>
        <v>2602</v>
      </c>
      <c r="L25" s="220">
        <f t="shared" si="5"/>
        <v>2702</v>
      </c>
      <c r="M25" s="220">
        <f t="shared" si="5"/>
        <v>2626</v>
      </c>
      <c r="N25" s="220">
        <f t="shared" si="5"/>
        <v>2533</v>
      </c>
      <c r="O25" s="220">
        <f t="shared" si="5"/>
        <v>2499</v>
      </c>
      <c r="P25" s="220">
        <f t="shared" si="9"/>
        <v>2000</v>
      </c>
      <c r="Q25" s="220">
        <f t="shared" si="9"/>
        <v>2150</v>
      </c>
      <c r="R25" s="220">
        <f t="shared" si="9"/>
        <v>2150</v>
      </c>
      <c r="S25" s="220">
        <f t="shared" si="9"/>
        <v>2150</v>
      </c>
      <c r="T25" s="220">
        <f t="shared" si="9"/>
        <v>2000</v>
      </c>
      <c r="U25" s="220">
        <f t="shared" si="10"/>
        <v>602</v>
      </c>
      <c r="V25" s="220">
        <f t="shared" si="10"/>
        <v>552</v>
      </c>
      <c r="W25" s="220">
        <f t="shared" si="10"/>
        <v>476</v>
      </c>
      <c r="X25" s="220">
        <f t="shared" si="10"/>
        <v>383</v>
      </c>
      <c r="Y25" s="220">
        <f t="shared" si="10"/>
        <v>499</v>
      </c>
      <c r="Z25" s="220">
        <v>3</v>
      </c>
      <c r="AA25" s="220">
        <v>4</v>
      </c>
      <c r="AB25" s="220">
        <v>5</v>
      </c>
      <c r="AC25" s="220">
        <v>9</v>
      </c>
      <c r="AD25" s="220">
        <v>6</v>
      </c>
      <c r="AE25" s="220">
        <f t="shared" si="11"/>
        <v>-47</v>
      </c>
      <c r="AF25" s="220">
        <f t="shared" si="11"/>
        <v>-50</v>
      </c>
      <c r="AG25" s="220">
        <f t="shared" si="11"/>
        <v>-91</v>
      </c>
      <c r="AH25" s="220">
        <f t="shared" si="11"/>
        <v>-99</v>
      </c>
      <c r="AI25" s="220">
        <f t="shared" si="11"/>
        <v>-60</v>
      </c>
      <c r="AJ25" s="50">
        <f t="shared" si="12"/>
        <v>1.3760000000000003</v>
      </c>
      <c r="AK25" s="257"/>
      <c r="AL25" s="257">
        <f t="shared" si="13"/>
        <v>0.89999999999999991</v>
      </c>
      <c r="AM25" s="52"/>
      <c r="AN25" s="88"/>
    </row>
    <row r="26" spans="1:40" s="261" customFormat="1" ht="17.25" customHeight="1">
      <c r="A26" s="76">
        <v>16</v>
      </c>
      <c r="B26" s="77">
        <f t="shared" si="6"/>
        <v>45600</v>
      </c>
      <c r="C26" s="213">
        <f t="shared" si="7"/>
        <v>1049</v>
      </c>
      <c r="D26" s="213">
        <f t="shared" ref="D26" si="23">D25-26</f>
        <v>2520</v>
      </c>
      <c r="E26" s="213">
        <f t="shared" si="8"/>
        <v>3569</v>
      </c>
      <c r="F26" s="213">
        <f t="shared" si="0"/>
        <v>974</v>
      </c>
      <c r="G26" s="213">
        <f t="shared" si="1"/>
        <v>874</v>
      </c>
      <c r="H26" s="213">
        <f t="shared" si="2"/>
        <v>952</v>
      </c>
      <c r="I26" s="213">
        <f t="shared" si="3"/>
        <v>1043</v>
      </c>
      <c r="J26" s="213">
        <f t="shared" si="4"/>
        <v>1075</v>
      </c>
      <c r="K26" s="213">
        <f t="shared" si="5"/>
        <v>2595</v>
      </c>
      <c r="L26" s="213">
        <f t="shared" si="5"/>
        <v>2695</v>
      </c>
      <c r="M26" s="213">
        <f t="shared" si="5"/>
        <v>2617</v>
      </c>
      <c r="N26" s="213">
        <f t="shared" si="5"/>
        <v>2526</v>
      </c>
      <c r="O26" s="213">
        <f t="shared" si="5"/>
        <v>2494</v>
      </c>
      <c r="P26" s="213">
        <f t="shared" si="9"/>
        <v>2000</v>
      </c>
      <c r="Q26" s="213">
        <f t="shared" si="9"/>
        <v>2150</v>
      </c>
      <c r="R26" s="213">
        <f t="shared" si="9"/>
        <v>2150</v>
      </c>
      <c r="S26" s="213">
        <f t="shared" si="9"/>
        <v>2150</v>
      </c>
      <c r="T26" s="213">
        <f t="shared" si="9"/>
        <v>2000</v>
      </c>
      <c r="U26" s="213">
        <f t="shared" si="10"/>
        <v>595</v>
      </c>
      <c r="V26" s="213">
        <f t="shared" si="10"/>
        <v>545</v>
      </c>
      <c r="W26" s="213">
        <f t="shared" si="10"/>
        <v>467</v>
      </c>
      <c r="X26" s="213">
        <f t="shared" si="10"/>
        <v>376</v>
      </c>
      <c r="Y26" s="213">
        <f t="shared" si="10"/>
        <v>494</v>
      </c>
      <c r="Z26" s="213">
        <v>7</v>
      </c>
      <c r="AA26" s="213">
        <v>7</v>
      </c>
      <c r="AB26" s="213">
        <v>9</v>
      </c>
      <c r="AC26" s="213">
        <v>7</v>
      </c>
      <c r="AD26" s="213">
        <v>5</v>
      </c>
      <c r="AE26" s="213">
        <f t="shared" si="11"/>
        <v>-54</v>
      </c>
      <c r="AF26" s="213">
        <f t="shared" si="11"/>
        <v>-57</v>
      </c>
      <c r="AG26" s="213">
        <f t="shared" si="11"/>
        <v>-100</v>
      </c>
      <c r="AH26" s="213">
        <f t="shared" si="11"/>
        <v>-106</v>
      </c>
      <c r="AI26" s="213">
        <f t="shared" si="11"/>
        <v>-65</v>
      </c>
      <c r="AJ26" s="78">
        <f t="shared" si="12"/>
        <v>1.6670000000000005</v>
      </c>
      <c r="AK26" s="259">
        <v>0.3</v>
      </c>
      <c r="AL26" s="259">
        <f t="shared" si="13"/>
        <v>1.2</v>
      </c>
      <c r="AM26" s="81"/>
      <c r="AN26" s="260"/>
    </row>
    <row r="27" spans="1:40" s="29" customFormat="1" ht="17.25" customHeight="1">
      <c r="A27" s="48">
        <v>17</v>
      </c>
      <c r="B27" s="49">
        <f t="shared" si="6"/>
        <v>45601</v>
      </c>
      <c r="C27" s="220">
        <f t="shared" si="7"/>
        <v>1049</v>
      </c>
      <c r="D27" s="220">
        <f t="shared" ref="D27" si="24">D26+15</f>
        <v>2535</v>
      </c>
      <c r="E27" s="220">
        <f t="shared" si="8"/>
        <v>3584</v>
      </c>
      <c r="F27" s="220">
        <f t="shared" si="0"/>
        <v>997</v>
      </c>
      <c r="G27" s="220">
        <f t="shared" si="1"/>
        <v>896</v>
      </c>
      <c r="H27" s="220">
        <f t="shared" si="2"/>
        <v>976</v>
      </c>
      <c r="I27" s="220">
        <f t="shared" si="3"/>
        <v>1064</v>
      </c>
      <c r="J27" s="220">
        <f t="shared" si="4"/>
        <v>1098</v>
      </c>
      <c r="K27" s="220">
        <f t="shared" si="5"/>
        <v>2587</v>
      </c>
      <c r="L27" s="220">
        <f t="shared" si="5"/>
        <v>2688</v>
      </c>
      <c r="M27" s="220">
        <f t="shared" si="5"/>
        <v>2608</v>
      </c>
      <c r="N27" s="220">
        <f t="shared" si="5"/>
        <v>2520</v>
      </c>
      <c r="O27" s="220">
        <f t="shared" si="5"/>
        <v>2486</v>
      </c>
      <c r="P27" s="220">
        <f t="shared" si="9"/>
        <v>2000</v>
      </c>
      <c r="Q27" s="220">
        <f t="shared" si="9"/>
        <v>2150</v>
      </c>
      <c r="R27" s="220">
        <f t="shared" si="9"/>
        <v>2150</v>
      </c>
      <c r="S27" s="220">
        <f t="shared" si="9"/>
        <v>2150</v>
      </c>
      <c r="T27" s="220">
        <f t="shared" si="9"/>
        <v>2000</v>
      </c>
      <c r="U27" s="220">
        <f t="shared" si="10"/>
        <v>587</v>
      </c>
      <c r="V27" s="220">
        <f t="shared" si="10"/>
        <v>538</v>
      </c>
      <c r="W27" s="220">
        <f t="shared" si="10"/>
        <v>458</v>
      </c>
      <c r="X27" s="220">
        <f t="shared" si="10"/>
        <v>370</v>
      </c>
      <c r="Y27" s="220">
        <f t="shared" si="10"/>
        <v>486</v>
      </c>
      <c r="Z27" s="220">
        <v>8</v>
      </c>
      <c r="AA27" s="220">
        <v>7</v>
      </c>
      <c r="AB27" s="220">
        <v>9</v>
      </c>
      <c r="AC27" s="220">
        <v>6</v>
      </c>
      <c r="AD27" s="220">
        <v>8</v>
      </c>
      <c r="AE27" s="220">
        <f t="shared" si="11"/>
        <v>-62</v>
      </c>
      <c r="AF27" s="220">
        <f t="shared" si="11"/>
        <v>-64</v>
      </c>
      <c r="AG27" s="220">
        <f t="shared" si="11"/>
        <v>-109</v>
      </c>
      <c r="AH27" s="220">
        <f t="shared" si="11"/>
        <v>-112</v>
      </c>
      <c r="AI27" s="220">
        <f t="shared" si="11"/>
        <v>-73</v>
      </c>
      <c r="AJ27" s="50">
        <f t="shared" si="12"/>
        <v>1.6580000000000006</v>
      </c>
      <c r="AK27" s="257"/>
      <c r="AL27" s="257">
        <f t="shared" si="13"/>
        <v>1.2</v>
      </c>
      <c r="AM27" s="52"/>
      <c r="AN27" s="88"/>
    </row>
    <row r="28" spans="1:40" s="29" customFormat="1" ht="17.25" customHeight="1">
      <c r="A28" s="48">
        <v>18</v>
      </c>
      <c r="B28" s="49">
        <f t="shared" si="6"/>
        <v>45602</v>
      </c>
      <c r="C28" s="220">
        <f t="shared" si="7"/>
        <v>1049</v>
      </c>
      <c r="D28" s="220">
        <f t="shared" ref="D28" si="25">D27+26</f>
        <v>2561</v>
      </c>
      <c r="E28" s="220">
        <f t="shared" si="8"/>
        <v>3610</v>
      </c>
      <c r="F28" s="220">
        <f t="shared" si="0"/>
        <v>1030</v>
      </c>
      <c r="G28" s="220">
        <f t="shared" si="1"/>
        <v>930</v>
      </c>
      <c r="H28" s="220">
        <f t="shared" si="2"/>
        <v>1011</v>
      </c>
      <c r="I28" s="220">
        <f t="shared" si="3"/>
        <v>1096</v>
      </c>
      <c r="J28" s="220">
        <f t="shared" si="4"/>
        <v>1131</v>
      </c>
      <c r="K28" s="220">
        <f t="shared" si="5"/>
        <v>2580</v>
      </c>
      <c r="L28" s="220">
        <f t="shared" si="5"/>
        <v>2680</v>
      </c>
      <c r="M28" s="220">
        <f t="shared" si="5"/>
        <v>2599</v>
      </c>
      <c r="N28" s="220">
        <f t="shared" si="5"/>
        <v>2514</v>
      </c>
      <c r="O28" s="220">
        <f t="shared" si="5"/>
        <v>2479</v>
      </c>
      <c r="P28" s="220">
        <f t="shared" si="9"/>
        <v>2000</v>
      </c>
      <c r="Q28" s="220">
        <f t="shared" si="9"/>
        <v>2150</v>
      </c>
      <c r="R28" s="220">
        <f t="shared" si="9"/>
        <v>2150</v>
      </c>
      <c r="S28" s="220">
        <f t="shared" si="9"/>
        <v>2150</v>
      </c>
      <c r="T28" s="220">
        <f t="shared" si="9"/>
        <v>2000</v>
      </c>
      <c r="U28" s="220">
        <f t="shared" si="10"/>
        <v>580</v>
      </c>
      <c r="V28" s="220">
        <f t="shared" si="10"/>
        <v>530</v>
      </c>
      <c r="W28" s="220">
        <f t="shared" si="10"/>
        <v>449</v>
      </c>
      <c r="X28" s="220">
        <f t="shared" si="10"/>
        <v>364</v>
      </c>
      <c r="Y28" s="220">
        <f t="shared" si="10"/>
        <v>479</v>
      </c>
      <c r="Z28" s="220">
        <v>7</v>
      </c>
      <c r="AA28" s="220">
        <v>8</v>
      </c>
      <c r="AB28" s="220">
        <v>9</v>
      </c>
      <c r="AC28" s="220">
        <v>6</v>
      </c>
      <c r="AD28" s="220">
        <v>7</v>
      </c>
      <c r="AE28" s="220">
        <f t="shared" si="11"/>
        <v>-69</v>
      </c>
      <c r="AF28" s="220">
        <f t="shared" si="11"/>
        <v>-72</v>
      </c>
      <c r="AG28" s="220">
        <f t="shared" si="11"/>
        <v>-118</v>
      </c>
      <c r="AH28" s="220">
        <f t="shared" si="11"/>
        <v>-118</v>
      </c>
      <c r="AI28" s="220">
        <f t="shared" si="11"/>
        <v>-80</v>
      </c>
      <c r="AJ28" s="50">
        <f t="shared" si="12"/>
        <v>1.6490000000000007</v>
      </c>
      <c r="AK28" s="257"/>
      <c r="AL28" s="257">
        <f t="shared" si="13"/>
        <v>1.2</v>
      </c>
      <c r="AM28" s="52"/>
      <c r="AN28" s="88"/>
    </row>
    <row r="29" spans="1:40" s="29" customFormat="1" ht="17.25" customHeight="1">
      <c r="A29" s="48">
        <v>19</v>
      </c>
      <c r="B29" s="49">
        <f t="shared" si="6"/>
        <v>45603</v>
      </c>
      <c r="C29" s="220">
        <f t="shared" si="7"/>
        <v>1049</v>
      </c>
      <c r="D29" s="220">
        <f t="shared" ref="D29" si="26">D28+32</f>
        <v>2593</v>
      </c>
      <c r="E29" s="220">
        <f t="shared" si="8"/>
        <v>3642</v>
      </c>
      <c r="F29" s="220">
        <f t="shared" si="0"/>
        <v>1069</v>
      </c>
      <c r="G29" s="220">
        <f t="shared" si="1"/>
        <v>970</v>
      </c>
      <c r="H29" s="220">
        <f t="shared" si="2"/>
        <v>1051</v>
      </c>
      <c r="I29" s="220">
        <f t="shared" si="3"/>
        <v>1134</v>
      </c>
      <c r="J29" s="220">
        <f t="shared" si="4"/>
        <v>1170</v>
      </c>
      <c r="K29" s="220">
        <f t="shared" si="5"/>
        <v>2573</v>
      </c>
      <c r="L29" s="220">
        <f t="shared" si="5"/>
        <v>2672</v>
      </c>
      <c r="M29" s="220">
        <f t="shared" si="5"/>
        <v>2591</v>
      </c>
      <c r="N29" s="220">
        <f t="shared" si="5"/>
        <v>2508</v>
      </c>
      <c r="O29" s="220">
        <f t="shared" si="5"/>
        <v>2472</v>
      </c>
      <c r="P29" s="220">
        <f t="shared" ref="P29:T44" si="27">+P28</f>
        <v>2000</v>
      </c>
      <c r="Q29" s="220">
        <f t="shared" si="27"/>
        <v>2150</v>
      </c>
      <c r="R29" s="220">
        <f t="shared" si="27"/>
        <v>2150</v>
      </c>
      <c r="S29" s="220">
        <f t="shared" si="27"/>
        <v>2150</v>
      </c>
      <c r="T29" s="220">
        <f t="shared" si="27"/>
        <v>2000</v>
      </c>
      <c r="U29" s="220">
        <f t="shared" ref="U29:Y44" si="28">U28-Z29</f>
        <v>573</v>
      </c>
      <c r="V29" s="220">
        <f t="shared" si="28"/>
        <v>522</v>
      </c>
      <c r="W29" s="220">
        <f t="shared" si="28"/>
        <v>441</v>
      </c>
      <c r="X29" s="220">
        <f t="shared" si="28"/>
        <v>358</v>
      </c>
      <c r="Y29" s="220">
        <f t="shared" si="28"/>
        <v>472</v>
      </c>
      <c r="Z29" s="220">
        <v>7</v>
      </c>
      <c r="AA29" s="220">
        <v>8</v>
      </c>
      <c r="AB29" s="220">
        <v>8</v>
      </c>
      <c r="AC29" s="220">
        <v>6</v>
      </c>
      <c r="AD29" s="220">
        <v>7</v>
      </c>
      <c r="AE29" s="220">
        <f t="shared" ref="AE29:AI44" si="29">AE28-Z29</f>
        <v>-76</v>
      </c>
      <c r="AF29" s="220">
        <f t="shared" si="29"/>
        <v>-80</v>
      </c>
      <c r="AG29" s="220">
        <f t="shared" si="29"/>
        <v>-126</v>
      </c>
      <c r="AH29" s="220">
        <f t="shared" si="29"/>
        <v>-124</v>
      </c>
      <c r="AI29" s="220">
        <f t="shared" si="29"/>
        <v>-87</v>
      </c>
      <c r="AJ29" s="50">
        <f t="shared" si="12"/>
        <v>1.6410000000000007</v>
      </c>
      <c r="AK29" s="257"/>
      <c r="AL29" s="257">
        <f t="shared" si="13"/>
        <v>1.2</v>
      </c>
      <c r="AM29" s="52"/>
      <c r="AN29" s="88"/>
    </row>
    <row r="30" spans="1:40" s="29" customFormat="1" ht="17.25" customHeight="1">
      <c r="A30" s="48">
        <v>20</v>
      </c>
      <c r="B30" s="49">
        <f t="shared" si="6"/>
        <v>45604</v>
      </c>
      <c r="C30" s="220">
        <f t="shared" si="7"/>
        <v>1049</v>
      </c>
      <c r="D30" s="220">
        <f t="shared" ref="D30" si="30">D29-18</f>
        <v>2575</v>
      </c>
      <c r="E30" s="220">
        <f t="shared" si="8"/>
        <v>3624</v>
      </c>
      <c r="F30" s="220">
        <f t="shared" si="0"/>
        <v>1058</v>
      </c>
      <c r="G30" s="220">
        <f t="shared" si="1"/>
        <v>959</v>
      </c>
      <c r="H30" s="220">
        <f t="shared" si="2"/>
        <v>1042</v>
      </c>
      <c r="I30" s="220">
        <f t="shared" si="3"/>
        <v>1123</v>
      </c>
      <c r="J30" s="220">
        <f t="shared" si="4"/>
        <v>1159</v>
      </c>
      <c r="K30" s="220">
        <f t="shared" si="5"/>
        <v>2566</v>
      </c>
      <c r="L30" s="220">
        <f t="shared" si="5"/>
        <v>2665</v>
      </c>
      <c r="M30" s="220">
        <f t="shared" si="5"/>
        <v>2582</v>
      </c>
      <c r="N30" s="220">
        <f t="shared" si="5"/>
        <v>2501</v>
      </c>
      <c r="O30" s="220">
        <f t="shared" si="5"/>
        <v>2465</v>
      </c>
      <c r="P30" s="220">
        <f t="shared" si="27"/>
        <v>2000</v>
      </c>
      <c r="Q30" s="220">
        <f t="shared" si="27"/>
        <v>2150</v>
      </c>
      <c r="R30" s="220">
        <f t="shared" si="27"/>
        <v>2150</v>
      </c>
      <c r="S30" s="220">
        <f t="shared" si="27"/>
        <v>2150</v>
      </c>
      <c r="T30" s="220">
        <f t="shared" si="27"/>
        <v>2000</v>
      </c>
      <c r="U30" s="220">
        <f t="shared" si="28"/>
        <v>566</v>
      </c>
      <c r="V30" s="220">
        <f t="shared" si="28"/>
        <v>515</v>
      </c>
      <c r="W30" s="220">
        <f t="shared" si="28"/>
        <v>432</v>
      </c>
      <c r="X30" s="220">
        <f t="shared" si="28"/>
        <v>351</v>
      </c>
      <c r="Y30" s="220">
        <f t="shared" si="28"/>
        <v>465</v>
      </c>
      <c r="Z30" s="220">
        <v>7</v>
      </c>
      <c r="AA30" s="220">
        <v>7</v>
      </c>
      <c r="AB30" s="220">
        <v>9</v>
      </c>
      <c r="AC30" s="220">
        <v>7</v>
      </c>
      <c r="AD30" s="220">
        <v>7</v>
      </c>
      <c r="AE30" s="220">
        <f t="shared" si="29"/>
        <v>-83</v>
      </c>
      <c r="AF30" s="220">
        <f t="shared" si="29"/>
        <v>-87</v>
      </c>
      <c r="AG30" s="220">
        <f t="shared" si="29"/>
        <v>-135</v>
      </c>
      <c r="AH30" s="220">
        <f t="shared" si="29"/>
        <v>-131</v>
      </c>
      <c r="AI30" s="220">
        <f t="shared" si="29"/>
        <v>-94</v>
      </c>
      <c r="AJ30" s="50">
        <f t="shared" si="12"/>
        <v>1.6320000000000008</v>
      </c>
      <c r="AK30" s="257"/>
      <c r="AL30" s="257">
        <f t="shared" si="13"/>
        <v>1.2</v>
      </c>
      <c r="AM30" s="52"/>
      <c r="AN30" s="88"/>
    </row>
    <row r="31" spans="1:40" s="29" customFormat="1" ht="17.25" customHeight="1">
      <c r="A31" s="48">
        <v>21</v>
      </c>
      <c r="B31" s="49">
        <f t="shared" si="6"/>
        <v>45605</v>
      </c>
      <c r="C31" s="220">
        <f t="shared" si="7"/>
        <v>1049</v>
      </c>
      <c r="D31" s="220">
        <f t="shared" ref="D31" si="31">D30-26</f>
        <v>2549</v>
      </c>
      <c r="E31" s="220">
        <f t="shared" si="8"/>
        <v>3598</v>
      </c>
      <c r="F31" s="220">
        <f t="shared" si="0"/>
        <v>1038</v>
      </c>
      <c r="G31" s="220">
        <f t="shared" si="1"/>
        <v>940</v>
      </c>
      <c r="H31" s="220">
        <f t="shared" si="2"/>
        <v>1024</v>
      </c>
      <c r="I31" s="220">
        <f t="shared" si="3"/>
        <v>1103</v>
      </c>
      <c r="J31" s="220">
        <f t="shared" si="4"/>
        <v>1139</v>
      </c>
      <c r="K31" s="220">
        <f t="shared" si="5"/>
        <v>2560</v>
      </c>
      <c r="L31" s="220">
        <f t="shared" si="5"/>
        <v>2658</v>
      </c>
      <c r="M31" s="220">
        <f t="shared" si="5"/>
        <v>2574</v>
      </c>
      <c r="N31" s="220">
        <f t="shared" si="5"/>
        <v>2495</v>
      </c>
      <c r="O31" s="220">
        <f t="shared" si="5"/>
        <v>2459</v>
      </c>
      <c r="P31" s="220">
        <f t="shared" si="27"/>
        <v>2000</v>
      </c>
      <c r="Q31" s="220">
        <f t="shared" si="27"/>
        <v>2150</v>
      </c>
      <c r="R31" s="220">
        <f t="shared" si="27"/>
        <v>2150</v>
      </c>
      <c r="S31" s="220">
        <f t="shared" si="27"/>
        <v>2150</v>
      </c>
      <c r="T31" s="220">
        <f t="shared" si="27"/>
        <v>2000</v>
      </c>
      <c r="U31" s="220">
        <f t="shared" si="28"/>
        <v>560</v>
      </c>
      <c r="V31" s="220">
        <f t="shared" si="28"/>
        <v>508</v>
      </c>
      <c r="W31" s="220">
        <f t="shared" si="28"/>
        <v>424</v>
      </c>
      <c r="X31" s="220">
        <f t="shared" si="28"/>
        <v>345</v>
      </c>
      <c r="Y31" s="220">
        <f t="shared" si="28"/>
        <v>459</v>
      </c>
      <c r="Z31" s="220">
        <v>6</v>
      </c>
      <c r="AA31" s="220">
        <v>7</v>
      </c>
      <c r="AB31" s="220">
        <v>8</v>
      </c>
      <c r="AC31" s="220">
        <v>6</v>
      </c>
      <c r="AD31" s="220">
        <v>6</v>
      </c>
      <c r="AE31" s="220">
        <f t="shared" si="29"/>
        <v>-89</v>
      </c>
      <c r="AF31" s="220">
        <f t="shared" si="29"/>
        <v>-94</v>
      </c>
      <c r="AG31" s="220">
        <f t="shared" si="29"/>
        <v>-143</v>
      </c>
      <c r="AH31" s="220">
        <f t="shared" si="29"/>
        <v>-137</v>
      </c>
      <c r="AI31" s="220">
        <f t="shared" si="29"/>
        <v>-100</v>
      </c>
      <c r="AJ31" s="50">
        <f t="shared" si="12"/>
        <v>1.6240000000000008</v>
      </c>
      <c r="AK31" s="257"/>
      <c r="AL31" s="257">
        <f t="shared" si="13"/>
        <v>1.2</v>
      </c>
      <c r="AM31" s="52"/>
      <c r="AN31" s="88"/>
    </row>
    <row r="32" spans="1:40" s="29" customFormat="1" ht="17.25" customHeight="1">
      <c r="A32" s="48">
        <v>22</v>
      </c>
      <c r="B32" s="49">
        <f t="shared" si="6"/>
        <v>45606</v>
      </c>
      <c r="C32" s="220">
        <f t="shared" si="7"/>
        <v>1049</v>
      </c>
      <c r="D32" s="220">
        <f t="shared" ref="D32" si="32">D31+15</f>
        <v>2564</v>
      </c>
      <c r="E32" s="220">
        <f t="shared" si="8"/>
        <v>3613</v>
      </c>
      <c r="F32" s="220">
        <f t="shared" si="0"/>
        <v>1059</v>
      </c>
      <c r="G32" s="220">
        <f t="shared" si="1"/>
        <v>962</v>
      </c>
      <c r="H32" s="220">
        <f t="shared" si="2"/>
        <v>1048</v>
      </c>
      <c r="I32" s="220">
        <f t="shared" si="3"/>
        <v>1123</v>
      </c>
      <c r="J32" s="220">
        <f t="shared" si="4"/>
        <v>1160</v>
      </c>
      <c r="K32" s="220">
        <f t="shared" si="5"/>
        <v>2554</v>
      </c>
      <c r="L32" s="220">
        <f t="shared" si="5"/>
        <v>2651</v>
      </c>
      <c r="M32" s="220">
        <f t="shared" si="5"/>
        <v>2565</v>
      </c>
      <c r="N32" s="220">
        <f t="shared" si="5"/>
        <v>2490</v>
      </c>
      <c r="O32" s="220">
        <f t="shared" si="5"/>
        <v>2453</v>
      </c>
      <c r="P32" s="220">
        <f t="shared" si="27"/>
        <v>2000</v>
      </c>
      <c r="Q32" s="220">
        <f t="shared" si="27"/>
        <v>2150</v>
      </c>
      <c r="R32" s="220">
        <f t="shared" si="27"/>
        <v>2150</v>
      </c>
      <c r="S32" s="220">
        <f t="shared" si="27"/>
        <v>2150</v>
      </c>
      <c r="T32" s="220">
        <f t="shared" si="27"/>
        <v>2000</v>
      </c>
      <c r="U32" s="220">
        <f t="shared" si="28"/>
        <v>554</v>
      </c>
      <c r="V32" s="220">
        <f t="shared" si="28"/>
        <v>501</v>
      </c>
      <c r="W32" s="220">
        <f t="shared" si="28"/>
        <v>415</v>
      </c>
      <c r="X32" s="220">
        <f t="shared" si="28"/>
        <v>340</v>
      </c>
      <c r="Y32" s="220">
        <f t="shared" si="28"/>
        <v>453</v>
      </c>
      <c r="Z32" s="220">
        <v>6</v>
      </c>
      <c r="AA32" s="220">
        <v>7</v>
      </c>
      <c r="AB32" s="220">
        <v>9</v>
      </c>
      <c r="AC32" s="220">
        <v>5</v>
      </c>
      <c r="AD32" s="220">
        <v>6</v>
      </c>
      <c r="AE32" s="220">
        <f t="shared" si="29"/>
        <v>-95</v>
      </c>
      <c r="AF32" s="220">
        <f t="shared" si="29"/>
        <v>-101</v>
      </c>
      <c r="AG32" s="220">
        <f t="shared" si="29"/>
        <v>-152</v>
      </c>
      <c r="AH32" s="220">
        <f t="shared" si="29"/>
        <v>-142</v>
      </c>
      <c r="AI32" s="220">
        <f t="shared" si="29"/>
        <v>-106</v>
      </c>
      <c r="AJ32" s="50">
        <f t="shared" si="12"/>
        <v>1.6150000000000009</v>
      </c>
      <c r="AK32" s="257"/>
      <c r="AL32" s="257">
        <f t="shared" si="13"/>
        <v>1.2</v>
      </c>
      <c r="AM32" s="52"/>
      <c r="AN32" s="88"/>
    </row>
    <row r="33" spans="1:40" s="29" customFormat="1" ht="17.25" customHeight="1">
      <c r="A33" s="48">
        <v>23</v>
      </c>
      <c r="B33" s="49">
        <f t="shared" si="6"/>
        <v>45607</v>
      </c>
      <c r="C33" s="220">
        <f t="shared" si="7"/>
        <v>1049</v>
      </c>
      <c r="D33" s="220">
        <f t="shared" ref="D33" si="33">D32+26</f>
        <v>2590</v>
      </c>
      <c r="E33" s="220">
        <f t="shared" si="8"/>
        <v>3639</v>
      </c>
      <c r="F33" s="220">
        <f t="shared" si="0"/>
        <v>1091</v>
      </c>
      <c r="G33" s="220">
        <f t="shared" si="1"/>
        <v>995</v>
      </c>
      <c r="H33" s="220">
        <f t="shared" si="2"/>
        <v>1083</v>
      </c>
      <c r="I33" s="220">
        <f t="shared" si="3"/>
        <v>1154</v>
      </c>
      <c r="J33" s="220">
        <f t="shared" si="4"/>
        <v>1192</v>
      </c>
      <c r="K33" s="220">
        <f t="shared" si="5"/>
        <v>2548</v>
      </c>
      <c r="L33" s="220">
        <f t="shared" si="5"/>
        <v>2644</v>
      </c>
      <c r="M33" s="220">
        <f t="shared" si="5"/>
        <v>2556</v>
      </c>
      <c r="N33" s="220">
        <f t="shared" si="5"/>
        <v>2485</v>
      </c>
      <c r="O33" s="220">
        <f t="shared" si="5"/>
        <v>2447</v>
      </c>
      <c r="P33" s="220">
        <f t="shared" si="27"/>
        <v>2000</v>
      </c>
      <c r="Q33" s="220">
        <f t="shared" si="27"/>
        <v>2150</v>
      </c>
      <c r="R33" s="220">
        <f t="shared" si="27"/>
        <v>2150</v>
      </c>
      <c r="S33" s="220">
        <f t="shared" si="27"/>
        <v>2150</v>
      </c>
      <c r="T33" s="220">
        <f t="shared" si="27"/>
        <v>2000</v>
      </c>
      <c r="U33" s="220">
        <f t="shared" si="28"/>
        <v>548</v>
      </c>
      <c r="V33" s="220">
        <f t="shared" si="28"/>
        <v>494</v>
      </c>
      <c r="W33" s="220">
        <f t="shared" si="28"/>
        <v>406</v>
      </c>
      <c r="X33" s="220">
        <f t="shared" si="28"/>
        <v>335</v>
      </c>
      <c r="Y33" s="220">
        <f t="shared" si="28"/>
        <v>447</v>
      </c>
      <c r="Z33" s="220">
        <v>6</v>
      </c>
      <c r="AA33" s="220">
        <v>7</v>
      </c>
      <c r="AB33" s="220">
        <v>9</v>
      </c>
      <c r="AC33" s="220">
        <v>5</v>
      </c>
      <c r="AD33" s="220">
        <v>6</v>
      </c>
      <c r="AE33" s="220">
        <f t="shared" si="29"/>
        <v>-101</v>
      </c>
      <c r="AF33" s="220">
        <f t="shared" si="29"/>
        <v>-108</v>
      </c>
      <c r="AG33" s="220">
        <f t="shared" si="29"/>
        <v>-161</v>
      </c>
      <c r="AH33" s="220">
        <f t="shared" si="29"/>
        <v>-147</v>
      </c>
      <c r="AI33" s="220">
        <f t="shared" si="29"/>
        <v>-112</v>
      </c>
      <c r="AJ33" s="50">
        <f t="shared" si="12"/>
        <v>1.606000000000001</v>
      </c>
      <c r="AK33" s="257"/>
      <c r="AL33" s="257">
        <f t="shared" si="13"/>
        <v>1.2</v>
      </c>
      <c r="AM33" s="52"/>
      <c r="AN33" s="88"/>
    </row>
    <row r="34" spans="1:40" s="29" customFormat="1" ht="17.25" customHeight="1">
      <c r="A34" s="48">
        <v>24</v>
      </c>
      <c r="B34" s="49">
        <f t="shared" si="6"/>
        <v>45608</v>
      </c>
      <c r="C34" s="220">
        <f t="shared" si="7"/>
        <v>1049</v>
      </c>
      <c r="D34" s="220">
        <f t="shared" ref="D34" si="34">D33+32</f>
        <v>2622</v>
      </c>
      <c r="E34" s="220">
        <f t="shared" si="8"/>
        <v>3671</v>
      </c>
      <c r="F34" s="220">
        <f t="shared" si="0"/>
        <v>1129</v>
      </c>
      <c r="G34" s="220">
        <f t="shared" si="1"/>
        <v>1033</v>
      </c>
      <c r="H34" s="220">
        <f t="shared" si="2"/>
        <v>1124</v>
      </c>
      <c r="I34" s="220">
        <f t="shared" si="3"/>
        <v>1192</v>
      </c>
      <c r="J34" s="220">
        <f t="shared" si="4"/>
        <v>1230</v>
      </c>
      <c r="K34" s="220">
        <f t="shared" si="5"/>
        <v>2542</v>
      </c>
      <c r="L34" s="220">
        <f t="shared" si="5"/>
        <v>2638</v>
      </c>
      <c r="M34" s="220">
        <f t="shared" si="5"/>
        <v>2547</v>
      </c>
      <c r="N34" s="220">
        <f t="shared" si="5"/>
        <v>2479</v>
      </c>
      <c r="O34" s="220">
        <f t="shared" si="5"/>
        <v>2441</v>
      </c>
      <c r="P34" s="220">
        <f t="shared" si="27"/>
        <v>2000</v>
      </c>
      <c r="Q34" s="220">
        <f t="shared" si="27"/>
        <v>2150</v>
      </c>
      <c r="R34" s="220">
        <f t="shared" si="27"/>
        <v>2150</v>
      </c>
      <c r="S34" s="220">
        <f t="shared" si="27"/>
        <v>2150</v>
      </c>
      <c r="T34" s="220">
        <f t="shared" si="27"/>
        <v>2000</v>
      </c>
      <c r="U34" s="220">
        <f t="shared" si="28"/>
        <v>542</v>
      </c>
      <c r="V34" s="220">
        <f t="shared" si="28"/>
        <v>488</v>
      </c>
      <c r="W34" s="220">
        <f t="shared" si="28"/>
        <v>397</v>
      </c>
      <c r="X34" s="220">
        <f t="shared" si="28"/>
        <v>329</v>
      </c>
      <c r="Y34" s="220">
        <f t="shared" si="28"/>
        <v>441</v>
      </c>
      <c r="Z34" s="220">
        <v>6</v>
      </c>
      <c r="AA34" s="220">
        <v>6</v>
      </c>
      <c r="AB34" s="220">
        <v>9</v>
      </c>
      <c r="AC34" s="220">
        <v>6</v>
      </c>
      <c r="AD34" s="220">
        <v>6</v>
      </c>
      <c r="AE34" s="220">
        <f t="shared" si="29"/>
        <v>-107</v>
      </c>
      <c r="AF34" s="220">
        <f t="shared" si="29"/>
        <v>-114</v>
      </c>
      <c r="AG34" s="220">
        <f t="shared" si="29"/>
        <v>-170</v>
      </c>
      <c r="AH34" s="220">
        <f t="shared" si="29"/>
        <v>-153</v>
      </c>
      <c r="AI34" s="220">
        <f t="shared" si="29"/>
        <v>-118</v>
      </c>
      <c r="AJ34" s="50">
        <f t="shared" si="12"/>
        <v>1.5970000000000011</v>
      </c>
      <c r="AK34" s="257"/>
      <c r="AL34" s="257">
        <f t="shared" si="13"/>
        <v>1.2</v>
      </c>
      <c r="AM34" s="52"/>
      <c r="AN34" s="88"/>
    </row>
    <row r="35" spans="1:40" s="29" customFormat="1" ht="17.25" customHeight="1">
      <c r="A35" s="48">
        <v>25</v>
      </c>
      <c r="B35" s="49">
        <f t="shared" si="6"/>
        <v>45609</v>
      </c>
      <c r="C35" s="220">
        <f t="shared" si="7"/>
        <v>1049</v>
      </c>
      <c r="D35" s="220">
        <f t="shared" ref="D35" si="35">D34-18</f>
        <v>2604</v>
      </c>
      <c r="E35" s="220">
        <f t="shared" si="8"/>
        <v>3653</v>
      </c>
      <c r="F35" s="220">
        <f t="shared" si="0"/>
        <v>1117</v>
      </c>
      <c r="G35" s="220">
        <f t="shared" si="1"/>
        <v>1022</v>
      </c>
      <c r="H35" s="220">
        <f t="shared" si="2"/>
        <v>1115</v>
      </c>
      <c r="I35" s="220">
        <f t="shared" si="3"/>
        <v>1179</v>
      </c>
      <c r="J35" s="220">
        <f t="shared" si="4"/>
        <v>1217</v>
      </c>
      <c r="K35" s="220">
        <f t="shared" si="5"/>
        <v>2536</v>
      </c>
      <c r="L35" s="220">
        <f t="shared" si="5"/>
        <v>2631</v>
      </c>
      <c r="M35" s="220">
        <f t="shared" si="5"/>
        <v>2538</v>
      </c>
      <c r="N35" s="220">
        <f t="shared" si="5"/>
        <v>2474</v>
      </c>
      <c r="O35" s="220">
        <f t="shared" si="5"/>
        <v>2436</v>
      </c>
      <c r="P35" s="220">
        <f t="shared" si="27"/>
        <v>2000</v>
      </c>
      <c r="Q35" s="220">
        <f t="shared" si="27"/>
        <v>2150</v>
      </c>
      <c r="R35" s="220">
        <f t="shared" si="27"/>
        <v>2150</v>
      </c>
      <c r="S35" s="220">
        <f t="shared" si="27"/>
        <v>2150</v>
      </c>
      <c r="T35" s="220">
        <f t="shared" si="27"/>
        <v>2000</v>
      </c>
      <c r="U35" s="220">
        <f t="shared" si="28"/>
        <v>536</v>
      </c>
      <c r="V35" s="220">
        <f t="shared" si="28"/>
        <v>481</v>
      </c>
      <c r="W35" s="220">
        <f t="shared" si="28"/>
        <v>388</v>
      </c>
      <c r="X35" s="220">
        <f t="shared" si="28"/>
        <v>324</v>
      </c>
      <c r="Y35" s="220">
        <f t="shared" si="28"/>
        <v>436</v>
      </c>
      <c r="Z35" s="220">
        <v>6</v>
      </c>
      <c r="AA35" s="220">
        <v>7</v>
      </c>
      <c r="AB35" s="220">
        <v>9</v>
      </c>
      <c r="AC35" s="220">
        <v>5</v>
      </c>
      <c r="AD35" s="220">
        <v>5</v>
      </c>
      <c r="AE35" s="220">
        <f t="shared" si="29"/>
        <v>-113</v>
      </c>
      <c r="AF35" s="220">
        <f t="shared" si="29"/>
        <v>-121</v>
      </c>
      <c r="AG35" s="220">
        <f t="shared" si="29"/>
        <v>-179</v>
      </c>
      <c r="AH35" s="220">
        <f t="shared" si="29"/>
        <v>-158</v>
      </c>
      <c r="AI35" s="220">
        <f t="shared" si="29"/>
        <v>-123</v>
      </c>
      <c r="AJ35" s="50">
        <f t="shared" si="12"/>
        <v>1.5880000000000012</v>
      </c>
      <c r="AK35" s="257"/>
      <c r="AL35" s="257">
        <f t="shared" si="13"/>
        <v>1.2</v>
      </c>
      <c r="AM35" s="52"/>
      <c r="AN35" s="88"/>
    </row>
    <row r="36" spans="1:40" s="29" customFormat="1" ht="17.25" customHeight="1">
      <c r="A36" s="48">
        <v>26</v>
      </c>
      <c r="B36" s="49">
        <f t="shared" si="6"/>
        <v>45610</v>
      </c>
      <c r="C36" s="220">
        <f t="shared" si="7"/>
        <v>1049</v>
      </c>
      <c r="D36" s="220">
        <f t="shared" ref="D36" si="36">D35-26</f>
        <v>2578</v>
      </c>
      <c r="E36" s="220">
        <f t="shared" si="8"/>
        <v>3627</v>
      </c>
      <c r="F36" s="220">
        <f t="shared" si="0"/>
        <v>1095</v>
      </c>
      <c r="G36" s="220">
        <f t="shared" si="1"/>
        <v>1002</v>
      </c>
      <c r="H36" s="220">
        <f t="shared" si="2"/>
        <v>1098</v>
      </c>
      <c r="I36" s="220">
        <f t="shared" si="3"/>
        <v>1158</v>
      </c>
      <c r="J36" s="220">
        <f t="shared" si="4"/>
        <v>1196</v>
      </c>
      <c r="K36" s="220">
        <f t="shared" si="5"/>
        <v>2532</v>
      </c>
      <c r="L36" s="220">
        <f t="shared" si="5"/>
        <v>2625</v>
      </c>
      <c r="M36" s="220">
        <f t="shared" si="5"/>
        <v>2529</v>
      </c>
      <c r="N36" s="220">
        <f t="shared" si="5"/>
        <v>2469</v>
      </c>
      <c r="O36" s="220">
        <f t="shared" si="5"/>
        <v>2431</v>
      </c>
      <c r="P36" s="220">
        <f t="shared" si="27"/>
        <v>2000</v>
      </c>
      <c r="Q36" s="220">
        <f t="shared" si="27"/>
        <v>2150</v>
      </c>
      <c r="R36" s="220">
        <f t="shared" si="27"/>
        <v>2150</v>
      </c>
      <c r="S36" s="220">
        <f t="shared" si="27"/>
        <v>2150</v>
      </c>
      <c r="T36" s="220">
        <f t="shared" si="27"/>
        <v>2000</v>
      </c>
      <c r="U36" s="220">
        <f t="shared" si="28"/>
        <v>532</v>
      </c>
      <c r="V36" s="220">
        <f t="shared" si="28"/>
        <v>475</v>
      </c>
      <c r="W36" s="220">
        <f t="shared" si="28"/>
        <v>379</v>
      </c>
      <c r="X36" s="220">
        <f t="shared" si="28"/>
        <v>319</v>
      </c>
      <c r="Y36" s="220">
        <f t="shared" si="28"/>
        <v>431</v>
      </c>
      <c r="Z36" s="220">
        <v>4</v>
      </c>
      <c r="AA36" s="220">
        <v>6</v>
      </c>
      <c r="AB36" s="220">
        <v>9</v>
      </c>
      <c r="AC36" s="220">
        <v>5</v>
      </c>
      <c r="AD36" s="220">
        <v>5</v>
      </c>
      <c r="AE36" s="220">
        <f t="shared" si="29"/>
        <v>-117</v>
      </c>
      <c r="AF36" s="220">
        <f t="shared" si="29"/>
        <v>-127</v>
      </c>
      <c r="AG36" s="220">
        <f t="shared" si="29"/>
        <v>-188</v>
      </c>
      <c r="AH36" s="220">
        <f t="shared" si="29"/>
        <v>-163</v>
      </c>
      <c r="AI36" s="220">
        <f t="shared" si="29"/>
        <v>-128</v>
      </c>
      <c r="AJ36" s="50">
        <f t="shared" si="12"/>
        <v>1.5790000000000013</v>
      </c>
      <c r="AK36" s="257"/>
      <c r="AL36" s="257">
        <f t="shared" si="13"/>
        <v>1.2</v>
      </c>
      <c r="AM36" s="52"/>
      <c r="AN36" s="88"/>
    </row>
    <row r="37" spans="1:40" s="29" customFormat="1" ht="17.25" customHeight="1">
      <c r="A37" s="48">
        <v>27</v>
      </c>
      <c r="B37" s="49">
        <f t="shared" si="6"/>
        <v>45611</v>
      </c>
      <c r="C37" s="220">
        <f t="shared" si="7"/>
        <v>1049</v>
      </c>
      <c r="D37" s="220">
        <f t="shared" ref="D37" si="37">D36+15</f>
        <v>2593</v>
      </c>
      <c r="E37" s="220">
        <f t="shared" si="8"/>
        <v>3642</v>
      </c>
      <c r="F37" s="220">
        <f t="shared" si="0"/>
        <v>1113</v>
      </c>
      <c r="G37" s="220">
        <f t="shared" si="1"/>
        <v>1022</v>
      </c>
      <c r="H37" s="220">
        <f t="shared" si="2"/>
        <v>1122</v>
      </c>
      <c r="I37" s="220">
        <f t="shared" si="3"/>
        <v>1178</v>
      </c>
      <c r="J37" s="220">
        <f t="shared" si="4"/>
        <v>1216</v>
      </c>
      <c r="K37" s="220">
        <f t="shared" si="5"/>
        <v>2529</v>
      </c>
      <c r="L37" s="220">
        <f t="shared" si="5"/>
        <v>2620</v>
      </c>
      <c r="M37" s="220">
        <f t="shared" si="5"/>
        <v>2520</v>
      </c>
      <c r="N37" s="220">
        <f t="shared" si="5"/>
        <v>2464</v>
      </c>
      <c r="O37" s="220">
        <f t="shared" si="5"/>
        <v>2426</v>
      </c>
      <c r="P37" s="220">
        <f t="shared" si="27"/>
        <v>2000</v>
      </c>
      <c r="Q37" s="220">
        <f t="shared" si="27"/>
        <v>2150</v>
      </c>
      <c r="R37" s="220">
        <f t="shared" si="27"/>
        <v>2150</v>
      </c>
      <c r="S37" s="220">
        <f t="shared" si="27"/>
        <v>2150</v>
      </c>
      <c r="T37" s="220">
        <f t="shared" si="27"/>
        <v>2000</v>
      </c>
      <c r="U37" s="220">
        <f t="shared" si="28"/>
        <v>529</v>
      </c>
      <c r="V37" s="220">
        <f t="shared" si="28"/>
        <v>470</v>
      </c>
      <c r="W37" s="220">
        <f t="shared" si="28"/>
        <v>370</v>
      </c>
      <c r="X37" s="220">
        <f t="shared" si="28"/>
        <v>314</v>
      </c>
      <c r="Y37" s="220">
        <f t="shared" si="28"/>
        <v>426</v>
      </c>
      <c r="Z37" s="220">
        <v>3</v>
      </c>
      <c r="AA37" s="220">
        <v>5</v>
      </c>
      <c r="AB37" s="220">
        <v>9</v>
      </c>
      <c r="AC37" s="220">
        <v>5</v>
      </c>
      <c r="AD37" s="220">
        <v>5</v>
      </c>
      <c r="AE37" s="220">
        <f t="shared" si="29"/>
        <v>-120</v>
      </c>
      <c r="AF37" s="220">
        <f t="shared" si="29"/>
        <v>-132</v>
      </c>
      <c r="AG37" s="220">
        <f t="shared" si="29"/>
        <v>-197</v>
      </c>
      <c r="AH37" s="220">
        <f t="shared" si="29"/>
        <v>-168</v>
      </c>
      <c r="AI37" s="220">
        <f t="shared" si="29"/>
        <v>-133</v>
      </c>
      <c r="AJ37" s="50">
        <f t="shared" si="12"/>
        <v>1.5700000000000014</v>
      </c>
      <c r="AK37" s="257"/>
      <c r="AL37" s="257">
        <f t="shared" si="13"/>
        <v>1.2</v>
      </c>
      <c r="AM37" s="52"/>
      <c r="AN37" s="88"/>
    </row>
    <row r="38" spans="1:40" s="29" customFormat="1" ht="17.25" customHeight="1">
      <c r="A38" s="48">
        <v>28</v>
      </c>
      <c r="B38" s="49">
        <f t="shared" si="6"/>
        <v>45612</v>
      </c>
      <c r="C38" s="220">
        <f t="shared" si="7"/>
        <v>1049</v>
      </c>
      <c r="D38" s="220">
        <f t="shared" ref="D38" si="38">D37+26</f>
        <v>2619</v>
      </c>
      <c r="E38" s="220">
        <f t="shared" si="8"/>
        <v>3668</v>
      </c>
      <c r="F38" s="220">
        <f t="shared" si="0"/>
        <v>1143</v>
      </c>
      <c r="G38" s="220">
        <f t="shared" si="1"/>
        <v>1054</v>
      </c>
      <c r="H38" s="220">
        <f t="shared" si="2"/>
        <v>1157</v>
      </c>
      <c r="I38" s="220">
        <f t="shared" si="3"/>
        <v>1209</v>
      </c>
      <c r="J38" s="220">
        <f t="shared" si="4"/>
        <v>1247</v>
      </c>
      <c r="K38" s="220">
        <f t="shared" si="5"/>
        <v>2525</v>
      </c>
      <c r="L38" s="220">
        <f t="shared" si="5"/>
        <v>2614</v>
      </c>
      <c r="M38" s="220">
        <f t="shared" si="5"/>
        <v>2511</v>
      </c>
      <c r="N38" s="220">
        <f t="shared" si="5"/>
        <v>2459</v>
      </c>
      <c r="O38" s="220">
        <f t="shared" si="5"/>
        <v>2421</v>
      </c>
      <c r="P38" s="220">
        <f t="shared" si="27"/>
        <v>2000</v>
      </c>
      <c r="Q38" s="220">
        <f t="shared" si="27"/>
        <v>2150</v>
      </c>
      <c r="R38" s="220">
        <f t="shared" si="27"/>
        <v>2150</v>
      </c>
      <c r="S38" s="220">
        <f t="shared" si="27"/>
        <v>2150</v>
      </c>
      <c r="T38" s="220">
        <f t="shared" si="27"/>
        <v>2000</v>
      </c>
      <c r="U38" s="220">
        <f t="shared" si="28"/>
        <v>525</v>
      </c>
      <c r="V38" s="220">
        <f t="shared" si="28"/>
        <v>464</v>
      </c>
      <c r="W38" s="220">
        <f t="shared" si="28"/>
        <v>361</v>
      </c>
      <c r="X38" s="220">
        <f t="shared" si="28"/>
        <v>309</v>
      </c>
      <c r="Y38" s="220">
        <f t="shared" si="28"/>
        <v>421</v>
      </c>
      <c r="Z38" s="220">
        <v>4</v>
      </c>
      <c r="AA38" s="220">
        <v>6</v>
      </c>
      <c r="AB38" s="220">
        <v>9</v>
      </c>
      <c r="AC38" s="220">
        <v>5</v>
      </c>
      <c r="AD38" s="220">
        <v>5</v>
      </c>
      <c r="AE38" s="220">
        <f t="shared" si="29"/>
        <v>-124</v>
      </c>
      <c r="AF38" s="220">
        <f t="shared" si="29"/>
        <v>-138</v>
      </c>
      <c r="AG38" s="220">
        <f t="shared" si="29"/>
        <v>-206</v>
      </c>
      <c r="AH38" s="220">
        <f t="shared" si="29"/>
        <v>-173</v>
      </c>
      <c r="AI38" s="220">
        <f t="shared" si="29"/>
        <v>-138</v>
      </c>
      <c r="AJ38" s="50">
        <f t="shared" si="12"/>
        <v>1.5610000000000015</v>
      </c>
      <c r="AK38" s="257"/>
      <c r="AL38" s="257">
        <f t="shared" si="13"/>
        <v>1.2</v>
      </c>
      <c r="AM38" s="52"/>
      <c r="AN38" s="88"/>
    </row>
    <row r="39" spans="1:40" s="29" customFormat="1" ht="17.25" customHeight="1">
      <c r="A39" s="48">
        <v>29</v>
      </c>
      <c r="B39" s="49">
        <f t="shared" si="6"/>
        <v>45613</v>
      </c>
      <c r="C39" s="220">
        <f t="shared" si="7"/>
        <v>1049</v>
      </c>
      <c r="D39" s="220">
        <f t="shared" ref="D39" si="39">D38+32</f>
        <v>2651</v>
      </c>
      <c r="E39" s="220">
        <f t="shared" si="8"/>
        <v>3700</v>
      </c>
      <c r="F39" s="220">
        <f t="shared" si="0"/>
        <v>1182</v>
      </c>
      <c r="G39" s="220">
        <f t="shared" si="1"/>
        <v>1092</v>
      </c>
      <c r="H39" s="220">
        <f t="shared" si="2"/>
        <v>1198</v>
      </c>
      <c r="I39" s="220">
        <f t="shared" si="3"/>
        <v>1245</v>
      </c>
      <c r="J39" s="220">
        <f t="shared" si="4"/>
        <v>1283</v>
      </c>
      <c r="K39" s="220">
        <f t="shared" si="5"/>
        <v>2518</v>
      </c>
      <c r="L39" s="220">
        <f t="shared" si="5"/>
        <v>2608</v>
      </c>
      <c r="M39" s="220">
        <f t="shared" si="5"/>
        <v>2502</v>
      </c>
      <c r="N39" s="220">
        <f t="shared" si="5"/>
        <v>2455</v>
      </c>
      <c r="O39" s="220">
        <f t="shared" si="5"/>
        <v>2417</v>
      </c>
      <c r="P39" s="220">
        <f t="shared" si="27"/>
        <v>2000</v>
      </c>
      <c r="Q39" s="220">
        <f t="shared" si="27"/>
        <v>2150</v>
      </c>
      <c r="R39" s="220">
        <f t="shared" si="27"/>
        <v>2150</v>
      </c>
      <c r="S39" s="220">
        <f t="shared" si="27"/>
        <v>2150</v>
      </c>
      <c r="T39" s="220">
        <f t="shared" si="27"/>
        <v>2000</v>
      </c>
      <c r="U39" s="220">
        <f t="shared" si="28"/>
        <v>518</v>
      </c>
      <c r="V39" s="220">
        <f t="shared" si="28"/>
        <v>458</v>
      </c>
      <c r="W39" s="220">
        <f t="shared" si="28"/>
        <v>352</v>
      </c>
      <c r="X39" s="220">
        <f t="shared" si="28"/>
        <v>305</v>
      </c>
      <c r="Y39" s="220">
        <f t="shared" si="28"/>
        <v>417</v>
      </c>
      <c r="Z39" s="220">
        <v>7</v>
      </c>
      <c r="AA39" s="220">
        <v>6</v>
      </c>
      <c r="AB39" s="220">
        <v>9</v>
      </c>
      <c r="AC39" s="220">
        <v>4</v>
      </c>
      <c r="AD39" s="220">
        <v>4</v>
      </c>
      <c r="AE39" s="220">
        <f t="shared" si="29"/>
        <v>-131</v>
      </c>
      <c r="AF39" s="220">
        <f t="shared" si="29"/>
        <v>-144</v>
      </c>
      <c r="AG39" s="220">
        <f t="shared" si="29"/>
        <v>-215</v>
      </c>
      <c r="AH39" s="220">
        <f t="shared" si="29"/>
        <v>-177</v>
      </c>
      <c r="AI39" s="220">
        <f t="shared" si="29"/>
        <v>-142</v>
      </c>
      <c r="AJ39" s="50">
        <f t="shared" si="12"/>
        <v>1.5520000000000016</v>
      </c>
      <c r="AK39" s="257"/>
      <c r="AL39" s="257">
        <f t="shared" si="13"/>
        <v>1.2</v>
      </c>
      <c r="AM39" s="52"/>
      <c r="AN39" s="88"/>
    </row>
    <row r="40" spans="1:40" s="29" customFormat="1" ht="17.25" customHeight="1">
      <c r="A40" s="48">
        <v>30</v>
      </c>
      <c r="B40" s="49">
        <f t="shared" si="6"/>
        <v>45614</v>
      </c>
      <c r="C40" s="220">
        <f t="shared" si="7"/>
        <v>1049</v>
      </c>
      <c r="D40" s="220">
        <f t="shared" ref="D40" si="40">D39-18</f>
        <v>2633</v>
      </c>
      <c r="E40" s="220">
        <f t="shared" si="8"/>
        <v>3682</v>
      </c>
      <c r="F40" s="220">
        <f t="shared" si="0"/>
        <v>1170</v>
      </c>
      <c r="G40" s="220">
        <f t="shared" si="1"/>
        <v>1080</v>
      </c>
      <c r="H40" s="220">
        <f t="shared" si="2"/>
        <v>1189</v>
      </c>
      <c r="I40" s="220">
        <f t="shared" si="3"/>
        <v>1232</v>
      </c>
      <c r="J40" s="220">
        <f t="shared" si="4"/>
        <v>1268</v>
      </c>
      <c r="K40" s="220">
        <f t="shared" si="5"/>
        <v>2512</v>
      </c>
      <c r="L40" s="220">
        <f t="shared" si="5"/>
        <v>2602</v>
      </c>
      <c r="M40" s="220">
        <f t="shared" si="5"/>
        <v>2493</v>
      </c>
      <c r="N40" s="220">
        <f t="shared" si="5"/>
        <v>2450</v>
      </c>
      <c r="O40" s="220">
        <f t="shared" si="5"/>
        <v>2414</v>
      </c>
      <c r="P40" s="220">
        <f t="shared" si="27"/>
        <v>2000</v>
      </c>
      <c r="Q40" s="220">
        <f t="shared" si="27"/>
        <v>2150</v>
      </c>
      <c r="R40" s="220">
        <f t="shared" si="27"/>
        <v>2150</v>
      </c>
      <c r="S40" s="220">
        <f t="shared" si="27"/>
        <v>2150</v>
      </c>
      <c r="T40" s="220">
        <f t="shared" si="27"/>
        <v>2000</v>
      </c>
      <c r="U40" s="220">
        <f t="shared" si="28"/>
        <v>512</v>
      </c>
      <c r="V40" s="220">
        <f t="shared" si="28"/>
        <v>452</v>
      </c>
      <c r="W40" s="220">
        <f t="shared" si="28"/>
        <v>343</v>
      </c>
      <c r="X40" s="220">
        <f t="shared" si="28"/>
        <v>300</v>
      </c>
      <c r="Y40" s="220">
        <f t="shared" si="28"/>
        <v>414</v>
      </c>
      <c r="Z40" s="220">
        <v>6</v>
      </c>
      <c r="AA40" s="220">
        <v>6</v>
      </c>
      <c r="AB40" s="220">
        <v>9</v>
      </c>
      <c r="AC40" s="220">
        <v>5</v>
      </c>
      <c r="AD40" s="220">
        <v>3</v>
      </c>
      <c r="AE40" s="220">
        <f t="shared" si="29"/>
        <v>-137</v>
      </c>
      <c r="AF40" s="220">
        <f t="shared" si="29"/>
        <v>-150</v>
      </c>
      <c r="AG40" s="220">
        <f t="shared" si="29"/>
        <v>-224</v>
      </c>
      <c r="AH40" s="220">
        <f t="shared" si="29"/>
        <v>-182</v>
      </c>
      <c r="AI40" s="220">
        <f t="shared" si="29"/>
        <v>-145</v>
      </c>
      <c r="AJ40" s="50">
        <f t="shared" si="12"/>
        <v>1.5430000000000017</v>
      </c>
      <c r="AK40" s="257"/>
      <c r="AL40" s="257">
        <f t="shared" si="13"/>
        <v>1.2</v>
      </c>
      <c r="AM40" s="52"/>
      <c r="AN40" s="88"/>
    </row>
    <row r="41" spans="1:40" s="29" customFormat="1" ht="17.25" customHeight="1">
      <c r="A41" s="48">
        <v>31</v>
      </c>
      <c r="B41" s="49">
        <f t="shared" si="6"/>
        <v>45615</v>
      </c>
      <c r="C41" s="220">
        <f t="shared" si="7"/>
        <v>1049</v>
      </c>
      <c r="D41" s="220">
        <f t="shared" ref="D41" si="41">D40-26</f>
        <v>2607</v>
      </c>
      <c r="E41" s="220">
        <f t="shared" si="8"/>
        <v>3656</v>
      </c>
      <c r="F41" s="220">
        <f t="shared" si="0"/>
        <v>1149</v>
      </c>
      <c r="G41" s="220">
        <f t="shared" si="1"/>
        <v>1059</v>
      </c>
      <c r="H41" s="220">
        <f t="shared" si="2"/>
        <v>1172</v>
      </c>
      <c r="I41" s="220">
        <f t="shared" si="3"/>
        <v>1212</v>
      </c>
      <c r="J41" s="220">
        <f t="shared" si="4"/>
        <v>1246</v>
      </c>
      <c r="K41" s="220">
        <f t="shared" si="5"/>
        <v>2507</v>
      </c>
      <c r="L41" s="220">
        <f t="shared" si="5"/>
        <v>2597</v>
      </c>
      <c r="M41" s="220">
        <f t="shared" si="5"/>
        <v>2484</v>
      </c>
      <c r="N41" s="220">
        <f t="shared" si="5"/>
        <v>2444</v>
      </c>
      <c r="O41" s="220">
        <f t="shared" si="5"/>
        <v>2410</v>
      </c>
      <c r="P41" s="220">
        <f t="shared" si="27"/>
        <v>2000</v>
      </c>
      <c r="Q41" s="220">
        <f t="shared" si="27"/>
        <v>2150</v>
      </c>
      <c r="R41" s="220">
        <f t="shared" si="27"/>
        <v>2150</v>
      </c>
      <c r="S41" s="220">
        <f t="shared" si="27"/>
        <v>2150</v>
      </c>
      <c r="T41" s="220">
        <f t="shared" si="27"/>
        <v>2000</v>
      </c>
      <c r="U41" s="220">
        <f t="shared" si="28"/>
        <v>507</v>
      </c>
      <c r="V41" s="220">
        <f t="shared" si="28"/>
        <v>447</v>
      </c>
      <c r="W41" s="220">
        <f t="shared" si="28"/>
        <v>334</v>
      </c>
      <c r="X41" s="220">
        <f t="shared" si="28"/>
        <v>294</v>
      </c>
      <c r="Y41" s="220">
        <f t="shared" si="28"/>
        <v>410</v>
      </c>
      <c r="Z41" s="220">
        <v>5</v>
      </c>
      <c r="AA41" s="220">
        <v>5</v>
      </c>
      <c r="AB41" s="220">
        <v>9</v>
      </c>
      <c r="AC41" s="220">
        <v>6</v>
      </c>
      <c r="AD41" s="220">
        <v>4</v>
      </c>
      <c r="AE41" s="220">
        <f t="shared" si="29"/>
        <v>-142</v>
      </c>
      <c r="AF41" s="220">
        <f t="shared" si="29"/>
        <v>-155</v>
      </c>
      <c r="AG41" s="220">
        <f t="shared" si="29"/>
        <v>-233</v>
      </c>
      <c r="AH41" s="220">
        <f t="shared" si="29"/>
        <v>-188</v>
      </c>
      <c r="AI41" s="220">
        <f t="shared" si="29"/>
        <v>-149</v>
      </c>
      <c r="AJ41" s="50">
        <f t="shared" si="12"/>
        <v>1.5340000000000018</v>
      </c>
      <c r="AK41" s="257"/>
      <c r="AL41" s="257">
        <f t="shared" si="13"/>
        <v>1.2</v>
      </c>
      <c r="AM41" s="52"/>
      <c r="AN41" s="88"/>
    </row>
    <row r="42" spans="1:40" s="29" customFormat="1" ht="17.25" customHeight="1">
      <c r="A42" s="48">
        <v>32</v>
      </c>
      <c r="B42" s="49">
        <f t="shared" si="6"/>
        <v>45616</v>
      </c>
      <c r="C42" s="220">
        <f t="shared" si="7"/>
        <v>1049</v>
      </c>
      <c r="D42" s="220">
        <f t="shared" ref="D42" si="42">D41+15</f>
        <v>2622</v>
      </c>
      <c r="E42" s="220">
        <f t="shared" si="8"/>
        <v>3671</v>
      </c>
      <c r="F42" s="220">
        <f t="shared" si="0"/>
        <v>1168</v>
      </c>
      <c r="G42" s="220">
        <f t="shared" si="1"/>
        <v>1079</v>
      </c>
      <c r="H42" s="220">
        <f t="shared" si="2"/>
        <v>1195</v>
      </c>
      <c r="I42" s="220">
        <f t="shared" si="3"/>
        <v>1232</v>
      </c>
      <c r="J42" s="220">
        <f t="shared" si="4"/>
        <v>1264</v>
      </c>
      <c r="K42" s="220">
        <f t="shared" si="5"/>
        <v>2503</v>
      </c>
      <c r="L42" s="220">
        <f t="shared" si="5"/>
        <v>2592</v>
      </c>
      <c r="M42" s="220">
        <f t="shared" si="5"/>
        <v>2476</v>
      </c>
      <c r="N42" s="220">
        <f t="shared" si="5"/>
        <v>2439</v>
      </c>
      <c r="O42" s="220">
        <f t="shared" si="5"/>
        <v>2407</v>
      </c>
      <c r="P42" s="220">
        <f t="shared" si="27"/>
        <v>2000</v>
      </c>
      <c r="Q42" s="220">
        <f t="shared" si="27"/>
        <v>2150</v>
      </c>
      <c r="R42" s="220">
        <f t="shared" si="27"/>
        <v>2150</v>
      </c>
      <c r="S42" s="220">
        <f t="shared" si="27"/>
        <v>2150</v>
      </c>
      <c r="T42" s="220">
        <f t="shared" si="27"/>
        <v>2000</v>
      </c>
      <c r="U42" s="220">
        <f t="shared" si="28"/>
        <v>503</v>
      </c>
      <c r="V42" s="220">
        <f t="shared" si="28"/>
        <v>442</v>
      </c>
      <c r="W42" s="220">
        <f t="shared" si="28"/>
        <v>326</v>
      </c>
      <c r="X42" s="220">
        <f t="shared" si="28"/>
        <v>289</v>
      </c>
      <c r="Y42" s="220">
        <f t="shared" si="28"/>
        <v>407</v>
      </c>
      <c r="Z42" s="220">
        <v>4</v>
      </c>
      <c r="AA42" s="220">
        <v>5</v>
      </c>
      <c r="AB42" s="220">
        <v>8</v>
      </c>
      <c r="AC42" s="220">
        <v>5</v>
      </c>
      <c r="AD42" s="220">
        <v>3</v>
      </c>
      <c r="AE42" s="220">
        <f t="shared" si="29"/>
        <v>-146</v>
      </c>
      <c r="AF42" s="220">
        <f t="shared" si="29"/>
        <v>-160</v>
      </c>
      <c r="AG42" s="220">
        <f t="shared" si="29"/>
        <v>-241</v>
      </c>
      <c r="AH42" s="220">
        <f t="shared" si="29"/>
        <v>-193</v>
      </c>
      <c r="AI42" s="220">
        <f t="shared" si="29"/>
        <v>-152</v>
      </c>
      <c r="AJ42" s="50">
        <f t="shared" si="12"/>
        <v>1.5260000000000018</v>
      </c>
      <c r="AK42" s="257"/>
      <c r="AL42" s="257">
        <f t="shared" si="13"/>
        <v>1.2</v>
      </c>
      <c r="AM42" s="52"/>
      <c r="AN42" s="88"/>
    </row>
    <row r="43" spans="1:40" s="29" customFormat="1" ht="17.25" customHeight="1">
      <c r="A43" s="48">
        <v>33</v>
      </c>
      <c r="B43" s="49">
        <f t="shared" si="6"/>
        <v>45617</v>
      </c>
      <c r="C43" s="220">
        <f t="shared" si="7"/>
        <v>1049</v>
      </c>
      <c r="D43" s="220">
        <f t="shared" ref="D43" si="43">D42+26</f>
        <v>2648</v>
      </c>
      <c r="E43" s="220">
        <f t="shared" si="8"/>
        <v>3697</v>
      </c>
      <c r="F43" s="220">
        <f t="shared" si="0"/>
        <v>1198</v>
      </c>
      <c r="G43" s="220">
        <f t="shared" si="1"/>
        <v>1112</v>
      </c>
      <c r="H43" s="220">
        <f t="shared" si="2"/>
        <v>1229</v>
      </c>
      <c r="I43" s="220">
        <f t="shared" si="3"/>
        <v>1263</v>
      </c>
      <c r="J43" s="220">
        <f t="shared" si="4"/>
        <v>1292</v>
      </c>
      <c r="K43" s="220">
        <f t="shared" si="5"/>
        <v>2499</v>
      </c>
      <c r="L43" s="220">
        <f t="shared" si="5"/>
        <v>2585</v>
      </c>
      <c r="M43" s="220">
        <f t="shared" si="5"/>
        <v>2468</v>
      </c>
      <c r="N43" s="220">
        <f t="shared" si="5"/>
        <v>2434</v>
      </c>
      <c r="O43" s="220">
        <f t="shared" si="5"/>
        <v>2405</v>
      </c>
      <c r="P43" s="220">
        <f t="shared" si="27"/>
        <v>2000</v>
      </c>
      <c r="Q43" s="220">
        <f t="shared" si="27"/>
        <v>2150</v>
      </c>
      <c r="R43" s="220">
        <f t="shared" si="27"/>
        <v>2150</v>
      </c>
      <c r="S43" s="220">
        <f t="shared" si="27"/>
        <v>2150</v>
      </c>
      <c r="T43" s="220">
        <f t="shared" si="27"/>
        <v>2000</v>
      </c>
      <c r="U43" s="220">
        <f t="shared" si="28"/>
        <v>499</v>
      </c>
      <c r="V43" s="220">
        <f t="shared" si="28"/>
        <v>435</v>
      </c>
      <c r="W43" s="220">
        <f t="shared" si="28"/>
        <v>318</v>
      </c>
      <c r="X43" s="220">
        <f t="shared" si="28"/>
        <v>284</v>
      </c>
      <c r="Y43" s="220">
        <f t="shared" si="28"/>
        <v>405</v>
      </c>
      <c r="Z43" s="220">
        <v>4</v>
      </c>
      <c r="AA43" s="220">
        <v>7</v>
      </c>
      <c r="AB43" s="220">
        <v>8</v>
      </c>
      <c r="AC43" s="220">
        <v>5</v>
      </c>
      <c r="AD43" s="220">
        <v>2</v>
      </c>
      <c r="AE43" s="220">
        <f t="shared" si="29"/>
        <v>-150</v>
      </c>
      <c r="AF43" s="220">
        <f t="shared" si="29"/>
        <v>-167</v>
      </c>
      <c r="AG43" s="220">
        <f t="shared" si="29"/>
        <v>-249</v>
      </c>
      <c r="AH43" s="220">
        <f t="shared" si="29"/>
        <v>-198</v>
      </c>
      <c r="AI43" s="220">
        <f t="shared" si="29"/>
        <v>-154</v>
      </c>
      <c r="AJ43" s="50">
        <f t="shared" si="12"/>
        <v>1.5180000000000018</v>
      </c>
      <c r="AK43" s="257"/>
      <c r="AL43" s="257">
        <f t="shared" si="13"/>
        <v>1.2</v>
      </c>
      <c r="AM43" s="52"/>
      <c r="AN43" s="88"/>
    </row>
    <row r="44" spans="1:40" s="29" customFormat="1" ht="17.25" customHeight="1">
      <c r="A44" s="48">
        <v>34</v>
      </c>
      <c r="B44" s="49">
        <f t="shared" si="6"/>
        <v>45618</v>
      </c>
      <c r="C44" s="220">
        <f t="shared" si="7"/>
        <v>1049</v>
      </c>
      <c r="D44" s="220">
        <f t="shared" ref="D44" si="44">D43+32</f>
        <v>2680</v>
      </c>
      <c r="E44" s="220">
        <f t="shared" si="8"/>
        <v>3729</v>
      </c>
      <c r="F44" s="220">
        <f t="shared" si="0"/>
        <v>1233</v>
      </c>
      <c r="G44" s="220">
        <f t="shared" si="1"/>
        <v>1149</v>
      </c>
      <c r="H44" s="220">
        <f t="shared" si="2"/>
        <v>1269</v>
      </c>
      <c r="I44" s="220">
        <f t="shared" si="3"/>
        <v>1299</v>
      </c>
      <c r="J44" s="220">
        <f t="shared" si="4"/>
        <v>1326</v>
      </c>
      <c r="K44" s="220">
        <f t="shared" si="5"/>
        <v>2496</v>
      </c>
      <c r="L44" s="220">
        <f t="shared" si="5"/>
        <v>2580</v>
      </c>
      <c r="M44" s="220">
        <f t="shared" si="5"/>
        <v>2460</v>
      </c>
      <c r="N44" s="220">
        <f t="shared" si="5"/>
        <v>2430</v>
      </c>
      <c r="O44" s="220">
        <f t="shared" si="5"/>
        <v>2403</v>
      </c>
      <c r="P44" s="220">
        <f t="shared" si="27"/>
        <v>2000</v>
      </c>
      <c r="Q44" s="220">
        <f t="shared" si="27"/>
        <v>2150</v>
      </c>
      <c r="R44" s="220">
        <f t="shared" si="27"/>
        <v>2150</v>
      </c>
      <c r="S44" s="220">
        <f t="shared" si="27"/>
        <v>2150</v>
      </c>
      <c r="T44" s="220">
        <f t="shared" si="27"/>
        <v>2000</v>
      </c>
      <c r="U44" s="220">
        <f t="shared" si="28"/>
        <v>496</v>
      </c>
      <c r="V44" s="220">
        <f t="shared" si="28"/>
        <v>430</v>
      </c>
      <c r="W44" s="220">
        <f t="shared" si="28"/>
        <v>310</v>
      </c>
      <c r="X44" s="220">
        <f t="shared" si="28"/>
        <v>280</v>
      </c>
      <c r="Y44" s="220">
        <f t="shared" si="28"/>
        <v>403</v>
      </c>
      <c r="Z44" s="220">
        <v>3</v>
      </c>
      <c r="AA44" s="220">
        <v>5</v>
      </c>
      <c r="AB44" s="220">
        <v>8</v>
      </c>
      <c r="AC44" s="220">
        <v>4</v>
      </c>
      <c r="AD44" s="220">
        <v>2</v>
      </c>
      <c r="AE44" s="220">
        <f t="shared" si="29"/>
        <v>-153</v>
      </c>
      <c r="AF44" s="220">
        <f t="shared" si="29"/>
        <v>-172</v>
      </c>
      <c r="AG44" s="220">
        <f t="shared" si="29"/>
        <v>-257</v>
      </c>
      <c r="AH44" s="220">
        <f t="shared" si="29"/>
        <v>-202</v>
      </c>
      <c r="AI44" s="220">
        <f t="shared" si="29"/>
        <v>-156</v>
      </c>
      <c r="AJ44" s="50">
        <f t="shared" si="12"/>
        <v>1.5100000000000018</v>
      </c>
      <c r="AK44" s="257"/>
      <c r="AL44" s="257">
        <f t="shared" si="13"/>
        <v>1.2</v>
      </c>
      <c r="AM44" s="52"/>
      <c r="AN44" s="88"/>
    </row>
    <row r="45" spans="1:40" s="29" customFormat="1" ht="17.25" customHeight="1">
      <c r="A45" s="48">
        <v>35</v>
      </c>
      <c r="B45" s="49">
        <f t="shared" si="6"/>
        <v>45619</v>
      </c>
      <c r="C45" s="220">
        <f t="shared" si="7"/>
        <v>1049</v>
      </c>
      <c r="D45" s="220">
        <f t="shared" ref="D45" si="45">D44-18</f>
        <v>2662</v>
      </c>
      <c r="E45" s="220">
        <f t="shared" si="8"/>
        <v>3711</v>
      </c>
      <c r="F45" s="220">
        <f t="shared" si="0"/>
        <v>1218</v>
      </c>
      <c r="G45" s="220">
        <f t="shared" si="1"/>
        <v>1136</v>
      </c>
      <c r="H45" s="220">
        <f t="shared" si="2"/>
        <v>1259</v>
      </c>
      <c r="I45" s="220">
        <f t="shared" si="3"/>
        <v>1286</v>
      </c>
      <c r="J45" s="220">
        <f t="shared" si="4"/>
        <v>1310</v>
      </c>
      <c r="K45" s="220">
        <f t="shared" si="5"/>
        <v>2493</v>
      </c>
      <c r="L45" s="220">
        <f t="shared" si="5"/>
        <v>2575</v>
      </c>
      <c r="M45" s="220">
        <f t="shared" si="5"/>
        <v>2452</v>
      </c>
      <c r="N45" s="220">
        <f t="shared" si="5"/>
        <v>2425</v>
      </c>
      <c r="O45" s="220">
        <f t="shared" si="5"/>
        <v>2401</v>
      </c>
      <c r="P45" s="220">
        <f t="shared" ref="P45:T60" si="46">+P44</f>
        <v>2000</v>
      </c>
      <c r="Q45" s="220">
        <f t="shared" si="46"/>
        <v>2150</v>
      </c>
      <c r="R45" s="220">
        <f t="shared" si="46"/>
        <v>2150</v>
      </c>
      <c r="S45" s="220">
        <f t="shared" si="46"/>
        <v>2150</v>
      </c>
      <c r="T45" s="220">
        <f t="shared" si="46"/>
        <v>2000</v>
      </c>
      <c r="U45" s="220">
        <f t="shared" ref="U45:Y60" si="47">U44-Z45</f>
        <v>493</v>
      </c>
      <c r="V45" s="220">
        <f t="shared" si="47"/>
        <v>425</v>
      </c>
      <c r="W45" s="220">
        <f t="shared" si="47"/>
        <v>302</v>
      </c>
      <c r="X45" s="220">
        <f t="shared" si="47"/>
        <v>275</v>
      </c>
      <c r="Y45" s="220">
        <f t="shared" si="47"/>
        <v>401</v>
      </c>
      <c r="Z45" s="220">
        <v>3</v>
      </c>
      <c r="AA45" s="220">
        <v>5</v>
      </c>
      <c r="AB45" s="220">
        <v>8</v>
      </c>
      <c r="AC45" s="220">
        <v>5</v>
      </c>
      <c r="AD45" s="220">
        <v>2</v>
      </c>
      <c r="AE45" s="220">
        <f t="shared" ref="AE45:AI60" si="48">AE44-Z45</f>
        <v>-156</v>
      </c>
      <c r="AF45" s="220">
        <f t="shared" si="48"/>
        <v>-177</v>
      </c>
      <c r="AG45" s="220">
        <f t="shared" si="48"/>
        <v>-265</v>
      </c>
      <c r="AH45" s="220">
        <f t="shared" si="48"/>
        <v>-207</v>
      </c>
      <c r="AI45" s="220">
        <f t="shared" si="48"/>
        <v>-158</v>
      </c>
      <c r="AJ45" s="50">
        <f t="shared" si="12"/>
        <v>1.5020000000000018</v>
      </c>
      <c r="AK45" s="257"/>
      <c r="AL45" s="257">
        <f t="shared" si="13"/>
        <v>1.2</v>
      </c>
      <c r="AM45" s="52"/>
      <c r="AN45" s="88"/>
    </row>
    <row r="46" spans="1:40" s="29" customFormat="1" ht="17.25" customHeight="1">
      <c r="A46" s="48">
        <v>36</v>
      </c>
      <c r="B46" s="49">
        <f t="shared" si="6"/>
        <v>45620</v>
      </c>
      <c r="C46" s="220">
        <f t="shared" si="7"/>
        <v>1049</v>
      </c>
      <c r="D46" s="220">
        <f t="shared" ref="D46" si="49">D45-26</f>
        <v>2636</v>
      </c>
      <c r="E46" s="220">
        <f t="shared" si="8"/>
        <v>3685</v>
      </c>
      <c r="F46" s="220">
        <f t="shared" si="0"/>
        <v>1195</v>
      </c>
      <c r="G46" s="220">
        <f t="shared" si="1"/>
        <v>1113</v>
      </c>
      <c r="H46" s="220">
        <f t="shared" si="2"/>
        <v>1241</v>
      </c>
      <c r="I46" s="220">
        <f t="shared" si="3"/>
        <v>1264</v>
      </c>
      <c r="J46" s="220">
        <f t="shared" si="4"/>
        <v>1286</v>
      </c>
      <c r="K46" s="220">
        <f t="shared" si="5"/>
        <v>2490</v>
      </c>
      <c r="L46" s="220">
        <f t="shared" si="5"/>
        <v>2572</v>
      </c>
      <c r="M46" s="220">
        <f t="shared" si="5"/>
        <v>2444</v>
      </c>
      <c r="N46" s="220">
        <f t="shared" si="5"/>
        <v>2421</v>
      </c>
      <c r="O46" s="220">
        <f t="shared" si="5"/>
        <v>2399</v>
      </c>
      <c r="P46" s="220">
        <f t="shared" si="46"/>
        <v>2000</v>
      </c>
      <c r="Q46" s="220">
        <f t="shared" si="46"/>
        <v>2150</v>
      </c>
      <c r="R46" s="220">
        <f t="shared" si="46"/>
        <v>2150</v>
      </c>
      <c r="S46" s="220">
        <f t="shared" si="46"/>
        <v>2150</v>
      </c>
      <c r="T46" s="220">
        <f t="shared" si="46"/>
        <v>2000</v>
      </c>
      <c r="U46" s="220">
        <f t="shared" si="47"/>
        <v>490</v>
      </c>
      <c r="V46" s="220">
        <f t="shared" si="47"/>
        <v>422</v>
      </c>
      <c r="W46" s="220">
        <f t="shared" si="47"/>
        <v>294</v>
      </c>
      <c r="X46" s="220">
        <f t="shared" si="47"/>
        <v>271</v>
      </c>
      <c r="Y46" s="220">
        <f t="shared" si="47"/>
        <v>399</v>
      </c>
      <c r="Z46" s="220">
        <v>3</v>
      </c>
      <c r="AA46" s="220">
        <v>3</v>
      </c>
      <c r="AB46" s="220">
        <v>8</v>
      </c>
      <c r="AC46" s="220">
        <v>4</v>
      </c>
      <c r="AD46" s="220">
        <v>2</v>
      </c>
      <c r="AE46" s="220">
        <f t="shared" si="48"/>
        <v>-159</v>
      </c>
      <c r="AF46" s="220">
        <f t="shared" si="48"/>
        <v>-180</v>
      </c>
      <c r="AG46" s="220">
        <f t="shared" si="48"/>
        <v>-273</v>
      </c>
      <c r="AH46" s="220">
        <f t="shared" si="48"/>
        <v>-211</v>
      </c>
      <c r="AI46" s="220">
        <f t="shared" si="48"/>
        <v>-160</v>
      </c>
      <c r="AJ46" s="50">
        <f t="shared" si="12"/>
        <v>1.4940000000000018</v>
      </c>
      <c r="AK46" s="257"/>
      <c r="AL46" s="257">
        <f t="shared" si="13"/>
        <v>1.2</v>
      </c>
      <c r="AM46" s="52"/>
      <c r="AN46" s="88"/>
    </row>
    <row r="47" spans="1:40" s="29" customFormat="1" ht="17.25" customHeight="1">
      <c r="A47" s="48">
        <v>37</v>
      </c>
      <c r="B47" s="49">
        <f t="shared" si="6"/>
        <v>45621</v>
      </c>
      <c r="C47" s="220">
        <f t="shared" si="7"/>
        <v>1049</v>
      </c>
      <c r="D47" s="220">
        <f t="shared" ref="D47" si="50">D46+15</f>
        <v>2651</v>
      </c>
      <c r="E47" s="220">
        <f t="shared" si="8"/>
        <v>3700</v>
      </c>
      <c r="F47" s="220">
        <f t="shared" si="0"/>
        <v>1212</v>
      </c>
      <c r="G47" s="220">
        <f t="shared" si="1"/>
        <v>1134</v>
      </c>
      <c r="H47" s="220">
        <f t="shared" si="2"/>
        <v>1264</v>
      </c>
      <c r="I47" s="220">
        <f t="shared" si="3"/>
        <v>1283</v>
      </c>
      <c r="J47" s="220">
        <f t="shared" si="4"/>
        <v>1302</v>
      </c>
      <c r="K47" s="220">
        <f t="shared" si="5"/>
        <v>2488</v>
      </c>
      <c r="L47" s="220">
        <f t="shared" si="5"/>
        <v>2566</v>
      </c>
      <c r="M47" s="220">
        <f t="shared" si="5"/>
        <v>2436</v>
      </c>
      <c r="N47" s="220">
        <f t="shared" si="5"/>
        <v>2417</v>
      </c>
      <c r="O47" s="220">
        <f t="shared" si="5"/>
        <v>2398</v>
      </c>
      <c r="P47" s="220">
        <f t="shared" si="46"/>
        <v>2000</v>
      </c>
      <c r="Q47" s="220">
        <f t="shared" si="46"/>
        <v>2150</v>
      </c>
      <c r="R47" s="220">
        <f t="shared" si="46"/>
        <v>2150</v>
      </c>
      <c r="S47" s="220">
        <f t="shared" si="46"/>
        <v>2150</v>
      </c>
      <c r="T47" s="220">
        <f t="shared" si="46"/>
        <v>2000</v>
      </c>
      <c r="U47" s="220">
        <f t="shared" si="47"/>
        <v>488</v>
      </c>
      <c r="V47" s="220">
        <f t="shared" si="47"/>
        <v>416</v>
      </c>
      <c r="W47" s="220">
        <f t="shared" si="47"/>
        <v>286</v>
      </c>
      <c r="X47" s="220">
        <f t="shared" si="47"/>
        <v>267</v>
      </c>
      <c r="Y47" s="220">
        <f t="shared" si="47"/>
        <v>398</v>
      </c>
      <c r="Z47" s="220">
        <v>2</v>
      </c>
      <c r="AA47" s="220">
        <v>6</v>
      </c>
      <c r="AB47" s="220">
        <v>8</v>
      </c>
      <c r="AC47" s="220">
        <v>4</v>
      </c>
      <c r="AD47" s="220">
        <v>1</v>
      </c>
      <c r="AE47" s="220">
        <f t="shared" si="48"/>
        <v>-161</v>
      </c>
      <c r="AF47" s="220">
        <f t="shared" si="48"/>
        <v>-186</v>
      </c>
      <c r="AG47" s="220">
        <f t="shared" si="48"/>
        <v>-281</v>
      </c>
      <c r="AH47" s="220">
        <f t="shared" si="48"/>
        <v>-215</v>
      </c>
      <c r="AI47" s="220">
        <f t="shared" si="48"/>
        <v>-161</v>
      </c>
      <c r="AJ47" s="50">
        <f t="shared" si="12"/>
        <v>1.4860000000000018</v>
      </c>
      <c r="AK47" s="257"/>
      <c r="AL47" s="257">
        <f t="shared" si="13"/>
        <v>1.2</v>
      </c>
      <c r="AM47" s="52"/>
      <c r="AN47" s="88"/>
    </row>
    <row r="48" spans="1:40" s="29" customFormat="1" ht="17.25" customHeight="1">
      <c r="A48" s="48">
        <v>38</v>
      </c>
      <c r="B48" s="49">
        <f t="shared" si="6"/>
        <v>45622</v>
      </c>
      <c r="C48" s="220">
        <f t="shared" si="7"/>
        <v>1049</v>
      </c>
      <c r="D48" s="220">
        <f t="shared" ref="D48" si="51">D47+26</f>
        <v>2677</v>
      </c>
      <c r="E48" s="220">
        <f t="shared" si="8"/>
        <v>3726</v>
      </c>
      <c r="F48" s="220">
        <f t="shared" si="0"/>
        <v>1240</v>
      </c>
      <c r="G48" s="220">
        <f t="shared" si="1"/>
        <v>1164</v>
      </c>
      <c r="H48" s="220">
        <f t="shared" si="2"/>
        <v>1297</v>
      </c>
      <c r="I48" s="220">
        <f t="shared" si="3"/>
        <v>1312</v>
      </c>
      <c r="J48" s="220">
        <f t="shared" si="4"/>
        <v>1329</v>
      </c>
      <c r="K48" s="220">
        <f t="shared" si="5"/>
        <v>2486</v>
      </c>
      <c r="L48" s="220">
        <f t="shared" si="5"/>
        <v>2562</v>
      </c>
      <c r="M48" s="220">
        <f t="shared" si="5"/>
        <v>2429</v>
      </c>
      <c r="N48" s="220">
        <f t="shared" si="5"/>
        <v>2414</v>
      </c>
      <c r="O48" s="220">
        <f t="shared" si="5"/>
        <v>2397</v>
      </c>
      <c r="P48" s="220">
        <f t="shared" si="46"/>
        <v>2000</v>
      </c>
      <c r="Q48" s="220">
        <f t="shared" si="46"/>
        <v>2150</v>
      </c>
      <c r="R48" s="220">
        <f t="shared" si="46"/>
        <v>2150</v>
      </c>
      <c r="S48" s="220">
        <f t="shared" si="46"/>
        <v>2150</v>
      </c>
      <c r="T48" s="220">
        <f t="shared" si="46"/>
        <v>2000</v>
      </c>
      <c r="U48" s="220">
        <f t="shared" si="47"/>
        <v>486</v>
      </c>
      <c r="V48" s="220">
        <f t="shared" si="47"/>
        <v>412</v>
      </c>
      <c r="W48" s="220">
        <f t="shared" si="47"/>
        <v>279</v>
      </c>
      <c r="X48" s="220">
        <f t="shared" si="47"/>
        <v>264</v>
      </c>
      <c r="Y48" s="220">
        <f t="shared" si="47"/>
        <v>397</v>
      </c>
      <c r="Z48" s="220">
        <v>2</v>
      </c>
      <c r="AA48" s="220">
        <v>4</v>
      </c>
      <c r="AB48" s="220">
        <v>7</v>
      </c>
      <c r="AC48" s="220">
        <v>3</v>
      </c>
      <c r="AD48" s="220">
        <v>1</v>
      </c>
      <c r="AE48" s="220">
        <f t="shared" si="48"/>
        <v>-163</v>
      </c>
      <c r="AF48" s="220">
        <f t="shared" si="48"/>
        <v>-190</v>
      </c>
      <c r="AG48" s="220">
        <f t="shared" si="48"/>
        <v>-288</v>
      </c>
      <c r="AH48" s="220">
        <f t="shared" si="48"/>
        <v>-218</v>
      </c>
      <c r="AI48" s="220">
        <f t="shared" si="48"/>
        <v>-162</v>
      </c>
      <c r="AJ48" s="50">
        <f t="shared" si="12"/>
        <v>1.4790000000000019</v>
      </c>
      <c r="AK48" s="257"/>
      <c r="AL48" s="257">
        <f t="shared" si="13"/>
        <v>1.2</v>
      </c>
      <c r="AM48" s="52"/>
      <c r="AN48" s="88"/>
    </row>
    <row r="49" spans="1:40" s="29" customFormat="1" ht="17.25" customHeight="1">
      <c r="A49" s="48">
        <v>39</v>
      </c>
      <c r="B49" s="49">
        <f t="shared" si="6"/>
        <v>45623</v>
      </c>
      <c r="C49" s="220">
        <f t="shared" si="7"/>
        <v>1049</v>
      </c>
      <c r="D49" s="220">
        <f t="shared" ref="D49" si="52">D48+32</f>
        <v>2709</v>
      </c>
      <c r="E49" s="220">
        <f t="shared" si="8"/>
        <v>3758</v>
      </c>
      <c r="F49" s="220">
        <f t="shared" si="0"/>
        <v>1274</v>
      </c>
      <c r="G49" s="220">
        <f t="shared" si="1"/>
        <v>1200</v>
      </c>
      <c r="H49" s="220">
        <f t="shared" si="2"/>
        <v>1336</v>
      </c>
      <c r="I49" s="220">
        <f t="shared" si="3"/>
        <v>1347</v>
      </c>
      <c r="J49" s="220">
        <f t="shared" si="4"/>
        <v>1362</v>
      </c>
      <c r="K49" s="220">
        <f t="shared" si="5"/>
        <v>2484</v>
      </c>
      <c r="L49" s="220">
        <f t="shared" si="5"/>
        <v>2558</v>
      </c>
      <c r="M49" s="220">
        <f t="shared" si="5"/>
        <v>2422</v>
      </c>
      <c r="N49" s="220">
        <f t="shared" si="5"/>
        <v>2411</v>
      </c>
      <c r="O49" s="220">
        <f t="shared" si="5"/>
        <v>2396</v>
      </c>
      <c r="P49" s="220">
        <f t="shared" si="46"/>
        <v>2000</v>
      </c>
      <c r="Q49" s="220">
        <f t="shared" si="46"/>
        <v>2150</v>
      </c>
      <c r="R49" s="220">
        <f t="shared" si="46"/>
        <v>2150</v>
      </c>
      <c r="S49" s="220">
        <f t="shared" si="46"/>
        <v>2150</v>
      </c>
      <c r="T49" s="220">
        <f t="shared" si="46"/>
        <v>2000</v>
      </c>
      <c r="U49" s="220">
        <f t="shared" si="47"/>
        <v>484</v>
      </c>
      <c r="V49" s="220">
        <f t="shared" si="47"/>
        <v>408</v>
      </c>
      <c r="W49" s="220">
        <f t="shared" si="47"/>
        <v>272</v>
      </c>
      <c r="X49" s="220">
        <f t="shared" si="47"/>
        <v>261</v>
      </c>
      <c r="Y49" s="220">
        <f t="shared" si="47"/>
        <v>396</v>
      </c>
      <c r="Z49" s="220">
        <v>2</v>
      </c>
      <c r="AA49" s="220">
        <v>4</v>
      </c>
      <c r="AB49" s="220">
        <v>7</v>
      </c>
      <c r="AC49" s="220">
        <v>3</v>
      </c>
      <c r="AD49" s="220">
        <v>1</v>
      </c>
      <c r="AE49" s="220">
        <f t="shared" si="48"/>
        <v>-165</v>
      </c>
      <c r="AF49" s="220">
        <f t="shared" si="48"/>
        <v>-194</v>
      </c>
      <c r="AG49" s="220">
        <f t="shared" si="48"/>
        <v>-295</v>
      </c>
      <c r="AH49" s="220">
        <f t="shared" si="48"/>
        <v>-221</v>
      </c>
      <c r="AI49" s="220">
        <f t="shared" si="48"/>
        <v>-163</v>
      </c>
      <c r="AJ49" s="50">
        <f t="shared" si="12"/>
        <v>1.472000000000002</v>
      </c>
      <c r="AK49" s="257"/>
      <c r="AL49" s="257">
        <f t="shared" si="13"/>
        <v>1.2</v>
      </c>
      <c r="AM49" s="52"/>
      <c r="AN49" s="88"/>
    </row>
    <row r="50" spans="1:40" s="29" customFormat="1" ht="17.25" customHeight="1">
      <c r="A50" s="48">
        <v>40</v>
      </c>
      <c r="B50" s="49">
        <f t="shared" si="6"/>
        <v>45624</v>
      </c>
      <c r="C50" s="220">
        <f t="shared" si="7"/>
        <v>1049</v>
      </c>
      <c r="D50" s="220">
        <f t="shared" ref="D50" si="53">D49-18</f>
        <v>2691</v>
      </c>
      <c r="E50" s="220">
        <f t="shared" si="8"/>
        <v>3740</v>
      </c>
      <c r="F50" s="220">
        <f t="shared" si="0"/>
        <v>1258</v>
      </c>
      <c r="G50" s="220">
        <f t="shared" si="1"/>
        <v>1186</v>
      </c>
      <c r="H50" s="220">
        <f t="shared" si="2"/>
        <v>1325</v>
      </c>
      <c r="I50" s="220">
        <f t="shared" si="3"/>
        <v>1332</v>
      </c>
      <c r="J50" s="220">
        <f t="shared" si="4"/>
        <v>1345</v>
      </c>
      <c r="K50" s="220">
        <f t="shared" si="5"/>
        <v>2482</v>
      </c>
      <c r="L50" s="220">
        <f t="shared" si="5"/>
        <v>2554</v>
      </c>
      <c r="M50" s="220">
        <f t="shared" si="5"/>
        <v>2415</v>
      </c>
      <c r="N50" s="220">
        <f t="shared" si="5"/>
        <v>2408</v>
      </c>
      <c r="O50" s="220">
        <f t="shared" si="5"/>
        <v>2395</v>
      </c>
      <c r="P50" s="220">
        <f t="shared" si="46"/>
        <v>2000</v>
      </c>
      <c r="Q50" s="220">
        <f t="shared" si="46"/>
        <v>2150</v>
      </c>
      <c r="R50" s="220">
        <f t="shared" si="46"/>
        <v>2150</v>
      </c>
      <c r="S50" s="220">
        <f t="shared" si="46"/>
        <v>2150</v>
      </c>
      <c r="T50" s="220">
        <f t="shared" si="46"/>
        <v>2000</v>
      </c>
      <c r="U50" s="220">
        <f t="shared" si="47"/>
        <v>482</v>
      </c>
      <c r="V50" s="220">
        <f t="shared" si="47"/>
        <v>404</v>
      </c>
      <c r="W50" s="220">
        <f t="shared" si="47"/>
        <v>265</v>
      </c>
      <c r="X50" s="220">
        <f t="shared" si="47"/>
        <v>258</v>
      </c>
      <c r="Y50" s="220">
        <f t="shared" si="47"/>
        <v>395</v>
      </c>
      <c r="Z50" s="220">
        <v>2</v>
      </c>
      <c r="AA50" s="220">
        <v>4</v>
      </c>
      <c r="AB50" s="220">
        <v>7</v>
      </c>
      <c r="AC50" s="220">
        <v>3</v>
      </c>
      <c r="AD50" s="220">
        <v>1</v>
      </c>
      <c r="AE50" s="220">
        <f t="shared" si="48"/>
        <v>-167</v>
      </c>
      <c r="AF50" s="220">
        <f t="shared" si="48"/>
        <v>-198</v>
      </c>
      <c r="AG50" s="220">
        <f t="shared" si="48"/>
        <v>-302</v>
      </c>
      <c r="AH50" s="220">
        <f t="shared" si="48"/>
        <v>-224</v>
      </c>
      <c r="AI50" s="220">
        <f t="shared" si="48"/>
        <v>-164</v>
      </c>
      <c r="AJ50" s="50">
        <f t="shared" si="12"/>
        <v>1.4650000000000021</v>
      </c>
      <c r="AK50" s="257"/>
      <c r="AL50" s="257">
        <f t="shared" si="13"/>
        <v>1.2</v>
      </c>
      <c r="AM50" s="52"/>
      <c r="AN50" s="88"/>
    </row>
    <row r="51" spans="1:40" s="29" customFormat="1" ht="17.25" customHeight="1">
      <c r="A51" s="48">
        <v>41</v>
      </c>
      <c r="B51" s="49">
        <f t="shared" si="6"/>
        <v>45625</v>
      </c>
      <c r="C51" s="220">
        <f t="shared" si="7"/>
        <v>1049</v>
      </c>
      <c r="D51" s="220">
        <f t="shared" ref="D51" si="54">D50-26</f>
        <v>2665</v>
      </c>
      <c r="E51" s="220">
        <f t="shared" si="8"/>
        <v>3714</v>
      </c>
      <c r="F51" s="220">
        <f t="shared" si="0"/>
        <v>1233</v>
      </c>
      <c r="G51" s="220">
        <f t="shared" si="1"/>
        <v>1164</v>
      </c>
      <c r="H51" s="220">
        <f t="shared" si="2"/>
        <v>1306</v>
      </c>
      <c r="I51" s="220">
        <f t="shared" si="3"/>
        <v>1308</v>
      </c>
      <c r="J51" s="220">
        <f t="shared" si="4"/>
        <v>1320</v>
      </c>
      <c r="K51" s="220">
        <f t="shared" si="5"/>
        <v>2481</v>
      </c>
      <c r="L51" s="220">
        <f t="shared" si="5"/>
        <v>2550</v>
      </c>
      <c r="M51" s="220">
        <f t="shared" si="5"/>
        <v>2408</v>
      </c>
      <c r="N51" s="220">
        <f t="shared" si="5"/>
        <v>2406</v>
      </c>
      <c r="O51" s="220">
        <f t="shared" si="5"/>
        <v>2394</v>
      </c>
      <c r="P51" s="220">
        <f t="shared" si="46"/>
        <v>2000</v>
      </c>
      <c r="Q51" s="220">
        <f t="shared" si="46"/>
        <v>2150</v>
      </c>
      <c r="R51" s="220">
        <f t="shared" si="46"/>
        <v>2150</v>
      </c>
      <c r="S51" s="220">
        <f t="shared" si="46"/>
        <v>2150</v>
      </c>
      <c r="T51" s="220">
        <f t="shared" si="46"/>
        <v>2000</v>
      </c>
      <c r="U51" s="220">
        <f t="shared" si="47"/>
        <v>481</v>
      </c>
      <c r="V51" s="220">
        <f t="shared" si="47"/>
        <v>400</v>
      </c>
      <c r="W51" s="220">
        <f t="shared" si="47"/>
        <v>258</v>
      </c>
      <c r="X51" s="220">
        <f t="shared" si="47"/>
        <v>256</v>
      </c>
      <c r="Y51" s="220">
        <f t="shared" si="47"/>
        <v>394</v>
      </c>
      <c r="Z51" s="220">
        <v>1</v>
      </c>
      <c r="AA51" s="220">
        <v>4</v>
      </c>
      <c r="AB51" s="220">
        <v>7</v>
      </c>
      <c r="AC51" s="220">
        <v>2</v>
      </c>
      <c r="AD51" s="220">
        <v>1</v>
      </c>
      <c r="AE51" s="220">
        <f t="shared" si="48"/>
        <v>-168</v>
      </c>
      <c r="AF51" s="220">
        <f t="shared" si="48"/>
        <v>-202</v>
      </c>
      <c r="AG51" s="220">
        <f t="shared" si="48"/>
        <v>-309</v>
      </c>
      <c r="AH51" s="220">
        <f t="shared" si="48"/>
        <v>-226</v>
      </c>
      <c r="AI51" s="220">
        <f t="shared" si="48"/>
        <v>-165</v>
      </c>
      <c r="AJ51" s="50">
        <f t="shared" si="12"/>
        <v>1.4580000000000022</v>
      </c>
      <c r="AK51" s="257"/>
      <c r="AL51" s="257">
        <f t="shared" si="13"/>
        <v>1.2</v>
      </c>
      <c r="AM51" s="52"/>
      <c r="AN51" s="88"/>
    </row>
    <row r="52" spans="1:40" s="29" customFormat="1" ht="17.25" customHeight="1">
      <c r="A52" s="48">
        <v>42</v>
      </c>
      <c r="B52" s="49">
        <f t="shared" si="6"/>
        <v>45626</v>
      </c>
      <c r="C52" s="220">
        <f t="shared" si="7"/>
        <v>1049</v>
      </c>
      <c r="D52" s="220">
        <f t="shared" ref="D52" si="55">D51+15</f>
        <v>2680</v>
      </c>
      <c r="E52" s="220">
        <f t="shared" si="8"/>
        <v>3729</v>
      </c>
      <c r="F52" s="220">
        <f t="shared" si="0"/>
        <v>1249</v>
      </c>
      <c r="G52" s="220">
        <f t="shared" si="1"/>
        <v>1182</v>
      </c>
      <c r="H52" s="220">
        <f t="shared" si="2"/>
        <v>1328</v>
      </c>
      <c r="I52" s="220">
        <f t="shared" si="3"/>
        <v>1325</v>
      </c>
      <c r="J52" s="220">
        <f t="shared" si="4"/>
        <v>1336</v>
      </c>
      <c r="K52" s="220">
        <f t="shared" si="5"/>
        <v>2480</v>
      </c>
      <c r="L52" s="220">
        <f t="shared" si="5"/>
        <v>2547</v>
      </c>
      <c r="M52" s="220">
        <f t="shared" si="5"/>
        <v>2401</v>
      </c>
      <c r="N52" s="220">
        <f t="shared" si="5"/>
        <v>2404</v>
      </c>
      <c r="O52" s="220">
        <f t="shared" si="5"/>
        <v>2393</v>
      </c>
      <c r="P52" s="220">
        <f t="shared" si="46"/>
        <v>2000</v>
      </c>
      <c r="Q52" s="220">
        <f t="shared" si="46"/>
        <v>2150</v>
      </c>
      <c r="R52" s="220">
        <f t="shared" si="46"/>
        <v>2150</v>
      </c>
      <c r="S52" s="220">
        <f t="shared" si="46"/>
        <v>2150</v>
      </c>
      <c r="T52" s="220">
        <f t="shared" si="46"/>
        <v>2000</v>
      </c>
      <c r="U52" s="220">
        <f t="shared" si="47"/>
        <v>480</v>
      </c>
      <c r="V52" s="220">
        <f t="shared" si="47"/>
        <v>397</v>
      </c>
      <c r="W52" s="220">
        <f t="shared" si="47"/>
        <v>251</v>
      </c>
      <c r="X52" s="220">
        <f t="shared" si="47"/>
        <v>254</v>
      </c>
      <c r="Y52" s="220">
        <f t="shared" si="47"/>
        <v>393</v>
      </c>
      <c r="Z52" s="220">
        <v>1</v>
      </c>
      <c r="AA52" s="220">
        <v>3</v>
      </c>
      <c r="AB52" s="220">
        <v>7</v>
      </c>
      <c r="AC52" s="220">
        <v>2</v>
      </c>
      <c r="AD52" s="220">
        <v>1</v>
      </c>
      <c r="AE52" s="220">
        <f t="shared" si="48"/>
        <v>-169</v>
      </c>
      <c r="AF52" s="220">
        <f t="shared" si="48"/>
        <v>-205</v>
      </c>
      <c r="AG52" s="220">
        <f t="shared" si="48"/>
        <v>-316</v>
      </c>
      <c r="AH52" s="220">
        <f t="shared" si="48"/>
        <v>-228</v>
      </c>
      <c r="AI52" s="220">
        <f t="shared" si="48"/>
        <v>-166</v>
      </c>
      <c r="AJ52" s="50">
        <f t="shared" si="12"/>
        <v>1.4510000000000023</v>
      </c>
      <c r="AK52" s="257"/>
      <c r="AL52" s="257">
        <f t="shared" si="13"/>
        <v>1.2</v>
      </c>
      <c r="AM52" s="52"/>
      <c r="AN52" s="88"/>
    </row>
    <row r="53" spans="1:40" s="29" customFormat="1" ht="17.25" customHeight="1">
      <c r="A53" s="48">
        <v>43</v>
      </c>
      <c r="B53" s="49">
        <f t="shared" si="6"/>
        <v>45627</v>
      </c>
      <c r="C53" s="220">
        <f t="shared" si="7"/>
        <v>1049</v>
      </c>
      <c r="D53" s="220">
        <f t="shared" ref="D53" si="56">D52+26</f>
        <v>2706</v>
      </c>
      <c r="E53" s="220">
        <f t="shared" si="8"/>
        <v>3755</v>
      </c>
      <c r="F53" s="220">
        <f t="shared" si="0"/>
        <v>1276</v>
      </c>
      <c r="G53" s="220">
        <f t="shared" si="1"/>
        <v>1213</v>
      </c>
      <c r="H53" s="220">
        <f t="shared" si="2"/>
        <v>1361</v>
      </c>
      <c r="I53" s="220">
        <f t="shared" si="3"/>
        <v>1353</v>
      </c>
      <c r="J53" s="220">
        <f t="shared" si="4"/>
        <v>1363</v>
      </c>
      <c r="K53" s="220">
        <f t="shared" si="5"/>
        <v>2479</v>
      </c>
      <c r="L53" s="220">
        <f t="shared" si="5"/>
        <v>2542</v>
      </c>
      <c r="M53" s="220">
        <f t="shared" si="5"/>
        <v>2394</v>
      </c>
      <c r="N53" s="220">
        <f t="shared" si="5"/>
        <v>2402</v>
      </c>
      <c r="O53" s="220">
        <f t="shared" si="5"/>
        <v>2392</v>
      </c>
      <c r="P53" s="220">
        <f t="shared" si="46"/>
        <v>2000</v>
      </c>
      <c r="Q53" s="220">
        <f t="shared" si="46"/>
        <v>2150</v>
      </c>
      <c r="R53" s="220">
        <f t="shared" si="46"/>
        <v>2150</v>
      </c>
      <c r="S53" s="220">
        <f t="shared" si="46"/>
        <v>2150</v>
      </c>
      <c r="T53" s="220">
        <f t="shared" si="46"/>
        <v>2000</v>
      </c>
      <c r="U53" s="220">
        <f t="shared" si="47"/>
        <v>479</v>
      </c>
      <c r="V53" s="220">
        <f t="shared" si="47"/>
        <v>392</v>
      </c>
      <c r="W53" s="220">
        <f t="shared" si="47"/>
        <v>244</v>
      </c>
      <c r="X53" s="220">
        <f t="shared" si="47"/>
        <v>252</v>
      </c>
      <c r="Y53" s="220">
        <f t="shared" si="47"/>
        <v>392</v>
      </c>
      <c r="Z53" s="220">
        <v>1</v>
      </c>
      <c r="AA53" s="220">
        <v>5</v>
      </c>
      <c r="AB53" s="220">
        <v>7</v>
      </c>
      <c r="AC53" s="220">
        <v>2</v>
      </c>
      <c r="AD53" s="220">
        <v>1</v>
      </c>
      <c r="AE53" s="220">
        <f t="shared" si="48"/>
        <v>-170</v>
      </c>
      <c r="AF53" s="220">
        <f t="shared" si="48"/>
        <v>-210</v>
      </c>
      <c r="AG53" s="220">
        <f t="shared" si="48"/>
        <v>-323</v>
      </c>
      <c r="AH53" s="220">
        <f t="shared" si="48"/>
        <v>-230</v>
      </c>
      <c r="AI53" s="220">
        <f t="shared" si="48"/>
        <v>-167</v>
      </c>
      <c r="AJ53" s="50">
        <f t="shared" si="12"/>
        <v>1.4440000000000024</v>
      </c>
      <c r="AK53" s="257"/>
      <c r="AL53" s="257">
        <f t="shared" si="13"/>
        <v>1.2</v>
      </c>
      <c r="AM53" s="52"/>
      <c r="AN53" s="88"/>
    </row>
    <row r="54" spans="1:40" s="29" customFormat="1" ht="17.25" customHeight="1">
      <c r="A54" s="48">
        <v>44</v>
      </c>
      <c r="B54" s="49">
        <f t="shared" si="6"/>
        <v>45628</v>
      </c>
      <c r="C54" s="220">
        <f t="shared" si="7"/>
        <v>1049</v>
      </c>
      <c r="D54" s="220">
        <f t="shared" ref="D54" si="57">D53+32</f>
        <v>2738</v>
      </c>
      <c r="E54" s="220">
        <f t="shared" si="8"/>
        <v>3787</v>
      </c>
      <c r="F54" s="220">
        <f t="shared" si="0"/>
        <v>1309</v>
      </c>
      <c r="G54" s="220">
        <f t="shared" si="1"/>
        <v>1248</v>
      </c>
      <c r="H54" s="220">
        <f t="shared" si="2"/>
        <v>1400</v>
      </c>
      <c r="I54" s="220">
        <f t="shared" si="3"/>
        <v>1387</v>
      </c>
      <c r="J54" s="220">
        <f t="shared" si="4"/>
        <v>1395</v>
      </c>
      <c r="K54" s="220">
        <f t="shared" si="5"/>
        <v>2478</v>
      </c>
      <c r="L54" s="220">
        <f t="shared" si="5"/>
        <v>2539</v>
      </c>
      <c r="M54" s="220">
        <f t="shared" si="5"/>
        <v>2387</v>
      </c>
      <c r="N54" s="220">
        <f t="shared" si="5"/>
        <v>2400</v>
      </c>
      <c r="O54" s="220">
        <f t="shared" si="5"/>
        <v>2392</v>
      </c>
      <c r="P54" s="220">
        <f t="shared" si="46"/>
        <v>2000</v>
      </c>
      <c r="Q54" s="220">
        <f t="shared" si="46"/>
        <v>2150</v>
      </c>
      <c r="R54" s="220">
        <f t="shared" si="46"/>
        <v>2150</v>
      </c>
      <c r="S54" s="220">
        <f t="shared" si="46"/>
        <v>2150</v>
      </c>
      <c r="T54" s="220">
        <f t="shared" si="46"/>
        <v>2000</v>
      </c>
      <c r="U54" s="220">
        <f t="shared" si="47"/>
        <v>478</v>
      </c>
      <c r="V54" s="220">
        <f t="shared" si="47"/>
        <v>389</v>
      </c>
      <c r="W54" s="220">
        <f t="shared" si="47"/>
        <v>237</v>
      </c>
      <c r="X54" s="220">
        <f t="shared" si="47"/>
        <v>250</v>
      </c>
      <c r="Y54" s="220">
        <f t="shared" si="47"/>
        <v>392</v>
      </c>
      <c r="Z54" s="220">
        <v>1</v>
      </c>
      <c r="AA54" s="220">
        <v>3</v>
      </c>
      <c r="AB54" s="220">
        <v>7</v>
      </c>
      <c r="AC54" s="220">
        <v>2</v>
      </c>
      <c r="AD54" s="220">
        <v>0</v>
      </c>
      <c r="AE54" s="220">
        <f t="shared" si="48"/>
        <v>-171</v>
      </c>
      <c r="AF54" s="220">
        <f t="shared" si="48"/>
        <v>-213</v>
      </c>
      <c r="AG54" s="220">
        <f t="shared" si="48"/>
        <v>-330</v>
      </c>
      <c r="AH54" s="220">
        <f t="shared" si="48"/>
        <v>-232</v>
      </c>
      <c r="AI54" s="220">
        <f t="shared" si="48"/>
        <v>-167</v>
      </c>
      <c r="AJ54" s="50">
        <f t="shared" si="12"/>
        <v>1.4370000000000025</v>
      </c>
      <c r="AK54" s="257"/>
      <c r="AL54" s="257">
        <f t="shared" si="13"/>
        <v>1.2</v>
      </c>
      <c r="AM54" s="52"/>
      <c r="AN54" s="88"/>
    </row>
    <row r="55" spans="1:40" s="29" customFormat="1" ht="17.25" customHeight="1">
      <c r="A55" s="48">
        <v>45</v>
      </c>
      <c r="B55" s="49">
        <f t="shared" si="6"/>
        <v>45629</v>
      </c>
      <c r="C55" s="220">
        <f t="shared" si="7"/>
        <v>1049</v>
      </c>
      <c r="D55" s="220">
        <f t="shared" ref="D55" si="58">D54-18</f>
        <v>2720</v>
      </c>
      <c r="E55" s="220">
        <f t="shared" si="8"/>
        <v>3769</v>
      </c>
      <c r="F55" s="220">
        <f t="shared" si="0"/>
        <v>1292</v>
      </c>
      <c r="G55" s="220">
        <f t="shared" si="1"/>
        <v>1230</v>
      </c>
      <c r="H55" s="220">
        <f t="shared" si="2"/>
        <v>1389</v>
      </c>
      <c r="I55" s="220">
        <f t="shared" si="3"/>
        <v>1370</v>
      </c>
      <c r="J55" s="220">
        <f t="shared" si="4"/>
        <v>1377</v>
      </c>
      <c r="K55" s="220">
        <f t="shared" si="5"/>
        <v>2477</v>
      </c>
      <c r="L55" s="220">
        <f t="shared" si="5"/>
        <v>2539</v>
      </c>
      <c r="M55" s="220">
        <f t="shared" si="5"/>
        <v>2380</v>
      </c>
      <c r="N55" s="220">
        <f t="shared" si="5"/>
        <v>2399</v>
      </c>
      <c r="O55" s="220">
        <f t="shared" si="5"/>
        <v>2392</v>
      </c>
      <c r="P55" s="220">
        <f t="shared" si="46"/>
        <v>2000</v>
      </c>
      <c r="Q55" s="220">
        <f t="shared" si="46"/>
        <v>2150</v>
      </c>
      <c r="R55" s="220">
        <f t="shared" si="46"/>
        <v>2150</v>
      </c>
      <c r="S55" s="220">
        <f t="shared" si="46"/>
        <v>2150</v>
      </c>
      <c r="T55" s="220">
        <f t="shared" si="46"/>
        <v>2000</v>
      </c>
      <c r="U55" s="220">
        <f t="shared" si="47"/>
        <v>477</v>
      </c>
      <c r="V55" s="220">
        <f t="shared" si="47"/>
        <v>389</v>
      </c>
      <c r="W55" s="220">
        <f t="shared" si="47"/>
        <v>230</v>
      </c>
      <c r="X55" s="220">
        <f t="shared" si="47"/>
        <v>249</v>
      </c>
      <c r="Y55" s="220">
        <f t="shared" si="47"/>
        <v>392</v>
      </c>
      <c r="Z55" s="220">
        <v>1</v>
      </c>
      <c r="AA55" s="220">
        <v>0</v>
      </c>
      <c r="AB55" s="220">
        <v>7</v>
      </c>
      <c r="AC55" s="220">
        <v>1</v>
      </c>
      <c r="AD55" s="220">
        <v>0</v>
      </c>
      <c r="AE55" s="220">
        <f t="shared" si="48"/>
        <v>-172</v>
      </c>
      <c r="AF55" s="220">
        <f t="shared" si="48"/>
        <v>-213</v>
      </c>
      <c r="AG55" s="220">
        <f t="shared" si="48"/>
        <v>-337</v>
      </c>
      <c r="AH55" s="220">
        <f t="shared" si="48"/>
        <v>-233</v>
      </c>
      <c r="AI55" s="220">
        <f t="shared" si="48"/>
        <v>-167</v>
      </c>
      <c r="AJ55" s="50">
        <f t="shared" si="12"/>
        <v>1.4300000000000026</v>
      </c>
      <c r="AK55" s="257"/>
      <c r="AL55" s="257">
        <f t="shared" si="13"/>
        <v>1.2</v>
      </c>
      <c r="AM55" s="52"/>
      <c r="AN55" s="88"/>
    </row>
    <row r="56" spans="1:40" s="29" customFormat="1" ht="17.25" customHeight="1">
      <c r="A56" s="48">
        <v>46</v>
      </c>
      <c r="B56" s="49">
        <f t="shared" si="6"/>
        <v>45630</v>
      </c>
      <c r="C56" s="220">
        <f t="shared" si="7"/>
        <v>1049</v>
      </c>
      <c r="D56" s="220">
        <v>1986</v>
      </c>
      <c r="E56" s="220">
        <f t="shared" si="8"/>
        <v>3035</v>
      </c>
      <c r="F56" s="220">
        <f t="shared" si="0"/>
        <v>559</v>
      </c>
      <c r="G56" s="220">
        <f t="shared" si="1"/>
        <v>499</v>
      </c>
      <c r="H56" s="220">
        <f t="shared" si="2"/>
        <v>662</v>
      </c>
      <c r="I56" s="220">
        <f t="shared" si="3"/>
        <v>637</v>
      </c>
      <c r="J56" s="220">
        <f t="shared" si="4"/>
        <v>645</v>
      </c>
      <c r="K56" s="220">
        <f t="shared" si="5"/>
        <v>2476</v>
      </c>
      <c r="L56" s="220">
        <f t="shared" si="5"/>
        <v>2536</v>
      </c>
      <c r="M56" s="220">
        <f t="shared" si="5"/>
        <v>2373</v>
      </c>
      <c r="N56" s="220">
        <f t="shared" si="5"/>
        <v>2398</v>
      </c>
      <c r="O56" s="220">
        <f t="shared" si="5"/>
        <v>2390</v>
      </c>
      <c r="P56" s="220">
        <f t="shared" si="46"/>
        <v>2000</v>
      </c>
      <c r="Q56" s="220">
        <f t="shared" si="46"/>
        <v>2150</v>
      </c>
      <c r="R56" s="220">
        <f t="shared" si="46"/>
        <v>2150</v>
      </c>
      <c r="S56" s="220">
        <f t="shared" si="46"/>
        <v>2150</v>
      </c>
      <c r="T56" s="220">
        <f t="shared" si="46"/>
        <v>2000</v>
      </c>
      <c r="U56" s="220">
        <f t="shared" si="47"/>
        <v>476</v>
      </c>
      <c r="V56" s="220">
        <f t="shared" si="47"/>
        <v>386</v>
      </c>
      <c r="W56" s="220">
        <f t="shared" si="47"/>
        <v>223</v>
      </c>
      <c r="X56" s="220">
        <f t="shared" si="47"/>
        <v>248</v>
      </c>
      <c r="Y56" s="220">
        <f t="shared" si="47"/>
        <v>390</v>
      </c>
      <c r="Z56" s="220">
        <v>1</v>
      </c>
      <c r="AA56" s="220">
        <v>3</v>
      </c>
      <c r="AB56" s="220">
        <v>7</v>
      </c>
      <c r="AC56" s="220">
        <v>1</v>
      </c>
      <c r="AD56" s="220">
        <v>2</v>
      </c>
      <c r="AE56" s="220">
        <f t="shared" si="48"/>
        <v>-173</v>
      </c>
      <c r="AF56" s="220">
        <f t="shared" si="48"/>
        <v>-216</v>
      </c>
      <c r="AG56" s="220">
        <f t="shared" si="48"/>
        <v>-344</v>
      </c>
      <c r="AH56" s="220">
        <f t="shared" si="48"/>
        <v>-234</v>
      </c>
      <c r="AI56" s="220">
        <f t="shared" si="48"/>
        <v>-169</v>
      </c>
      <c r="AJ56" s="50">
        <f t="shared" si="12"/>
        <v>1.4230000000000027</v>
      </c>
      <c r="AK56" s="257"/>
      <c r="AL56" s="257">
        <f t="shared" si="13"/>
        <v>1.2</v>
      </c>
      <c r="AM56" s="52"/>
      <c r="AN56" s="88"/>
    </row>
    <row r="57" spans="1:40" s="29" customFormat="1" ht="17.25" customHeight="1">
      <c r="A57" s="48">
        <v>47</v>
      </c>
      <c r="B57" s="49">
        <f t="shared" si="6"/>
        <v>45631</v>
      </c>
      <c r="C57" s="220">
        <f t="shared" si="7"/>
        <v>1049</v>
      </c>
      <c r="D57" s="220">
        <f t="shared" ref="D57" si="59">D56+15</f>
        <v>2001</v>
      </c>
      <c r="E57" s="220">
        <f t="shared" si="8"/>
        <v>3050</v>
      </c>
      <c r="F57" s="220">
        <f t="shared" si="0"/>
        <v>575</v>
      </c>
      <c r="G57" s="220">
        <f t="shared" si="1"/>
        <v>516</v>
      </c>
      <c r="H57" s="220">
        <f t="shared" si="2"/>
        <v>684</v>
      </c>
      <c r="I57" s="220">
        <f t="shared" si="3"/>
        <v>653</v>
      </c>
      <c r="J57" s="220">
        <f t="shared" si="4"/>
        <v>660</v>
      </c>
      <c r="K57" s="220">
        <f t="shared" si="5"/>
        <v>2475</v>
      </c>
      <c r="L57" s="220">
        <f t="shared" si="5"/>
        <v>2534</v>
      </c>
      <c r="M57" s="220">
        <f t="shared" si="5"/>
        <v>2366</v>
      </c>
      <c r="N57" s="220">
        <f t="shared" si="5"/>
        <v>2397</v>
      </c>
      <c r="O57" s="220">
        <f t="shared" si="5"/>
        <v>2390</v>
      </c>
      <c r="P57" s="220">
        <f t="shared" si="46"/>
        <v>2000</v>
      </c>
      <c r="Q57" s="220">
        <f t="shared" si="46"/>
        <v>2150</v>
      </c>
      <c r="R57" s="220">
        <f t="shared" si="46"/>
        <v>2150</v>
      </c>
      <c r="S57" s="220">
        <f t="shared" si="46"/>
        <v>2150</v>
      </c>
      <c r="T57" s="220">
        <f t="shared" si="46"/>
        <v>2000</v>
      </c>
      <c r="U57" s="220">
        <f t="shared" si="47"/>
        <v>475</v>
      </c>
      <c r="V57" s="220">
        <f t="shared" si="47"/>
        <v>384</v>
      </c>
      <c r="W57" s="220">
        <f t="shared" si="47"/>
        <v>216</v>
      </c>
      <c r="X57" s="220">
        <f t="shared" si="47"/>
        <v>247</v>
      </c>
      <c r="Y57" s="220">
        <f t="shared" si="47"/>
        <v>390</v>
      </c>
      <c r="Z57" s="220">
        <v>1</v>
      </c>
      <c r="AA57" s="220">
        <v>2</v>
      </c>
      <c r="AB57" s="220">
        <v>7</v>
      </c>
      <c r="AC57" s="220">
        <v>1</v>
      </c>
      <c r="AD57" s="220">
        <v>0</v>
      </c>
      <c r="AE57" s="220">
        <f t="shared" si="48"/>
        <v>-174</v>
      </c>
      <c r="AF57" s="220">
        <f t="shared" si="48"/>
        <v>-218</v>
      </c>
      <c r="AG57" s="220">
        <f t="shared" si="48"/>
        <v>-351</v>
      </c>
      <c r="AH57" s="220">
        <f t="shared" si="48"/>
        <v>-235</v>
      </c>
      <c r="AI57" s="220">
        <f t="shared" si="48"/>
        <v>-169</v>
      </c>
      <c r="AJ57" s="50">
        <f t="shared" si="12"/>
        <v>1.4160000000000028</v>
      </c>
      <c r="AK57" s="257"/>
      <c r="AL57" s="257">
        <f t="shared" si="13"/>
        <v>1.2</v>
      </c>
      <c r="AM57" s="52"/>
      <c r="AN57" s="88"/>
    </row>
    <row r="58" spans="1:40" s="29" customFormat="1" ht="17.25" customHeight="1">
      <c r="A58" s="48">
        <v>48</v>
      </c>
      <c r="B58" s="49">
        <f t="shared" si="6"/>
        <v>45632</v>
      </c>
      <c r="C58" s="220">
        <f t="shared" si="7"/>
        <v>1049</v>
      </c>
      <c r="D58" s="220">
        <f t="shared" ref="D58" si="60">D57+26</f>
        <v>2027</v>
      </c>
      <c r="E58" s="220">
        <f t="shared" si="8"/>
        <v>3076</v>
      </c>
      <c r="F58" s="220">
        <f t="shared" si="0"/>
        <v>601</v>
      </c>
      <c r="G58" s="220">
        <f t="shared" si="1"/>
        <v>544</v>
      </c>
      <c r="H58" s="220">
        <f t="shared" si="2"/>
        <v>716</v>
      </c>
      <c r="I58" s="220">
        <f t="shared" si="3"/>
        <v>680</v>
      </c>
      <c r="J58" s="220">
        <f t="shared" si="4"/>
        <v>686</v>
      </c>
      <c r="K58" s="220">
        <f t="shared" si="5"/>
        <v>2475</v>
      </c>
      <c r="L58" s="220">
        <f t="shared" si="5"/>
        <v>2532</v>
      </c>
      <c r="M58" s="220">
        <f t="shared" si="5"/>
        <v>2360</v>
      </c>
      <c r="N58" s="220">
        <f t="shared" si="5"/>
        <v>2396</v>
      </c>
      <c r="O58" s="220">
        <f t="shared" si="5"/>
        <v>2390</v>
      </c>
      <c r="P58" s="220">
        <f t="shared" si="46"/>
        <v>2000</v>
      </c>
      <c r="Q58" s="220">
        <f t="shared" si="46"/>
        <v>2150</v>
      </c>
      <c r="R58" s="220">
        <f t="shared" si="46"/>
        <v>2150</v>
      </c>
      <c r="S58" s="220">
        <f t="shared" si="46"/>
        <v>2150</v>
      </c>
      <c r="T58" s="220">
        <f t="shared" si="46"/>
        <v>2000</v>
      </c>
      <c r="U58" s="220">
        <f t="shared" si="47"/>
        <v>475</v>
      </c>
      <c r="V58" s="220">
        <f t="shared" si="47"/>
        <v>382</v>
      </c>
      <c r="W58" s="220">
        <f t="shared" si="47"/>
        <v>210</v>
      </c>
      <c r="X58" s="220">
        <f t="shared" si="47"/>
        <v>246</v>
      </c>
      <c r="Y58" s="220">
        <f t="shared" si="47"/>
        <v>390</v>
      </c>
      <c r="Z58" s="220">
        <v>0</v>
      </c>
      <c r="AA58" s="220">
        <v>2</v>
      </c>
      <c r="AB58" s="220">
        <v>6</v>
      </c>
      <c r="AC58" s="220">
        <v>1</v>
      </c>
      <c r="AD58" s="220">
        <v>0</v>
      </c>
      <c r="AE58" s="220">
        <f t="shared" si="48"/>
        <v>-174</v>
      </c>
      <c r="AF58" s="220">
        <f t="shared" si="48"/>
        <v>-220</v>
      </c>
      <c r="AG58" s="220">
        <f t="shared" si="48"/>
        <v>-357</v>
      </c>
      <c r="AH58" s="220">
        <f t="shared" si="48"/>
        <v>-236</v>
      </c>
      <c r="AI58" s="220">
        <f t="shared" si="48"/>
        <v>-169</v>
      </c>
      <c r="AJ58" s="50">
        <f t="shared" si="12"/>
        <v>1.4100000000000028</v>
      </c>
      <c r="AK58" s="257"/>
      <c r="AL58" s="257">
        <f t="shared" si="13"/>
        <v>1.2</v>
      </c>
      <c r="AM58" s="52"/>
      <c r="AN58" s="88"/>
    </row>
    <row r="59" spans="1:40" s="29" customFormat="1" ht="17.25" customHeight="1">
      <c r="A59" s="48">
        <v>49</v>
      </c>
      <c r="B59" s="49">
        <f t="shared" si="6"/>
        <v>45633</v>
      </c>
      <c r="C59" s="220">
        <f t="shared" si="7"/>
        <v>1049</v>
      </c>
      <c r="D59" s="220">
        <f t="shared" ref="D59" si="61">D58+32</f>
        <v>2059</v>
      </c>
      <c r="E59" s="220">
        <f t="shared" si="8"/>
        <v>3108</v>
      </c>
      <c r="F59" s="220">
        <f t="shared" si="0"/>
        <v>633</v>
      </c>
      <c r="G59" s="220">
        <f t="shared" si="1"/>
        <v>578</v>
      </c>
      <c r="H59" s="220">
        <f t="shared" si="2"/>
        <v>754</v>
      </c>
      <c r="I59" s="220">
        <f t="shared" si="3"/>
        <v>713</v>
      </c>
      <c r="J59" s="220">
        <f t="shared" si="4"/>
        <v>718</v>
      </c>
      <c r="K59" s="220">
        <f t="shared" si="5"/>
        <v>2475</v>
      </c>
      <c r="L59" s="220">
        <f t="shared" si="5"/>
        <v>2530</v>
      </c>
      <c r="M59" s="220">
        <f t="shared" si="5"/>
        <v>2354</v>
      </c>
      <c r="N59" s="220">
        <f t="shared" si="5"/>
        <v>2395</v>
      </c>
      <c r="O59" s="220">
        <f t="shared" si="5"/>
        <v>2390</v>
      </c>
      <c r="P59" s="220">
        <f t="shared" si="46"/>
        <v>2000</v>
      </c>
      <c r="Q59" s="220">
        <f t="shared" si="46"/>
        <v>2150</v>
      </c>
      <c r="R59" s="220">
        <f t="shared" si="46"/>
        <v>2150</v>
      </c>
      <c r="S59" s="220">
        <f t="shared" si="46"/>
        <v>2150</v>
      </c>
      <c r="T59" s="220">
        <f t="shared" si="46"/>
        <v>2000</v>
      </c>
      <c r="U59" s="220">
        <f t="shared" si="47"/>
        <v>475</v>
      </c>
      <c r="V59" s="220">
        <f t="shared" si="47"/>
        <v>380</v>
      </c>
      <c r="W59" s="220">
        <f t="shared" si="47"/>
        <v>204</v>
      </c>
      <c r="X59" s="220">
        <f t="shared" si="47"/>
        <v>245</v>
      </c>
      <c r="Y59" s="220">
        <f t="shared" si="47"/>
        <v>390</v>
      </c>
      <c r="Z59" s="220">
        <v>0</v>
      </c>
      <c r="AA59" s="220">
        <v>2</v>
      </c>
      <c r="AB59" s="220">
        <v>6</v>
      </c>
      <c r="AC59" s="220">
        <v>1</v>
      </c>
      <c r="AD59" s="220">
        <v>0</v>
      </c>
      <c r="AE59" s="220">
        <f t="shared" si="48"/>
        <v>-174</v>
      </c>
      <c r="AF59" s="220">
        <f t="shared" si="48"/>
        <v>-222</v>
      </c>
      <c r="AG59" s="220">
        <f t="shared" si="48"/>
        <v>-363</v>
      </c>
      <c r="AH59" s="220">
        <f t="shared" si="48"/>
        <v>-237</v>
      </c>
      <c r="AI59" s="220">
        <f t="shared" si="48"/>
        <v>-169</v>
      </c>
      <c r="AJ59" s="50">
        <f t="shared" si="12"/>
        <v>1.4040000000000028</v>
      </c>
      <c r="AK59" s="257"/>
      <c r="AL59" s="257">
        <f t="shared" si="13"/>
        <v>1.2</v>
      </c>
      <c r="AM59" s="52"/>
      <c r="AN59" s="88"/>
    </row>
    <row r="60" spans="1:40" s="29" customFormat="1" ht="17.25" customHeight="1">
      <c r="A60" s="48">
        <v>50</v>
      </c>
      <c r="B60" s="49">
        <f t="shared" si="6"/>
        <v>45634</v>
      </c>
      <c r="C60" s="220">
        <f t="shared" si="7"/>
        <v>1049</v>
      </c>
      <c r="D60" s="220">
        <f t="shared" ref="D60" si="62">D59-18</f>
        <v>2041</v>
      </c>
      <c r="E60" s="220">
        <f t="shared" si="8"/>
        <v>3090</v>
      </c>
      <c r="F60" s="220">
        <f t="shared" si="0"/>
        <v>617</v>
      </c>
      <c r="G60" s="220">
        <f t="shared" si="1"/>
        <v>562</v>
      </c>
      <c r="H60" s="220">
        <f t="shared" si="2"/>
        <v>742</v>
      </c>
      <c r="I60" s="220">
        <f t="shared" si="3"/>
        <v>696</v>
      </c>
      <c r="J60" s="220">
        <f t="shared" si="4"/>
        <v>700</v>
      </c>
      <c r="K60" s="220">
        <f t="shared" si="5"/>
        <v>2473</v>
      </c>
      <c r="L60" s="220">
        <f t="shared" si="5"/>
        <v>2528</v>
      </c>
      <c r="M60" s="220">
        <f t="shared" si="5"/>
        <v>2348</v>
      </c>
      <c r="N60" s="220">
        <f t="shared" si="5"/>
        <v>2394</v>
      </c>
      <c r="O60" s="220">
        <f t="shared" si="5"/>
        <v>2390</v>
      </c>
      <c r="P60" s="220">
        <f t="shared" si="46"/>
        <v>2000</v>
      </c>
      <c r="Q60" s="220">
        <f t="shared" si="46"/>
        <v>2150</v>
      </c>
      <c r="R60" s="220">
        <f t="shared" si="46"/>
        <v>2150</v>
      </c>
      <c r="S60" s="220">
        <f t="shared" si="46"/>
        <v>2150</v>
      </c>
      <c r="T60" s="220">
        <f t="shared" si="46"/>
        <v>2000</v>
      </c>
      <c r="U60" s="220">
        <f t="shared" si="47"/>
        <v>473</v>
      </c>
      <c r="V60" s="220">
        <f t="shared" si="47"/>
        <v>378</v>
      </c>
      <c r="W60" s="220">
        <f t="shared" si="47"/>
        <v>198</v>
      </c>
      <c r="X60" s="220">
        <f t="shared" si="47"/>
        <v>244</v>
      </c>
      <c r="Y60" s="220">
        <f t="shared" si="47"/>
        <v>390</v>
      </c>
      <c r="Z60" s="220">
        <v>2</v>
      </c>
      <c r="AA60" s="220">
        <v>2</v>
      </c>
      <c r="AB60" s="220">
        <v>6</v>
      </c>
      <c r="AC60" s="220">
        <v>1</v>
      </c>
      <c r="AD60" s="220">
        <v>0</v>
      </c>
      <c r="AE60" s="220">
        <f t="shared" si="48"/>
        <v>-176</v>
      </c>
      <c r="AF60" s="220">
        <f t="shared" si="48"/>
        <v>-224</v>
      </c>
      <c r="AG60" s="220">
        <f t="shared" si="48"/>
        <v>-369</v>
      </c>
      <c r="AH60" s="220">
        <f t="shared" si="48"/>
        <v>-238</v>
      </c>
      <c r="AI60" s="220">
        <f t="shared" si="48"/>
        <v>-169</v>
      </c>
      <c r="AJ60" s="50">
        <f t="shared" si="12"/>
        <v>1.3980000000000028</v>
      </c>
      <c r="AK60" s="257"/>
      <c r="AL60" s="257">
        <f t="shared" si="13"/>
        <v>1.2</v>
      </c>
      <c r="AM60" s="52"/>
      <c r="AN60" s="88"/>
    </row>
    <row r="61" spans="1:40" s="29" customFormat="1" ht="17.25" customHeight="1">
      <c r="A61" s="48">
        <v>51</v>
      </c>
      <c r="B61" s="49">
        <f t="shared" si="6"/>
        <v>45635</v>
      </c>
      <c r="C61" s="220">
        <f t="shared" si="7"/>
        <v>1049</v>
      </c>
      <c r="D61" s="220">
        <f t="shared" ref="D61" si="63">D60-26</f>
        <v>2015</v>
      </c>
      <c r="E61" s="220">
        <f t="shared" si="8"/>
        <v>3064</v>
      </c>
      <c r="F61" s="220">
        <f t="shared" si="0"/>
        <v>591</v>
      </c>
      <c r="G61" s="220">
        <f t="shared" si="1"/>
        <v>537</v>
      </c>
      <c r="H61" s="220">
        <f t="shared" si="2"/>
        <v>722</v>
      </c>
      <c r="I61" s="220">
        <f t="shared" si="3"/>
        <v>671</v>
      </c>
      <c r="J61" s="220">
        <f t="shared" si="4"/>
        <v>674</v>
      </c>
      <c r="K61" s="220">
        <f t="shared" si="5"/>
        <v>2473</v>
      </c>
      <c r="L61" s="220">
        <f t="shared" si="5"/>
        <v>2527</v>
      </c>
      <c r="M61" s="220">
        <f t="shared" si="5"/>
        <v>2342</v>
      </c>
      <c r="N61" s="220">
        <f t="shared" si="5"/>
        <v>2393</v>
      </c>
      <c r="O61" s="220">
        <f t="shared" si="5"/>
        <v>2390</v>
      </c>
      <c r="P61" s="220">
        <f t="shared" ref="P61:T76" si="64">+P60</f>
        <v>2000</v>
      </c>
      <c r="Q61" s="220">
        <f t="shared" si="64"/>
        <v>2150</v>
      </c>
      <c r="R61" s="220">
        <f t="shared" si="64"/>
        <v>2150</v>
      </c>
      <c r="S61" s="220">
        <f t="shared" si="64"/>
        <v>2150</v>
      </c>
      <c r="T61" s="220">
        <f t="shared" si="64"/>
        <v>2000</v>
      </c>
      <c r="U61" s="220">
        <f t="shared" ref="U61:Y76" si="65">U60-Z61</f>
        <v>473</v>
      </c>
      <c r="V61" s="220">
        <f t="shared" si="65"/>
        <v>377</v>
      </c>
      <c r="W61" s="220">
        <f t="shared" si="65"/>
        <v>192</v>
      </c>
      <c r="X61" s="220">
        <f t="shared" si="65"/>
        <v>243</v>
      </c>
      <c r="Y61" s="220">
        <f t="shared" si="65"/>
        <v>390</v>
      </c>
      <c r="Z61" s="220">
        <v>0</v>
      </c>
      <c r="AA61" s="220">
        <v>1</v>
      </c>
      <c r="AB61" s="220">
        <v>6</v>
      </c>
      <c r="AC61" s="220">
        <v>1</v>
      </c>
      <c r="AD61" s="220">
        <v>0</v>
      </c>
      <c r="AE61" s="220">
        <f t="shared" ref="AE61:AI76" si="66">AE60-Z61</f>
        <v>-176</v>
      </c>
      <c r="AF61" s="220">
        <f t="shared" si="66"/>
        <v>-225</v>
      </c>
      <c r="AG61" s="220">
        <f t="shared" si="66"/>
        <v>-375</v>
      </c>
      <c r="AH61" s="220">
        <f t="shared" si="66"/>
        <v>-239</v>
      </c>
      <c r="AI61" s="220">
        <f t="shared" si="66"/>
        <v>-169</v>
      </c>
      <c r="AJ61" s="50">
        <f t="shared" si="12"/>
        <v>1.3920000000000028</v>
      </c>
      <c r="AK61" s="257"/>
      <c r="AL61" s="257">
        <f t="shared" si="13"/>
        <v>1.2</v>
      </c>
      <c r="AM61" s="52"/>
      <c r="AN61" s="88"/>
    </row>
    <row r="62" spans="1:40" s="29" customFormat="1" ht="17.25" customHeight="1">
      <c r="A62" s="48">
        <v>52</v>
      </c>
      <c r="B62" s="49">
        <f t="shared" si="6"/>
        <v>45636</v>
      </c>
      <c r="C62" s="220">
        <f t="shared" si="7"/>
        <v>1049</v>
      </c>
      <c r="D62" s="220">
        <f t="shared" ref="D62" si="67">D61+15</f>
        <v>2030</v>
      </c>
      <c r="E62" s="220">
        <f t="shared" si="8"/>
        <v>3079</v>
      </c>
      <c r="F62" s="220">
        <f t="shared" si="0"/>
        <v>606</v>
      </c>
      <c r="G62" s="220">
        <f t="shared" si="1"/>
        <v>553</v>
      </c>
      <c r="H62" s="220">
        <f t="shared" si="2"/>
        <v>743</v>
      </c>
      <c r="I62" s="220">
        <f t="shared" si="3"/>
        <v>686</v>
      </c>
      <c r="J62" s="220">
        <f t="shared" si="4"/>
        <v>689</v>
      </c>
      <c r="K62" s="220">
        <f t="shared" si="5"/>
        <v>2473</v>
      </c>
      <c r="L62" s="220">
        <f t="shared" si="5"/>
        <v>2526</v>
      </c>
      <c r="M62" s="220">
        <f t="shared" si="5"/>
        <v>2336</v>
      </c>
      <c r="N62" s="220">
        <f t="shared" si="5"/>
        <v>2393</v>
      </c>
      <c r="O62" s="220">
        <f t="shared" si="5"/>
        <v>2390</v>
      </c>
      <c r="P62" s="220">
        <f t="shared" si="64"/>
        <v>2000</v>
      </c>
      <c r="Q62" s="220">
        <f t="shared" si="64"/>
        <v>2150</v>
      </c>
      <c r="R62" s="220">
        <f t="shared" si="64"/>
        <v>2150</v>
      </c>
      <c r="S62" s="220">
        <f t="shared" si="64"/>
        <v>2150</v>
      </c>
      <c r="T62" s="220">
        <f t="shared" si="64"/>
        <v>2000</v>
      </c>
      <c r="U62" s="220">
        <f t="shared" si="65"/>
        <v>473</v>
      </c>
      <c r="V62" s="220">
        <f t="shared" si="65"/>
        <v>376</v>
      </c>
      <c r="W62" s="220">
        <f t="shared" si="65"/>
        <v>186</v>
      </c>
      <c r="X62" s="220">
        <f t="shared" si="65"/>
        <v>243</v>
      </c>
      <c r="Y62" s="220">
        <f t="shared" si="65"/>
        <v>390</v>
      </c>
      <c r="Z62" s="220">
        <v>0</v>
      </c>
      <c r="AA62" s="220">
        <v>1</v>
      </c>
      <c r="AB62" s="220">
        <v>6</v>
      </c>
      <c r="AC62" s="220">
        <v>0</v>
      </c>
      <c r="AD62" s="220">
        <v>0</v>
      </c>
      <c r="AE62" s="220">
        <f t="shared" si="66"/>
        <v>-176</v>
      </c>
      <c r="AF62" s="220">
        <f t="shared" si="66"/>
        <v>-226</v>
      </c>
      <c r="AG62" s="220">
        <f t="shared" si="66"/>
        <v>-381</v>
      </c>
      <c r="AH62" s="220">
        <f t="shared" si="66"/>
        <v>-239</v>
      </c>
      <c r="AI62" s="220">
        <f t="shared" si="66"/>
        <v>-169</v>
      </c>
      <c r="AJ62" s="50">
        <f t="shared" si="12"/>
        <v>1.3860000000000028</v>
      </c>
      <c r="AK62" s="257"/>
      <c r="AL62" s="257">
        <f t="shared" si="13"/>
        <v>1.2</v>
      </c>
      <c r="AM62" s="52"/>
      <c r="AN62" s="88"/>
    </row>
    <row r="63" spans="1:40" s="29" customFormat="1" ht="17.25" customHeight="1">
      <c r="A63" s="48">
        <v>53</v>
      </c>
      <c r="B63" s="49">
        <f t="shared" si="6"/>
        <v>45637</v>
      </c>
      <c r="C63" s="220">
        <f t="shared" si="7"/>
        <v>1049</v>
      </c>
      <c r="D63" s="220">
        <f t="shared" ref="D63" si="68">D62+26</f>
        <v>2056</v>
      </c>
      <c r="E63" s="220">
        <f t="shared" si="8"/>
        <v>3105</v>
      </c>
      <c r="F63" s="220">
        <f t="shared" si="0"/>
        <v>634</v>
      </c>
      <c r="G63" s="220">
        <f t="shared" si="1"/>
        <v>580</v>
      </c>
      <c r="H63" s="220">
        <f t="shared" si="2"/>
        <v>774</v>
      </c>
      <c r="I63" s="220">
        <f t="shared" si="3"/>
        <v>712</v>
      </c>
      <c r="J63" s="220">
        <f t="shared" si="4"/>
        <v>717</v>
      </c>
      <c r="K63" s="220">
        <f t="shared" ref="K63:O113" si="69">P63+U63</f>
        <v>2471</v>
      </c>
      <c r="L63" s="220">
        <f t="shared" si="69"/>
        <v>2525</v>
      </c>
      <c r="M63" s="220">
        <f t="shared" si="69"/>
        <v>2331</v>
      </c>
      <c r="N63" s="220">
        <f t="shared" si="69"/>
        <v>2393</v>
      </c>
      <c r="O63" s="220">
        <f t="shared" si="69"/>
        <v>2388</v>
      </c>
      <c r="P63" s="220">
        <f t="shared" si="64"/>
        <v>2000</v>
      </c>
      <c r="Q63" s="220">
        <f t="shared" si="64"/>
        <v>2150</v>
      </c>
      <c r="R63" s="220">
        <f t="shared" si="64"/>
        <v>2150</v>
      </c>
      <c r="S63" s="220">
        <f t="shared" si="64"/>
        <v>2150</v>
      </c>
      <c r="T63" s="220">
        <f t="shared" si="64"/>
        <v>2000</v>
      </c>
      <c r="U63" s="220">
        <f t="shared" si="65"/>
        <v>471</v>
      </c>
      <c r="V63" s="220">
        <f t="shared" si="65"/>
        <v>375</v>
      </c>
      <c r="W63" s="220">
        <f t="shared" si="65"/>
        <v>181</v>
      </c>
      <c r="X63" s="220">
        <f t="shared" si="65"/>
        <v>243</v>
      </c>
      <c r="Y63" s="220">
        <f t="shared" si="65"/>
        <v>388</v>
      </c>
      <c r="Z63" s="220">
        <v>2</v>
      </c>
      <c r="AA63" s="220">
        <v>1</v>
      </c>
      <c r="AB63" s="220">
        <v>5</v>
      </c>
      <c r="AC63" s="220">
        <v>0</v>
      </c>
      <c r="AD63" s="220">
        <v>2</v>
      </c>
      <c r="AE63" s="220">
        <f t="shared" si="66"/>
        <v>-178</v>
      </c>
      <c r="AF63" s="220">
        <f t="shared" si="66"/>
        <v>-227</v>
      </c>
      <c r="AG63" s="220">
        <f t="shared" si="66"/>
        <v>-386</v>
      </c>
      <c r="AH63" s="220">
        <f t="shared" si="66"/>
        <v>-239</v>
      </c>
      <c r="AI63" s="220">
        <f t="shared" si="66"/>
        <v>-171</v>
      </c>
      <c r="AJ63" s="50">
        <f t="shared" si="12"/>
        <v>1.3810000000000029</v>
      </c>
      <c r="AK63" s="257"/>
      <c r="AL63" s="257">
        <f t="shared" si="13"/>
        <v>1.2</v>
      </c>
      <c r="AM63" s="52"/>
      <c r="AN63" s="88"/>
    </row>
    <row r="64" spans="1:40" s="29" customFormat="1" ht="17.25" customHeight="1">
      <c r="A64" s="48">
        <v>54</v>
      </c>
      <c r="B64" s="49">
        <f t="shared" si="6"/>
        <v>45638</v>
      </c>
      <c r="C64" s="220">
        <f t="shared" si="7"/>
        <v>1049</v>
      </c>
      <c r="D64" s="220">
        <f t="shared" ref="D64" si="70">D63+32</f>
        <v>2088</v>
      </c>
      <c r="E64" s="220">
        <f t="shared" si="8"/>
        <v>3137</v>
      </c>
      <c r="F64" s="220">
        <f t="shared" si="0"/>
        <v>666</v>
      </c>
      <c r="G64" s="220">
        <f t="shared" si="1"/>
        <v>613</v>
      </c>
      <c r="H64" s="220">
        <f t="shared" si="2"/>
        <v>811</v>
      </c>
      <c r="I64" s="220">
        <f t="shared" si="3"/>
        <v>746</v>
      </c>
      <c r="J64" s="220">
        <f t="shared" si="4"/>
        <v>749</v>
      </c>
      <c r="K64" s="220">
        <f t="shared" si="69"/>
        <v>2471</v>
      </c>
      <c r="L64" s="220">
        <f t="shared" si="69"/>
        <v>2524</v>
      </c>
      <c r="M64" s="220">
        <f t="shared" si="69"/>
        <v>2326</v>
      </c>
      <c r="N64" s="220">
        <f t="shared" si="69"/>
        <v>2391</v>
      </c>
      <c r="O64" s="220">
        <f t="shared" si="69"/>
        <v>2388</v>
      </c>
      <c r="P64" s="220">
        <f t="shared" si="64"/>
        <v>2000</v>
      </c>
      <c r="Q64" s="220">
        <f t="shared" si="64"/>
        <v>2150</v>
      </c>
      <c r="R64" s="220">
        <f t="shared" si="64"/>
        <v>2150</v>
      </c>
      <c r="S64" s="220">
        <f t="shared" si="64"/>
        <v>2150</v>
      </c>
      <c r="T64" s="220">
        <f t="shared" si="64"/>
        <v>2000</v>
      </c>
      <c r="U64" s="220">
        <f t="shared" si="65"/>
        <v>471</v>
      </c>
      <c r="V64" s="220">
        <f t="shared" si="65"/>
        <v>374</v>
      </c>
      <c r="W64" s="220">
        <f t="shared" si="65"/>
        <v>176</v>
      </c>
      <c r="X64" s="220">
        <f t="shared" si="65"/>
        <v>241</v>
      </c>
      <c r="Y64" s="220">
        <f t="shared" si="65"/>
        <v>388</v>
      </c>
      <c r="Z64" s="220">
        <v>0</v>
      </c>
      <c r="AA64" s="220">
        <v>1</v>
      </c>
      <c r="AB64" s="220">
        <v>5</v>
      </c>
      <c r="AC64" s="220">
        <v>2</v>
      </c>
      <c r="AD64" s="220">
        <v>0</v>
      </c>
      <c r="AE64" s="220">
        <f t="shared" si="66"/>
        <v>-178</v>
      </c>
      <c r="AF64" s="220">
        <f t="shared" si="66"/>
        <v>-228</v>
      </c>
      <c r="AG64" s="220">
        <f t="shared" si="66"/>
        <v>-391</v>
      </c>
      <c r="AH64" s="220">
        <f t="shared" si="66"/>
        <v>-241</v>
      </c>
      <c r="AI64" s="220">
        <f t="shared" si="66"/>
        <v>-171</v>
      </c>
      <c r="AJ64" s="50">
        <f t="shared" si="12"/>
        <v>1.376000000000003</v>
      </c>
      <c r="AK64" s="257"/>
      <c r="AL64" s="257">
        <f t="shared" si="13"/>
        <v>1.2</v>
      </c>
      <c r="AM64" s="52"/>
      <c r="AN64" s="88"/>
    </row>
    <row r="65" spans="1:40" s="29" customFormat="1" ht="17.25" customHeight="1">
      <c r="A65" s="48">
        <v>55</v>
      </c>
      <c r="B65" s="49">
        <f t="shared" si="6"/>
        <v>45639</v>
      </c>
      <c r="C65" s="220">
        <f t="shared" si="7"/>
        <v>1049</v>
      </c>
      <c r="D65" s="220">
        <f t="shared" ref="D65" si="71">D64-18</f>
        <v>2070</v>
      </c>
      <c r="E65" s="220">
        <f t="shared" si="8"/>
        <v>3119</v>
      </c>
      <c r="F65" s="220">
        <f t="shared" si="0"/>
        <v>648</v>
      </c>
      <c r="G65" s="220">
        <f t="shared" si="1"/>
        <v>596</v>
      </c>
      <c r="H65" s="220">
        <f t="shared" si="2"/>
        <v>798</v>
      </c>
      <c r="I65" s="220">
        <f t="shared" si="3"/>
        <v>728</v>
      </c>
      <c r="J65" s="220">
        <f t="shared" si="4"/>
        <v>731</v>
      </c>
      <c r="K65" s="220">
        <f t="shared" si="69"/>
        <v>2471</v>
      </c>
      <c r="L65" s="220">
        <f t="shared" si="69"/>
        <v>2523</v>
      </c>
      <c r="M65" s="220">
        <f t="shared" si="69"/>
        <v>2321</v>
      </c>
      <c r="N65" s="220">
        <f t="shared" si="69"/>
        <v>2391</v>
      </c>
      <c r="O65" s="220">
        <f t="shared" si="69"/>
        <v>2388</v>
      </c>
      <c r="P65" s="220">
        <f t="shared" si="64"/>
        <v>2000</v>
      </c>
      <c r="Q65" s="220">
        <f t="shared" si="64"/>
        <v>2150</v>
      </c>
      <c r="R65" s="220">
        <f t="shared" si="64"/>
        <v>2150</v>
      </c>
      <c r="S65" s="220">
        <f t="shared" si="64"/>
        <v>2150</v>
      </c>
      <c r="T65" s="220">
        <f t="shared" si="64"/>
        <v>2000</v>
      </c>
      <c r="U65" s="220">
        <f t="shared" si="65"/>
        <v>471</v>
      </c>
      <c r="V65" s="220">
        <f t="shared" si="65"/>
        <v>373</v>
      </c>
      <c r="W65" s="220">
        <f t="shared" si="65"/>
        <v>171</v>
      </c>
      <c r="X65" s="220">
        <f t="shared" si="65"/>
        <v>241</v>
      </c>
      <c r="Y65" s="220">
        <f t="shared" si="65"/>
        <v>388</v>
      </c>
      <c r="Z65" s="220">
        <v>0</v>
      </c>
      <c r="AA65" s="220">
        <v>1</v>
      </c>
      <c r="AB65" s="220">
        <v>5</v>
      </c>
      <c r="AC65" s="220">
        <v>0</v>
      </c>
      <c r="AD65" s="220">
        <v>0</v>
      </c>
      <c r="AE65" s="220">
        <f t="shared" si="66"/>
        <v>-178</v>
      </c>
      <c r="AF65" s="220">
        <f t="shared" si="66"/>
        <v>-229</v>
      </c>
      <c r="AG65" s="220">
        <f t="shared" si="66"/>
        <v>-396</v>
      </c>
      <c r="AH65" s="220">
        <f t="shared" si="66"/>
        <v>-241</v>
      </c>
      <c r="AI65" s="220">
        <f t="shared" si="66"/>
        <v>-171</v>
      </c>
      <c r="AJ65" s="50">
        <f t="shared" si="12"/>
        <v>1.3710000000000031</v>
      </c>
      <c r="AK65" s="257"/>
      <c r="AL65" s="257">
        <f t="shared" si="13"/>
        <v>1.2</v>
      </c>
      <c r="AM65" s="52"/>
      <c r="AN65" s="88"/>
    </row>
    <row r="66" spans="1:40" s="29" customFormat="1" ht="17.25" customHeight="1">
      <c r="A66" s="48">
        <v>56</v>
      </c>
      <c r="B66" s="49">
        <f t="shared" si="6"/>
        <v>45640</v>
      </c>
      <c r="C66" s="220">
        <f t="shared" si="7"/>
        <v>1049</v>
      </c>
      <c r="D66" s="220">
        <f t="shared" ref="D66" si="72">D65-26</f>
        <v>2044</v>
      </c>
      <c r="E66" s="220">
        <f t="shared" si="8"/>
        <v>3093</v>
      </c>
      <c r="F66" s="220">
        <f t="shared" si="0"/>
        <v>622</v>
      </c>
      <c r="G66" s="220">
        <f t="shared" si="1"/>
        <v>570</v>
      </c>
      <c r="H66" s="220">
        <f t="shared" si="2"/>
        <v>777</v>
      </c>
      <c r="I66" s="220">
        <f t="shared" si="3"/>
        <v>705</v>
      </c>
      <c r="J66" s="220">
        <f t="shared" si="4"/>
        <v>705</v>
      </c>
      <c r="K66" s="220">
        <f t="shared" si="69"/>
        <v>2471</v>
      </c>
      <c r="L66" s="220">
        <f t="shared" si="69"/>
        <v>2523</v>
      </c>
      <c r="M66" s="220">
        <f t="shared" si="69"/>
        <v>2316</v>
      </c>
      <c r="N66" s="220">
        <f t="shared" si="69"/>
        <v>2388</v>
      </c>
      <c r="O66" s="220">
        <f t="shared" si="69"/>
        <v>2388</v>
      </c>
      <c r="P66" s="220">
        <f t="shared" si="64"/>
        <v>2000</v>
      </c>
      <c r="Q66" s="220">
        <f t="shared" si="64"/>
        <v>2150</v>
      </c>
      <c r="R66" s="220">
        <f t="shared" si="64"/>
        <v>2150</v>
      </c>
      <c r="S66" s="220">
        <f t="shared" si="64"/>
        <v>2150</v>
      </c>
      <c r="T66" s="220">
        <f t="shared" si="64"/>
        <v>2000</v>
      </c>
      <c r="U66" s="220">
        <f t="shared" si="65"/>
        <v>471</v>
      </c>
      <c r="V66" s="220">
        <f t="shared" si="65"/>
        <v>373</v>
      </c>
      <c r="W66" s="220">
        <f t="shared" si="65"/>
        <v>166</v>
      </c>
      <c r="X66" s="220">
        <f t="shared" si="65"/>
        <v>238</v>
      </c>
      <c r="Y66" s="220">
        <f t="shared" si="65"/>
        <v>388</v>
      </c>
      <c r="Z66" s="220">
        <v>0</v>
      </c>
      <c r="AA66" s="220">
        <v>0</v>
      </c>
      <c r="AB66" s="220">
        <v>5</v>
      </c>
      <c r="AC66" s="220">
        <v>3</v>
      </c>
      <c r="AD66" s="220">
        <v>0</v>
      </c>
      <c r="AE66" s="220">
        <f t="shared" si="66"/>
        <v>-178</v>
      </c>
      <c r="AF66" s="220">
        <f t="shared" si="66"/>
        <v>-229</v>
      </c>
      <c r="AG66" s="220">
        <f t="shared" si="66"/>
        <v>-401</v>
      </c>
      <c r="AH66" s="220">
        <f t="shared" si="66"/>
        <v>-244</v>
      </c>
      <c r="AI66" s="220">
        <f t="shared" si="66"/>
        <v>-171</v>
      </c>
      <c r="AJ66" s="50">
        <f t="shared" si="12"/>
        <v>1.3660000000000032</v>
      </c>
      <c r="AK66" s="257"/>
      <c r="AL66" s="257">
        <f t="shared" si="13"/>
        <v>1.2</v>
      </c>
      <c r="AM66" s="52"/>
      <c r="AN66" s="88"/>
    </row>
    <row r="67" spans="1:40" s="29" customFormat="1" ht="17.25" customHeight="1">
      <c r="A67" s="48">
        <v>57</v>
      </c>
      <c r="B67" s="49">
        <f t="shared" si="6"/>
        <v>45641</v>
      </c>
      <c r="C67" s="220">
        <f t="shared" si="7"/>
        <v>1049</v>
      </c>
      <c r="D67" s="220">
        <f t="shared" ref="D67" si="73">D66+15</f>
        <v>2059</v>
      </c>
      <c r="E67" s="220">
        <f t="shared" si="8"/>
        <v>3108</v>
      </c>
      <c r="F67" s="220">
        <f t="shared" si="0"/>
        <v>637</v>
      </c>
      <c r="G67" s="220">
        <f t="shared" si="1"/>
        <v>588</v>
      </c>
      <c r="H67" s="220">
        <f t="shared" si="2"/>
        <v>797</v>
      </c>
      <c r="I67" s="220">
        <f t="shared" si="3"/>
        <v>720</v>
      </c>
      <c r="J67" s="220">
        <f t="shared" si="4"/>
        <v>720</v>
      </c>
      <c r="K67" s="220">
        <f t="shared" si="69"/>
        <v>2471</v>
      </c>
      <c r="L67" s="220">
        <f t="shared" si="69"/>
        <v>2520</v>
      </c>
      <c r="M67" s="220">
        <f t="shared" si="69"/>
        <v>2311</v>
      </c>
      <c r="N67" s="220">
        <f t="shared" si="69"/>
        <v>2388</v>
      </c>
      <c r="O67" s="220">
        <f t="shared" si="69"/>
        <v>2388</v>
      </c>
      <c r="P67" s="220">
        <f t="shared" si="64"/>
        <v>2000</v>
      </c>
      <c r="Q67" s="220">
        <f t="shared" si="64"/>
        <v>2150</v>
      </c>
      <c r="R67" s="220">
        <f t="shared" si="64"/>
        <v>2150</v>
      </c>
      <c r="S67" s="220">
        <f t="shared" si="64"/>
        <v>2150</v>
      </c>
      <c r="T67" s="220">
        <f t="shared" si="64"/>
        <v>2000</v>
      </c>
      <c r="U67" s="220">
        <f t="shared" si="65"/>
        <v>471</v>
      </c>
      <c r="V67" s="220">
        <f t="shared" si="65"/>
        <v>370</v>
      </c>
      <c r="W67" s="220">
        <f t="shared" si="65"/>
        <v>161</v>
      </c>
      <c r="X67" s="220">
        <f t="shared" si="65"/>
        <v>238</v>
      </c>
      <c r="Y67" s="220">
        <f t="shared" si="65"/>
        <v>388</v>
      </c>
      <c r="Z67" s="220">
        <v>0</v>
      </c>
      <c r="AA67" s="220">
        <v>3</v>
      </c>
      <c r="AB67" s="220">
        <v>5</v>
      </c>
      <c r="AC67" s="220">
        <v>0</v>
      </c>
      <c r="AD67" s="220">
        <v>0</v>
      </c>
      <c r="AE67" s="220">
        <f t="shared" si="66"/>
        <v>-178</v>
      </c>
      <c r="AF67" s="220">
        <f t="shared" si="66"/>
        <v>-232</v>
      </c>
      <c r="AG67" s="220">
        <f t="shared" si="66"/>
        <v>-406</v>
      </c>
      <c r="AH67" s="220">
        <f t="shared" si="66"/>
        <v>-244</v>
      </c>
      <c r="AI67" s="220">
        <f t="shared" si="66"/>
        <v>-171</v>
      </c>
      <c r="AJ67" s="50">
        <f t="shared" si="12"/>
        <v>1.3610000000000033</v>
      </c>
      <c r="AK67" s="257"/>
      <c r="AL67" s="257">
        <f t="shared" si="13"/>
        <v>1.2</v>
      </c>
      <c r="AM67" s="52"/>
      <c r="AN67" s="88"/>
    </row>
    <row r="68" spans="1:40" s="29" customFormat="1" ht="17.25" customHeight="1">
      <c r="A68" s="48">
        <v>58</v>
      </c>
      <c r="B68" s="49">
        <f t="shared" si="6"/>
        <v>45642</v>
      </c>
      <c r="C68" s="220">
        <f t="shared" si="7"/>
        <v>1049</v>
      </c>
      <c r="D68" s="220">
        <f t="shared" ref="D68" si="74">D67+26</f>
        <v>2085</v>
      </c>
      <c r="E68" s="220">
        <f t="shared" si="8"/>
        <v>3134</v>
      </c>
      <c r="F68" s="220">
        <f t="shared" si="0"/>
        <v>664</v>
      </c>
      <c r="G68" s="220">
        <f t="shared" si="1"/>
        <v>614</v>
      </c>
      <c r="H68" s="220">
        <f t="shared" si="2"/>
        <v>828</v>
      </c>
      <c r="I68" s="220">
        <f t="shared" si="3"/>
        <v>749</v>
      </c>
      <c r="J68" s="220">
        <f t="shared" si="4"/>
        <v>746</v>
      </c>
      <c r="K68" s="220">
        <f t="shared" si="69"/>
        <v>2470</v>
      </c>
      <c r="L68" s="220">
        <f t="shared" si="69"/>
        <v>2520</v>
      </c>
      <c r="M68" s="220">
        <f t="shared" si="69"/>
        <v>2306</v>
      </c>
      <c r="N68" s="220">
        <f t="shared" si="69"/>
        <v>2385</v>
      </c>
      <c r="O68" s="220">
        <f t="shared" si="69"/>
        <v>2388</v>
      </c>
      <c r="P68" s="220">
        <f t="shared" si="64"/>
        <v>2000</v>
      </c>
      <c r="Q68" s="220">
        <f t="shared" si="64"/>
        <v>2150</v>
      </c>
      <c r="R68" s="220">
        <f t="shared" si="64"/>
        <v>2150</v>
      </c>
      <c r="S68" s="220">
        <f t="shared" si="64"/>
        <v>2150</v>
      </c>
      <c r="T68" s="220">
        <f t="shared" si="64"/>
        <v>2000</v>
      </c>
      <c r="U68" s="220">
        <f t="shared" si="65"/>
        <v>470</v>
      </c>
      <c r="V68" s="220">
        <f t="shared" si="65"/>
        <v>370</v>
      </c>
      <c r="W68" s="220">
        <f t="shared" si="65"/>
        <v>156</v>
      </c>
      <c r="X68" s="220">
        <f t="shared" si="65"/>
        <v>235</v>
      </c>
      <c r="Y68" s="220">
        <f t="shared" si="65"/>
        <v>388</v>
      </c>
      <c r="Z68" s="220">
        <v>1</v>
      </c>
      <c r="AA68" s="220">
        <v>0</v>
      </c>
      <c r="AB68" s="220">
        <v>5</v>
      </c>
      <c r="AC68" s="220">
        <v>3</v>
      </c>
      <c r="AD68" s="220">
        <v>0</v>
      </c>
      <c r="AE68" s="220">
        <f t="shared" si="66"/>
        <v>-179</v>
      </c>
      <c r="AF68" s="220">
        <f t="shared" si="66"/>
        <v>-232</v>
      </c>
      <c r="AG68" s="220">
        <f t="shared" si="66"/>
        <v>-411</v>
      </c>
      <c r="AH68" s="220">
        <f t="shared" si="66"/>
        <v>-247</v>
      </c>
      <c r="AI68" s="220">
        <f t="shared" si="66"/>
        <v>-171</v>
      </c>
      <c r="AJ68" s="50">
        <f t="shared" si="12"/>
        <v>1.3560000000000034</v>
      </c>
      <c r="AK68" s="257"/>
      <c r="AL68" s="257">
        <f t="shared" si="13"/>
        <v>1.2</v>
      </c>
      <c r="AM68" s="52"/>
      <c r="AN68" s="88"/>
    </row>
    <row r="69" spans="1:40" s="29" customFormat="1" ht="17.25" customHeight="1">
      <c r="A69" s="48">
        <v>59</v>
      </c>
      <c r="B69" s="49">
        <f t="shared" si="6"/>
        <v>45643</v>
      </c>
      <c r="C69" s="220">
        <f t="shared" si="7"/>
        <v>1049</v>
      </c>
      <c r="D69" s="220">
        <f t="shared" ref="D69" si="75">D68+32</f>
        <v>2117</v>
      </c>
      <c r="E69" s="220">
        <f t="shared" si="8"/>
        <v>3166</v>
      </c>
      <c r="F69" s="220">
        <f t="shared" si="0"/>
        <v>696</v>
      </c>
      <c r="G69" s="220">
        <f t="shared" si="1"/>
        <v>646</v>
      </c>
      <c r="H69" s="220">
        <f t="shared" si="2"/>
        <v>865</v>
      </c>
      <c r="I69" s="220">
        <f t="shared" si="3"/>
        <v>781</v>
      </c>
      <c r="J69" s="220">
        <f t="shared" si="4"/>
        <v>780</v>
      </c>
      <c r="K69" s="220">
        <f t="shared" si="69"/>
        <v>2470</v>
      </c>
      <c r="L69" s="220">
        <f t="shared" si="69"/>
        <v>2520</v>
      </c>
      <c r="M69" s="220">
        <f t="shared" si="69"/>
        <v>2301</v>
      </c>
      <c r="N69" s="220">
        <f t="shared" si="69"/>
        <v>2385</v>
      </c>
      <c r="O69" s="220">
        <f t="shared" si="69"/>
        <v>2386</v>
      </c>
      <c r="P69" s="220">
        <f t="shared" si="64"/>
        <v>2000</v>
      </c>
      <c r="Q69" s="220">
        <f t="shared" si="64"/>
        <v>2150</v>
      </c>
      <c r="R69" s="220">
        <f t="shared" si="64"/>
        <v>2150</v>
      </c>
      <c r="S69" s="220">
        <f t="shared" si="64"/>
        <v>2150</v>
      </c>
      <c r="T69" s="220">
        <f t="shared" si="64"/>
        <v>2000</v>
      </c>
      <c r="U69" s="220">
        <f t="shared" si="65"/>
        <v>470</v>
      </c>
      <c r="V69" s="220">
        <f t="shared" si="65"/>
        <v>370</v>
      </c>
      <c r="W69" s="220">
        <f t="shared" si="65"/>
        <v>151</v>
      </c>
      <c r="X69" s="220">
        <f t="shared" si="65"/>
        <v>235</v>
      </c>
      <c r="Y69" s="220">
        <f t="shared" si="65"/>
        <v>386</v>
      </c>
      <c r="Z69" s="220">
        <v>0</v>
      </c>
      <c r="AA69" s="220">
        <v>0</v>
      </c>
      <c r="AB69" s="220">
        <v>5</v>
      </c>
      <c r="AC69" s="220">
        <v>0</v>
      </c>
      <c r="AD69" s="220">
        <v>2</v>
      </c>
      <c r="AE69" s="220">
        <f t="shared" si="66"/>
        <v>-179</v>
      </c>
      <c r="AF69" s="220">
        <f t="shared" si="66"/>
        <v>-232</v>
      </c>
      <c r="AG69" s="220">
        <f t="shared" si="66"/>
        <v>-416</v>
      </c>
      <c r="AH69" s="220">
        <f t="shared" si="66"/>
        <v>-247</v>
      </c>
      <c r="AI69" s="220">
        <f t="shared" si="66"/>
        <v>-173</v>
      </c>
      <c r="AJ69" s="50">
        <f t="shared" si="12"/>
        <v>1.3510000000000035</v>
      </c>
      <c r="AK69" s="257"/>
      <c r="AL69" s="257">
        <f t="shared" si="13"/>
        <v>1.2</v>
      </c>
      <c r="AM69" s="52"/>
      <c r="AN69" s="88"/>
    </row>
    <row r="70" spans="1:40" s="29" customFormat="1" ht="17.25" customHeight="1">
      <c r="A70" s="48">
        <v>60</v>
      </c>
      <c r="B70" s="49">
        <f t="shared" si="6"/>
        <v>45644</v>
      </c>
      <c r="C70" s="220">
        <f t="shared" si="7"/>
        <v>1049</v>
      </c>
      <c r="D70" s="220">
        <f t="shared" ref="D70" si="76">D69-18</f>
        <v>2099</v>
      </c>
      <c r="E70" s="220">
        <f t="shared" si="8"/>
        <v>3148</v>
      </c>
      <c r="F70" s="220">
        <f t="shared" si="0"/>
        <v>679</v>
      </c>
      <c r="G70" s="220">
        <f t="shared" si="1"/>
        <v>630</v>
      </c>
      <c r="H70" s="220">
        <f t="shared" si="2"/>
        <v>852</v>
      </c>
      <c r="I70" s="220">
        <f t="shared" si="3"/>
        <v>765</v>
      </c>
      <c r="J70" s="220">
        <f t="shared" si="4"/>
        <v>762</v>
      </c>
      <c r="K70" s="220">
        <f t="shared" si="69"/>
        <v>2469</v>
      </c>
      <c r="L70" s="220">
        <f t="shared" si="69"/>
        <v>2518</v>
      </c>
      <c r="M70" s="220">
        <f t="shared" si="69"/>
        <v>2296</v>
      </c>
      <c r="N70" s="220">
        <f t="shared" si="69"/>
        <v>2383</v>
      </c>
      <c r="O70" s="220">
        <f t="shared" si="69"/>
        <v>2386</v>
      </c>
      <c r="P70" s="220">
        <f t="shared" si="64"/>
        <v>2000</v>
      </c>
      <c r="Q70" s="220">
        <f t="shared" si="64"/>
        <v>2150</v>
      </c>
      <c r="R70" s="220">
        <f t="shared" si="64"/>
        <v>2150</v>
      </c>
      <c r="S70" s="220">
        <f t="shared" si="64"/>
        <v>2150</v>
      </c>
      <c r="T70" s="220">
        <f t="shared" si="64"/>
        <v>2000</v>
      </c>
      <c r="U70" s="220">
        <f t="shared" si="65"/>
        <v>469</v>
      </c>
      <c r="V70" s="220">
        <f t="shared" si="65"/>
        <v>368</v>
      </c>
      <c r="W70" s="220">
        <f t="shared" si="65"/>
        <v>146</v>
      </c>
      <c r="X70" s="220">
        <f t="shared" si="65"/>
        <v>233</v>
      </c>
      <c r="Y70" s="220">
        <f t="shared" si="65"/>
        <v>386</v>
      </c>
      <c r="Z70" s="220">
        <v>1</v>
      </c>
      <c r="AA70" s="220">
        <v>2</v>
      </c>
      <c r="AB70" s="220">
        <v>5</v>
      </c>
      <c r="AC70" s="220">
        <v>2</v>
      </c>
      <c r="AD70" s="220">
        <v>0</v>
      </c>
      <c r="AE70" s="220">
        <f t="shared" si="66"/>
        <v>-180</v>
      </c>
      <c r="AF70" s="220">
        <f t="shared" si="66"/>
        <v>-234</v>
      </c>
      <c r="AG70" s="220">
        <f t="shared" si="66"/>
        <v>-421</v>
      </c>
      <c r="AH70" s="220">
        <f t="shared" si="66"/>
        <v>-249</v>
      </c>
      <c r="AI70" s="220">
        <f t="shared" si="66"/>
        <v>-173</v>
      </c>
      <c r="AJ70" s="50">
        <f t="shared" si="12"/>
        <v>1.3460000000000036</v>
      </c>
      <c r="AK70" s="257"/>
      <c r="AL70" s="257">
        <f t="shared" si="13"/>
        <v>1.2</v>
      </c>
      <c r="AM70" s="52"/>
      <c r="AN70" s="88"/>
    </row>
    <row r="71" spans="1:40" s="29" customFormat="1" ht="17.25" customHeight="1">
      <c r="A71" s="48">
        <v>61</v>
      </c>
      <c r="B71" s="49">
        <f t="shared" si="6"/>
        <v>45645</v>
      </c>
      <c r="C71" s="220">
        <f t="shared" si="7"/>
        <v>1049</v>
      </c>
      <c r="D71" s="220">
        <f t="shared" ref="D71" si="77">D70-26</f>
        <v>2073</v>
      </c>
      <c r="E71" s="220">
        <f t="shared" si="8"/>
        <v>3122</v>
      </c>
      <c r="F71" s="220">
        <f t="shared" si="0"/>
        <v>654</v>
      </c>
      <c r="G71" s="220">
        <f t="shared" si="1"/>
        <v>604</v>
      </c>
      <c r="H71" s="220">
        <f t="shared" si="2"/>
        <v>831</v>
      </c>
      <c r="I71" s="220">
        <f t="shared" si="3"/>
        <v>739</v>
      </c>
      <c r="J71" s="220">
        <f t="shared" si="4"/>
        <v>736</v>
      </c>
      <c r="K71" s="220">
        <f t="shared" si="69"/>
        <v>2468</v>
      </c>
      <c r="L71" s="220">
        <f t="shared" si="69"/>
        <v>2518</v>
      </c>
      <c r="M71" s="220">
        <f t="shared" si="69"/>
        <v>2291</v>
      </c>
      <c r="N71" s="220">
        <f t="shared" si="69"/>
        <v>2383</v>
      </c>
      <c r="O71" s="220">
        <f t="shared" si="69"/>
        <v>2386</v>
      </c>
      <c r="P71" s="220">
        <f t="shared" si="64"/>
        <v>2000</v>
      </c>
      <c r="Q71" s="220">
        <f t="shared" si="64"/>
        <v>2150</v>
      </c>
      <c r="R71" s="220">
        <f t="shared" si="64"/>
        <v>2150</v>
      </c>
      <c r="S71" s="220">
        <f t="shared" si="64"/>
        <v>2150</v>
      </c>
      <c r="T71" s="220">
        <f t="shared" si="64"/>
        <v>2000</v>
      </c>
      <c r="U71" s="220">
        <f t="shared" si="65"/>
        <v>468</v>
      </c>
      <c r="V71" s="220">
        <f t="shared" si="65"/>
        <v>368</v>
      </c>
      <c r="W71" s="220">
        <f t="shared" si="65"/>
        <v>141</v>
      </c>
      <c r="X71" s="220">
        <f t="shared" si="65"/>
        <v>233</v>
      </c>
      <c r="Y71" s="220">
        <f t="shared" si="65"/>
        <v>386</v>
      </c>
      <c r="Z71" s="220">
        <v>1</v>
      </c>
      <c r="AA71" s="220">
        <v>0</v>
      </c>
      <c r="AB71" s="220">
        <v>5</v>
      </c>
      <c r="AC71" s="220">
        <v>0</v>
      </c>
      <c r="AD71" s="220">
        <v>0</v>
      </c>
      <c r="AE71" s="220">
        <f t="shared" si="66"/>
        <v>-181</v>
      </c>
      <c r="AF71" s="220">
        <f t="shared" si="66"/>
        <v>-234</v>
      </c>
      <c r="AG71" s="220">
        <f t="shared" si="66"/>
        <v>-426</v>
      </c>
      <c r="AH71" s="220">
        <f t="shared" si="66"/>
        <v>-249</v>
      </c>
      <c r="AI71" s="220">
        <f t="shared" si="66"/>
        <v>-173</v>
      </c>
      <c r="AJ71" s="50">
        <f t="shared" si="12"/>
        <v>1.3410000000000037</v>
      </c>
      <c r="AK71" s="257"/>
      <c r="AL71" s="257">
        <f t="shared" si="13"/>
        <v>1.2</v>
      </c>
      <c r="AM71" s="52"/>
      <c r="AN71" s="88"/>
    </row>
    <row r="72" spans="1:40" s="29" customFormat="1" ht="17.25" customHeight="1">
      <c r="A72" s="48">
        <v>62</v>
      </c>
      <c r="B72" s="49">
        <f t="shared" si="6"/>
        <v>45646</v>
      </c>
      <c r="C72" s="220">
        <f t="shared" si="7"/>
        <v>1049</v>
      </c>
      <c r="D72" s="220">
        <f t="shared" ref="D72" si="78">D71+15</f>
        <v>2088</v>
      </c>
      <c r="E72" s="220">
        <f t="shared" si="8"/>
        <v>3137</v>
      </c>
      <c r="F72" s="220">
        <f t="shared" si="0"/>
        <v>669</v>
      </c>
      <c r="G72" s="220">
        <f t="shared" si="1"/>
        <v>620</v>
      </c>
      <c r="H72" s="220">
        <f t="shared" si="2"/>
        <v>851</v>
      </c>
      <c r="I72" s="220">
        <f t="shared" si="3"/>
        <v>757</v>
      </c>
      <c r="J72" s="220">
        <f t="shared" si="4"/>
        <v>751</v>
      </c>
      <c r="K72" s="220">
        <f t="shared" si="69"/>
        <v>2468</v>
      </c>
      <c r="L72" s="220">
        <f t="shared" si="69"/>
        <v>2517</v>
      </c>
      <c r="M72" s="220">
        <f t="shared" si="69"/>
        <v>2286</v>
      </c>
      <c r="N72" s="220">
        <f t="shared" si="69"/>
        <v>2380</v>
      </c>
      <c r="O72" s="220">
        <f t="shared" si="69"/>
        <v>2386</v>
      </c>
      <c r="P72" s="220">
        <f t="shared" si="64"/>
        <v>2000</v>
      </c>
      <c r="Q72" s="220">
        <f t="shared" si="64"/>
        <v>2150</v>
      </c>
      <c r="R72" s="220">
        <f t="shared" si="64"/>
        <v>2150</v>
      </c>
      <c r="S72" s="220">
        <f t="shared" si="64"/>
        <v>2150</v>
      </c>
      <c r="T72" s="220">
        <f t="shared" si="64"/>
        <v>2000</v>
      </c>
      <c r="U72" s="220">
        <f t="shared" si="65"/>
        <v>468</v>
      </c>
      <c r="V72" s="220">
        <f t="shared" si="65"/>
        <v>367</v>
      </c>
      <c r="W72" s="220">
        <f t="shared" si="65"/>
        <v>136</v>
      </c>
      <c r="X72" s="220">
        <f t="shared" si="65"/>
        <v>230</v>
      </c>
      <c r="Y72" s="220">
        <f t="shared" si="65"/>
        <v>386</v>
      </c>
      <c r="Z72" s="220">
        <v>0</v>
      </c>
      <c r="AA72" s="220">
        <v>1</v>
      </c>
      <c r="AB72" s="220">
        <v>5</v>
      </c>
      <c r="AC72" s="220">
        <v>3</v>
      </c>
      <c r="AD72" s="220">
        <v>0</v>
      </c>
      <c r="AE72" s="220">
        <f t="shared" si="66"/>
        <v>-181</v>
      </c>
      <c r="AF72" s="220">
        <f t="shared" si="66"/>
        <v>-235</v>
      </c>
      <c r="AG72" s="220">
        <f t="shared" si="66"/>
        <v>-431</v>
      </c>
      <c r="AH72" s="220">
        <f t="shared" si="66"/>
        <v>-252</v>
      </c>
      <c r="AI72" s="220">
        <f t="shared" si="66"/>
        <v>-173</v>
      </c>
      <c r="AJ72" s="50">
        <f t="shared" si="12"/>
        <v>1.3360000000000039</v>
      </c>
      <c r="AK72" s="257"/>
      <c r="AL72" s="257">
        <f t="shared" si="13"/>
        <v>1.2</v>
      </c>
      <c r="AM72" s="52"/>
      <c r="AN72" s="88"/>
    </row>
    <row r="73" spans="1:40" s="29" customFormat="1" ht="17.25" customHeight="1">
      <c r="A73" s="48">
        <v>63</v>
      </c>
      <c r="B73" s="49">
        <f t="shared" si="6"/>
        <v>45647</v>
      </c>
      <c r="C73" s="220">
        <f t="shared" si="7"/>
        <v>1049</v>
      </c>
      <c r="D73" s="220">
        <f t="shared" ref="D73" si="79">D72+26</f>
        <v>2114</v>
      </c>
      <c r="E73" s="220">
        <f t="shared" si="8"/>
        <v>3163</v>
      </c>
      <c r="F73" s="220">
        <f t="shared" si="0"/>
        <v>696</v>
      </c>
      <c r="G73" s="220">
        <f t="shared" si="1"/>
        <v>647</v>
      </c>
      <c r="H73" s="220">
        <f t="shared" si="2"/>
        <v>882</v>
      </c>
      <c r="I73" s="220">
        <f t="shared" si="3"/>
        <v>784</v>
      </c>
      <c r="J73" s="220">
        <f t="shared" si="4"/>
        <v>777</v>
      </c>
      <c r="K73" s="220">
        <f t="shared" si="69"/>
        <v>2467</v>
      </c>
      <c r="L73" s="220">
        <f t="shared" si="69"/>
        <v>2516</v>
      </c>
      <c r="M73" s="220">
        <f t="shared" si="69"/>
        <v>2281</v>
      </c>
      <c r="N73" s="220">
        <f t="shared" si="69"/>
        <v>2379</v>
      </c>
      <c r="O73" s="220">
        <f t="shared" si="69"/>
        <v>2386</v>
      </c>
      <c r="P73" s="220">
        <f t="shared" si="64"/>
        <v>2000</v>
      </c>
      <c r="Q73" s="220">
        <f t="shared" si="64"/>
        <v>2150</v>
      </c>
      <c r="R73" s="220">
        <f t="shared" si="64"/>
        <v>2150</v>
      </c>
      <c r="S73" s="220">
        <f t="shared" si="64"/>
        <v>2150</v>
      </c>
      <c r="T73" s="220">
        <f t="shared" si="64"/>
        <v>2000</v>
      </c>
      <c r="U73" s="220">
        <f t="shared" si="65"/>
        <v>467</v>
      </c>
      <c r="V73" s="220">
        <f t="shared" si="65"/>
        <v>366</v>
      </c>
      <c r="W73" s="220">
        <f t="shared" si="65"/>
        <v>131</v>
      </c>
      <c r="X73" s="220">
        <f t="shared" si="65"/>
        <v>229</v>
      </c>
      <c r="Y73" s="220">
        <f t="shared" si="65"/>
        <v>386</v>
      </c>
      <c r="Z73" s="220">
        <v>1</v>
      </c>
      <c r="AA73" s="220">
        <v>1</v>
      </c>
      <c r="AB73" s="220">
        <v>5</v>
      </c>
      <c r="AC73" s="220">
        <v>1</v>
      </c>
      <c r="AD73" s="220">
        <v>0</v>
      </c>
      <c r="AE73" s="220">
        <f t="shared" si="66"/>
        <v>-182</v>
      </c>
      <c r="AF73" s="220">
        <f t="shared" si="66"/>
        <v>-236</v>
      </c>
      <c r="AG73" s="220">
        <f t="shared" si="66"/>
        <v>-436</v>
      </c>
      <c r="AH73" s="220">
        <f t="shared" si="66"/>
        <v>-253</v>
      </c>
      <c r="AI73" s="220">
        <f t="shared" si="66"/>
        <v>-173</v>
      </c>
      <c r="AJ73" s="50">
        <f t="shared" si="12"/>
        <v>1.331000000000004</v>
      </c>
      <c r="AK73" s="257"/>
      <c r="AL73" s="257">
        <f t="shared" si="13"/>
        <v>1.2</v>
      </c>
      <c r="AM73" s="52"/>
      <c r="AN73" s="88"/>
    </row>
    <row r="74" spans="1:40" s="29" customFormat="1" ht="17.25" customHeight="1">
      <c r="A74" s="48">
        <v>64</v>
      </c>
      <c r="B74" s="49">
        <f t="shared" si="6"/>
        <v>45648</v>
      </c>
      <c r="C74" s="220">
        <f t="shared" si="7"/>
        <v>1049</v>
      </c>
      <c r="D74" s="220">
        <f t="shared" ref="D74" si="80">D73+32</f>
        <v>2146</v>
      </c>
      <c r="E74" s="220">
        <f t="shared" si="8"/>
        <v>3195</v>
      </c>
      <c r="F74" s="220">
        <f t="shared" si="0"/>
        <v>728</v>
      </c>
      <c r="G74" s="220">
        <f t="shared" si="1"/>
        <v>679</v>
      </c>
      <c r="H74" s="220">
        <f t="shared" si="2"/>
        <v>918</v>
      </c>
      <c r="I74" s="220">
        <f t="shared" si="3"/>
        <v>816</v>
      </c>
      <c r="J74" s="220">
        <f t="shared" si="4"/>
        <v>809</v>
      </c>
      <c r="K74" s="220">
        <f t="shared" si="69"/>
        <v>2467</v>
      </c>
      <c r="L74" s="220">
        <f t="shared" si="69"/>
        <v>2516</v>
      </c>
      <c r="M74" s="220">
        <f t="shared" si="69"/>
        <v>2277</v>
      </c>
      <c r="N74" s="220">
        <f t="shared" si="69"/>
        <v>2379</v>
      </c>
      <c r="O74" s="220">
        <f t="shared" si="69"/>
        <v>2386</v>
      </c>
      <c r="P74" s="220">
        <f t="shared" si="64"/>
        <v>2000</v>
      </c>
      <c r="Q74" s="220">
        <f t="shared" si="64"/>
        <v>2150</v>
      </c>
      <c r="R74" s="220">
        <f t="shared" si="64"/>
        <v>2150</v>
      </c>
      <c r="S74" s="220">
        <f t="shared" si="64"/>
        <v>2150</v>
      </c>
      <c r="T74" s="220">
        <f t="shared" si="64"/>
        <v>2000</v>
      </c>
      <c r="U74" s="220">
        <f t="shared" si="65"/>
        <v>467</v>
      </c>
      <c r="V74" s="220">
        <f t="shared" si="65"/>
        <v>366</v>
      </c>
      <c r="W74" s="220">
        <f t="shared" si="65"/>
        <v>127</v>
      </c>
      <c r="X74" s="220">
        <f t="shared" si="65"/>
        <v>229</v>
      </c>
      <c r="Y74" s="220">
        <f t="shared" si="65"/>
        <v>386</v>
      </c>
      <c r="Z74" s="220">
        <v>0</v>
      </c>
      <c r="AA74" s="220">
        <v>0</v>
      </c>
      <c r="AB74" s="220">
        <v>4</v>
      </c>
      <c r="AC74" s="220">
        <v>0</v>
      </c>
      <c r="AD74" s="220">
        <v>0</v>
      </c>
      <c r="AE74" s="220">
        <f t="shared" si="66"/>
        <v>-182</v>
      </c>
      <c r="AF74" s="220">
        <f t="shared" si="66"/>
        <v>-236</v>
      </c>
      <c r="AG74" s="220">
        <f t="shared" si="66"/>
        <v>-440</v>
      </c>
      <c r="AH74" s="220">
        <f t="shared" si="66"/>
        <v>-253</v>
      </c>
      <c r="AI74" s="220">
        <f t="shared" si="66"/>
        <v>-173</v>
      </c>
      <c r="AJ74" s="50">
        <f t="shared" si="12"/>
        <v>1.327000000000004</v>
      </c>
      <c r="AK74" s="257"/>
      <c r="AL74" s="257">
        <f t="shared" si="13"/>
        <v>1.2</v>
      </c>
      <c r="AM74" s="52"/>
      <c r="AN74" s="88"/>
    </row>
    <row r="75" spans="1:40" s="29" customFormat="1" ht="17.25" customHeight="1">
      <c r="A75" s="48">
        <v>65</v>
      </c>
      <c r="B75" s="49">
        <f t="shared" si="6"/>
        <v>45649</v>
      </c>
      <c r="C75" s="220">
        <f t="shared" si="7"/>
        <v>1049</v>
      </c>
      <c r="D75" s="220">
        <f t="shared" ref="D75" si="81">D74-18</f>
        <v>2128</v>
      </c>
      <c r="E75" s="220">
        <f t="shared" si="8"/>
        <v>3177</v>
      </c>
      <c r="F75" s="220">
        <f t="shared" si="0"/>
        <v>710</v>
      </c>
      <c r="G75" s="220">
        <f t="shared" si="1"/>
        <v>663</v>
      </c>
      <c r="H75" s="220">
        <f t="shared" si="2"/>
        <v>904</v>
      </c>
      <c r="I75" s="220">
        <f t="shared" si="3"/>
        <v>800</v>
      </c>
      <c r="J75" s="220">
        <f t="shared" si="4"/>
        <v>791</v>
      </c>
      <c r="K75" s="220">
        <f t="shared" si="69"/>
        <v>2467</v>
      </c>
      <c r="L75" s="220">
        <f t="shared" si="69"/>
        <v>2514</v>
      </c>
      <c r="M75" s="220">
        <f t="shared" si="69"/>
        <v>2273</v>
      </c>
      <c r="N75" s="220">
        <f t="shared" si="69"/>
        <v>2377</v>
      </c>
      <c r="O75" s="220">
        <f t="shared" si="69"/>
        <v>2386</v>
      </c>
      <c r="P75" s="220">
        <f t="shared" si="64"/>
        <v>2000</v>
      </c>
      <c r="Q75" s="220">
        <f t="shared" si="64"/>
        <v>2150</v>
      </c>
      <c r="R75" s="220">
        <f t="shared" si="64"/>
        <v>2150</v>
      </c>
      <c r="S75" s="220">
        <f t="shared" si="64"/>
        <v>2150</v>
      </c>
      <c r="T75" s="220">
        <f t="shared" si="64"/>
        <v>2000</v>
      </c>
      <c r="U75" s="220">
        <f t="shared" si="65"/>
        <v>467</v>
      </c>
      <c r="V75" s="220">
        <f t="shared" si="65"/>
        <v>364</v>
      </c>
      <c r="W75" s="220">
        <f t="shared" si="65"/>
        <v>123</v>
      </c>
      <c r="X75" s="220">
        <f t="shared" si="65"/>
        <v>227</v>
      </c>
      <c r="Y75" s="220">
        <f t="shared" si="65"/>
        <v>386</v>
      </c>
      <c r="Z75" s="220">
        <v>0</v>
      </c>
      <c r="AA75" s="220">
        <v>2</v>
      </c>
      <c r="AB75" s="220">
        <v>4</v>
      </c>
      <c r="AC75" s="220">
        <v>2</v>
      </c>
      <c r="AD75" s="220">
        <v>0</v>
      </c>
      <c r="AE75" s="220">
        <f t="shared" si="66"/>
        <v>-182</v>
      </c>
      <c r="AF75" s="220">
        <f t="shared" si="66"/>
        <v>-238</v>
      </c>
      <c r="AG75" s="220">
        <f t="shared" si="66"/>
        <v>-444</v>
      </c>
      <c r="AH75" s="220">
        <f t="shared" si="66"/>
        <v>-255</v>
      </c>
      <c r="AI75" s="220">
        <f t="shared" si="66"/>
        <v>-173</v>
      </c>
      <c r="AJ75" s="50">
        <f t="shared" si="12"/>
        <v>1.323000000000004</v>
      </c>
      <c r="AK75" s="257"/>
      <c r="AL75" s="257">
        <f t="shared" si="13"/>
        <v>1.2</v>
      </c>
      <c r="AM75" s="52"/>
      <c r="AN75" s="88"/>
    </row>
    <row r="76" spans="1:40" s="29" customFormat="1" ht="17.25" customHeight="1">
      <c r="A76" s="48">
        <v>66</v>
      </c>
      <c r="B76" s="49">
        <f t="shared" si="6"/>
        <v>45650</v>
      </c>
      <c r="C76" s="220">
        <f t="shared" si="7"/>
        <v>1049</v>
      </c>
      <c r="D76" s="220">
        <f t="shared" ref="D76" si="82">D75-26</f>
        <v>2102</v>
      </c>
      <c r="E76" s="220">
        <f t="shared" si="8"/>
        <v>3151</v>
      </c>
      <c r="F76" s="220">
        <f t="shared" ref="F76:F139" si="83">E76-K76</f>
        <v>685</v>
      </c>
      <c r="G76" s="220">
        <f t="shared" ref="G76:G139" si="84">E76-L76</f>
        <v>637</v>
      </c>
      <c r="H76" s="220">
        <f t="shared" ref="H76:H139" si="85">E76-M76</f>
        <v>882</v>
      </c>
      <c r="I76" s="220">
        <f t="shared" ref="I76:I139" si="86">E76-N76</f>
        <v>774</v>
      </c>
      <c r="J76" s="220">
        <f t="shared" ref="J76:J139" si="87">E76-O76</f>
        <v>765</v>
      </c>
      <c r="K76" s="220">
        <f t="shared" si="69"/>
        <v>2466</v>
      </c>
      <c r="L76" s="220">
        <f t="shared" si="69"/>
        <v>2514</v>
      </c>
      <c r="M76" s="220">
        <f t="shared" si="69"/>
        <v>2269</v>
      </c>
      <c r="N76" s="220">
        <f t="shared" si="69"/>
        <v>2377</v>
      </c>
      <c r="O76" s="220">
        <f t="shared" si="69"/>
        <v>2386</v>
      </c>
      <c r="P76" s="220">
        <f t="shared" si="64"/>
        <v>2000</v>
      </c>
      <c r="Q76" s="220">
        <f t="shared" si="64"/>
        <v>2150</v>
      </c>
      <c r="R76" s="220">
        <f t="shared" si="64"/>
        <v>2150</v>
      </c>
      <c r="S76" s="220">
        <f t="shared" si="64"/>
        <v>2150</v>
      </c>
      <c r="T76" s="220">
        <f t="shared" si="64"/>
        <v>2000</v>
      </c>
      <c r="U76" s="220">
        <f t="shared" si="65"/>
        <v>466</v>
      </c>
      <c r="V76" s="220">
        <f t="shared" si="65"/>
        <v>364</v>
      </c>
      <c r="W76" s="220">
        <f t="shared" si="65"/>
        <v>119</v>
      </c>
      <c r="X76" s="220">
        <f t="shared" si="65"/>
        <v>227</v>
      </c>
      <c r="Y76" s="220">
        <f t="shared" si="65"/>
        <v>386</v>
      </c>
      <c r="Z76" s="220">
        <v>1</v>
      </c>
      <c r="AA76" s="220">
        <v>0</v>
      </c>
      <c r="AB76" s="220">
        <v>4</v>
      </c>
      <c r="AC76" s="220">
        <v>0</v>
      </c>
      <c r="AD76" s="220">
        <v>0</v>
      </c>
      <c r="AE76" s="220">
        <f t="shared" si="66"/>
        <v>-183</v>
      </c>
      <c r="AF76" s="220">
        <f t="shared" si="66"/>
        <v>-238</v>
      </c>
      <c r="AG76" s="220">
        <f t="shared" si="66"/>
        <v>-448</v>
      </c>
      <c r="AH76" s="220">
        <f t="shared" si="66"/>
        <v>-255</v>
      </c>
      <c r="AI76" s="220">
        <f t="shared" si="66"/>
        <v>-173</v>
      </c>
      <c r="AJ76" s="50">
        <f t="shared" si="12"/>
        <v>1.3190000000000039</v>
      </c>
      <c r="AK76" s="257"/>
      <c r="AL76" s="257">
        <f t="shared" si="13"/>
        <v>1.2</v>
      </c>
      <c r="AM76" s="52"/>
      <c r="AN76" s="88"/>
    </row>
    <row r="77" spans="1:40" s="29" customFormat="1" ht="17.25" customHeight="1">
      <c r="A77" s="48">
        <v>67</v>
      </c>
      <c r="B77" s="49">
        <f t="shared" ref="B77:B140" si="88">B76+1</f>
        <v>45651</v>
      </c>
      <c r="C77" s="220">
        <f t="shared" ref="C77:C140" si="89">+C76</f>
        <v>1049</v>
      </c>
      <c r="D77" s="220">
        <f t="shared" ref="D77" si="90">D76+15</f>
        <v>2117</v>
      </c>
      <c r="E77" s="220">
        <f t="shared" ref="E77:E140" si="91">+C77+D77</f>
        <v>3166</v>
      </c>
      <c r="F77" s="220">
        <f t="shared" si="83"/>
        <v>700</v>
      </c>
      <c r="G77" s="220">
        <f t="shared" si="84"/>
        <v>652</v>
      </c>
      <c r="H77" s="220">
        <f t="shared" si="85"/>
        <v>901</v>
      </c>
      <c r="I77" s="220">
        <f t="shared" si="86"/>
        <v>792</v>
      </c>
      <c r="J77" s="220">
        <f t="shared" si="87"/>
        <v>780</v>
      </c>
      <c r="K77" s="220">
        <f t="shared" si="69"/>
        <v>2466</v>
      </c>
      <c r="L77" s="220">
        <f t="shared" si="69"/>
        <v>2514</v>
      </c>
      <c r="M77" s="220">
        <f t="shared" si="69"/>
        <v>2265</v>
      </c>
      <c r="N77" s="220">
        <f t="shared" si="69"/>
        <v>2374</v>
      </c>
      <c r="O77" s="220">
        <f t="shared" si="69"/>
        <v>2386</v>
      </c>
      <c r="P77" s="220">
        <f t="shared" ref="P77:T92" si="92">+P76</f>
        <v>2000</v>
      </c>
      <c r="Q77" s="220">
        <f t="shared" si="92"/>
        <v>2150</v>
      </c>
      <c r="R77" s="220">
        <f t="shared" si="92"/>
        <v>2150</v>
      </c>
      <c r="S77" s="220">
        <f t="shared" si="92"/>
        <v>2150</v>
      </c>
      <c r="T77" s="220">
        <f t="shared" si="92"/>
        <v>2000</v>
      </c>
      <c r="U77" s="220">
        <f t="shared" ref="U77:Y92" si="93">U76-Z77</f>
        <v>466</v>
      </c>
      <c r="V77" s="220">
        <f t="shared" si="93"/>
        <v>364</v>
      </c>
      <c r="W77" s="220">
        <f t="shared" si="93"/>
        <v>115</v>
      </c>
      <c r="X77" s="220">
        <f t="shared" si="93"/>
        <v>224</v>
      </c>
      <c r="Y77" s="220">
        <f t="shared" si="93"/>
        <v>386</v>
      </c>
      <c r="Z77" s="220">
        <v>0</v>
      </c>
      <c r="AA77" s="220">
        <v>0</v>
      </c>
      <c r="AB77" s="220">
        <v>4</v>
      </c>
      <c r="AC77" s="220">
        <v>3</v>
      </c>
      <c r="AD77" s="220">
        <v>0</v>
      </c>
      <c r="AE77" s="220">
        <f t="shared" ref="AE77:AI92" si="94">AE76-Z77</f>
        <v>-183</v>
      </c>
      <c r="AF77" s="220">
        <f t="shared" si="94"/>
        <v>-238</v>
      </c>
      <c r="AG77" s="220">
        <f t="shared" si="94"/>
        <v>-452</v>
      </c>
      <c r="AH77" s="220">
        <f t="shared" si="94"/>
        <v>-258</v>
      </c>
      <c r="AI77" s="220">
        <f t="shared" si="94"/>
        <v>-173</v>
      </c>
      <c r="AJ77" s="50">
        <f t="shared" ref="AJ77:AJ140" si="95">AJ76-AB77/1000+AK77</f>
        <v>1.3150000000000039</v>
      </c>
      <c r="AK77" s="257"/>
      <c r="AL77" s="257">
        <f t="shared" ref="AL77:AL140" si="96">AL76+AK77</f>
        <v>1.2</v>
      </c>
      <c r="AM77" s="52"/>
      <c r="AN77" s="88"/>
    </row>
    <row r="78" spans="1:40" s="29" customFormat="1" ht="17.25" customHeight="1">
      <c r="A78" s="48">
        <v>68</v>
      </c>
      <c r="B78" s="49">
        <f t="shared" si="88"/>
        <v>45652</v>
      </c>
      <c r="C78" s="220">
        <f t="shared" si="89"/>
        <v>1049</v>
      </c>
      <c r="D78" s="220">
        <f t="shared" ref="D78" si="97">D77+26</f>
        <v>2143</v>
      </c>
      <c r="E78" s="220">
        <f t="shared" si="91"/>
        <v>3192</v>
      </c>
      <c r="F78" s="220">
        <f t="shared" si="83"/>
        <v>726</v>
      </c>
      <c r="G78" s="220">
        <f t="shared" si="84"/>
        <v>678</v>
      </c>
      <c r="H78" s="220">
        <f t="shared" si="85"/>
        <v>931</v>
      </c>
      <c r="I78" s="220">
        <f t="shared" si="86"/>
        <v>818</v>
      </c>
      <c r="J78" s="220">
        <f t="shared" si="87"/>
        <v>806</v>
      </c>
      <c r="K78" s="220">
        <f t="shared" si="69"/>
        <v>2466</v>
      </c>
      <c r="L78" s="220">
        <f t="shared" si="69"/>
        <v>2514</v>
      </c>
      <c r="M78" s="220">
        <f t="shared" si="69"/>
        <v>2261</v>
      </c>
      <c r="N78" s="220">
        <f t="shared" si="69"/>
        <v>2374</v>
      </c>
      <c r="O78" s="220">
        <f t="shared" si="69"/>
        <v>2386</v>
      </c>
      <c r="P78" s="220">
        <f t="shared" si="92"/>
        <v>2000</v>
      </c>
      <c r="Q78" s="220">
        <f t="shared" si="92"/>
        <v>2150</v>
      </c>
      <c r="R78" s="220">
        <f t="shared" si="92"/>
        <v>2150</v>
      </c>
      <c r="S78" s="220">
        <f t="shared" si="92"/>
        <v>2150</v>
      </c>
      <c r="T78" s="220">
        <f t="shared" si="92"/>
        <v>2000</v>
      </c>
      <c r="U78" s="220">
        <f t="shared" si="93"/>
        <v>466</v>
      </c>
      <c r="V78" s="220">
        <f t="shared" si="93"/>
        <v>364</v>
      </c>
      <c r="W78" s="220">
        <f t="shared" si="93"/>
        <v>111</v>
      </c>
      <c r="X78" s="220">
        <f t="shared" si="93"/>
        <v>224</v>
      </c>
      <c r="Y78" s="220">
        <f t="shared" si="93"/>
        <v>386</v>
      </c>
      <c r="Z78" s="220">
        <v>0</v>
      </c>
      <c r="AA78" s="220">
        <v>0</v>
      </c>
      <c r="AB78" s="220">
        <v>4</v>
      </c>
      <c r="AC78" s="220">
        <v>0</v>
      </c>
      <c r="AD78" s="220">
        <v>0</v>
      </c>
      <c r="AE78" s="220">
        <f t="shared" si="94"/>
        <v>-183</v>
      </c>
      <c r="AF78" s="220">
        <f t="shared" si="94"/>
        <v>-238</v>
      </c>
      <c r="AG78" s="220">
        <f t="shared" si="94"/>
        <v>-456</v>
      </c>
      <c r="AH78" s="220">
        <f t="shared" si="94"/>
        <v>-258</v>
      </c>
      <c r="AI78" s="220">
        <f t="shared" si="94"/>
        <v>-173</v>
      </c>
      <c r="AJ78" s="50">
        <f t="shared" si="95"/>
        <v>1.3110000000000039</v>
      </c>
      <c r="AK78" s="257"/>
      <c r="AL78" s="257">
        <f t="shared" si="96"/>
        <v>1.2</v>
      </c>
      <c r="AM78" s="52"/>
      <c r="AN78" s="88"/>
    </row>
    <row r="79" spans="1:40" s="29" customFormat="1" ht="17.25" customHeight="1">
      <c r="A79" s="48">
        <v>69</v>
      </c>
      <c r="B79" s="49">
        <f t="shared" si="88"/>
        <v>45653</v>
      </c>
      <c r="C79" s="220">
        <f t="shared" si="89"/>
        <v>1049</v>
      </c>
      <c r="D79" s="220">
        <f t="shared" ref="D79" si="98">D78+32</f>
        <v>2175</v>
      </c>
      <c r="E79" s="220">
        <f t="shared" si="91"/>
        <v>3224</v>
      </c>
      <c r="F79" s="220">
        <f t="shared" si="83"/>
        <v>759</v>
      </c>
      <c r="G79" s="220">
        <f t="shared" si="84"/>
        <v>714</v>
      </c>
      <c r="H79" s="220">
        <f t="shared" si="85"/>
        <v>966</v>
      </c>
      <c r="I79" s="220">
        <f t="shared" si="86"/>
        <v>850</v>
      </c>
      <c r="J79" s="220">
        <f t="shared" si="87"/>
        <v>840</v>
      </c>
      <c r="K79" s="220">
        <f t="shared" si="69"/>
        <v>2465</v>
      </c>
      <c r="L79" s="220">
        <f t="shared" si="69"/>
        <v>2510</v>
      </c>
      <c r="M79" s="220">
        <f t="shared" si="69"/>
        <v>2258</v>
      </c>
      <c r="N79" s="220">
        <f t="shared" si="69"/>
        <v>2374</v>
      </c>
      <c r="O79" s="220">
        <f t="shared" si="69"/>
        <v>2384</v>
      </c>
      <c r="P79" s="220">
        <f t="shared" si="92"/>
        <v>2000</v>
      </c>
      <c r="Q79" s="220">
        <f t="shared" si="92"/>
        <v>2150</v>
      </c>
      <c r="R79" s="220">
        <f t="shared" si="92"/>
        <v>2150</v>
      </c>
      <c r="S79" s="220">
        <f t="shared" si="92"/>
        <v>2150</v>
      </c>
      <c r="T79" s="220">
        <f t="shared" si="92"/>
        <v>2000</v>
      </c>
      <c r="U79" s="220">
        <f t="shared" si="93"/>
        <v>465</v>
      </c>
      <c r="V79" s="220">
        <f t="shared" si="93"/>
        <v>360</v>
      </c>
      <c r="W79" s="220">
        <f t="shared" si="93"/>
        <v>108</v>
      </c>
      <c r="X79" s="220">
        <f t="shared" si="93"/>
        <v>224</v>
      </c>
      <c r="Y79" s="220">
        <f t="shared" si="93"/>
        <v>384</v>
      </c>
      <c r="Z79" s="220">
        <v>1</v>
      </c>
      <c r="AA79" s="220">
        <v>4</v>
      </c>
      <c r="AB79" s="220">
        <v>3</v>
      </c>
      <c r="AC79" s="220">
        <v>0</v>
      </c>
      <c r="AD79" s="220">
        <v>2</v>
      </c>
      <c r="AE79" s="220">
        <f t="shared" si="94"/>
        <v>-184</v>
      </c>
      <c r="AF79" s="220">
        <f t="shared" si="94"/>
        <v>-242</v>
      </c>
      <c r="AG79" s="220">
        <f t="shared" si="94"/>
        <v>-459</v>
      </c>
      <c r="AH79" s="220">
        <f t="shared" si="94"/>
        <v>-258</v>
      </c>
      <c r="AI79" s="220">
        <f t="shared" si="94"/>
        <v>-175</v>
      </c>
      <c r="AJ79" s="50">
        <f t="shared" si="95"/>
        <v>1.308000000000004</v>
      </c>
      <c r="AK79" s="257"/>
      <c r="AL79" s="257">
        <f t="shared" si="96"/>
        <v>1.2</v>
      </c>
      <c r="AM79" s="52"/>
      <c r="AN79" s="88"/>
    </row>
    <row r="80" spans="1:40" s="29" customFormat="1" ht="17.25" customHeight="1">
      <c r="A80" s="48">
        <v>70</v>
      </c>
      <c r="B80" s="49">
        <f t="shared" si="88"/>
        <v>45654</v>
      </c>
      <c r="C80" s="220">
        <f t="shared" si="89"/>
        <v>1049</v>
      </c>
      <c r="D80" s="220">
        <f t="shared" ref="D80" si="99">D79-18</f>
        <v>2157</v>
      </c>
      <c r="E80" s="220">
        <f t="shared" si="91"/>
        <v>3206</v>
      </c>
      <c r="F80" s="220">
        <f t="shared" si="83"/>
        <v>741</v>
      </c>
      <c r="G80" s="220">
        <f t="shared" si="84"/>
        <v>696</v>
      </c>
      <c r="H80" s="220">
        <f t="shared" si="85"/>
        <v>951</v>
      </c>
      <c r="I80" s="220">
        <f t="shared" si="86"/>
        <v>835</v>
      </c>
      <c r="J80" s="220">
        <f t="shared" si="87"/>
        <v>822</v>
      </c>
      <c r="K80" s="220">
        <f t="shared" si="69"/>
        <v>2465</v>
      </c>
      <c r="L80" s="220">
        <f t="shared" si="69"/>
        <v>2510</v>
      </c>
      <c r="M80" s="220">
        <f t="shared" si="69"/>
        <v>2255</v>
      </c>
      <c r="N80" s="220">
        <f t="shared" si="69"/>
        <v>2371</v>
      </c>
      <c r="O80" s="220">
        <f t="shared" si="69"/>
        <v>2384</v>
      </c>
      <c r="P80" s="220">
        <f t="shared" si="92"/>
        <v>2000</v>
      </c>
      <c r="Q80" s="220">
        <f t="shared" si="92"/>
        <v>2150</v>
      </c>
      <c r="R80" s="220">
        <f t="shared" si="92"/>
        <v>2150</v>
      </c>
      <c r="S80" s="220">
        <f t="shared" si="92"/>
        <v>2150</v>
      </c>
      <c r="T80" s="220">
        <f t="shared" si="92"/>
        <v>2000</v>
      </c>
      <c r="U80" s="220">
        <f t="shared" si="93"/>
        <v>465</v>
      </c>
      <c r="V80" s="220">
        <f t="shared" si="93"/>
        <v>360</v>
      </c>
      <c r="W80" s="220">
        <f t="shared" si="93"/>
        <v>105</v>
      </c>
      <c r="X80" s="220">
        <f t="shared" si="93"/>
        <v>221</v>
      </c>
      <c r="Y80" s="220">
        <f t="shared" si="93"/>
        <v>384</v>
      </c>
      <c r="Z80" s="220">
        <v>0</v>
      </c>
      <c r="AA80" s="220">
        <v>0</v>
      </c>
      <c r="AB80" s="220">
        <v>3</v>
      </c>
      <c r="AC80" s="220">
        <v>3</v>
      </c>
      <c r="AD80" s="220">
        <v>0</v>
      </c>
      <c r="AE80" s="220">
        <f t="shared" si="94"/>
        <v>-184</v>
      </c>
      <c r="AF80" s="220">
        <f t="shared" si="94"/>
        <v>-242</v>
      </c>
      <c r="AG80" s="220">
        <f t="shared" si="94"/>
        <v>-462</v>
      </c>
      <c r="AH80" s="220">
        <f t="shared" si="94"/>
        <v>-261</v>
      </c>
      <c r="AI80" s="220">
        <f t="shared" si="94"/>
        <v>-175</v>
      </c>
      <c r="AJ80" s="50">
        <f t="shared" si="95"/>
        <v>1.3050000000000042</v>
      </c>
      <c r="AK80" s="257"/>
      <c r="AL80" s="257">
        <f t="shared" si="96"/>
        <v>1.2</v>
      </c>
      <c r="AM80" s="52"/>
      <c r="AN80" s="88"/>
    </row>
    <row r="81" spans="1:40" s="29" customFormat="1" ht="17.25" customHeight="1">
      <c r="A81" s="48">
        <v>71</v>
      </c>
      <c r="B81" s="49">
        <f t="shared" si="88"/>
        <v>45655</v>
      </c>
      <c r="C81" s="220">
        <f t="shared" si="89"/>
        <v>1049</v>
      </c>
      <c r="D81" s="220">
        <f t="shared" ref="D81" si="100">D80-26</f>
        <v>2131</v>
      </c>
      <c r="E81" s="220">
        <f t="shared" si="91"/>
        <v>3180</v>
      </c>
      <c r="F81" s="220">
        <f t="shared" si="83"/>
        <v>716</v>
      </c>
      <c r="G81" s="220">
        <f t="shared" si="84"/>
        <v>670</v>
      </c>
      <c r="H81" s="220">
        <f t="shared" si="85"/>
        <v>928</v>
      </c>
      <c r="I81" s="220">
        <f t="shared" si="86"/>
        <v>812</v>
      </c>
      <c r="J81" s="220">
        <f t="shared" si="87"/>
        <v>796</v>
      </c>
      <c r="K81" s="220">
        <f t="shared" si="69"/>
        <v>2464</v>
      </c>
      <c r="L81" s="220">
        <f t="shared" si="69"/>
        <v>2510</v>
      </c>
      <c r="M81" s="220">
        <f t="shared" si="69"/>
        <v>2252</v>
      </c>
      <c r="N81" s="220">
        <f t="shared" si="69"/>
        <v>2368</v>
      </c>
      <c r="O81" s="220">
        <f t="shared" si="69"/>
        <v>2384</v>
      </c>
      <c r="P81" s="220">
        <f t="shared" si="92"/>
        <v>2000</v>
      </c>
      <c r="Q81" s="220">
        <f t="shared" si="92"/>
        <v>2150</v>
      </c>
      <c r="R81" s="220">
        <f t="shared" si="92"/>
        <v>2150</v>
      </c>
      <c r="S81" s="220">
        <f t="shared" si="92"/>
        <v>2150</v>
      </c>
      <c r="T81" s="220">
        <f t="shared" si="92"/>
        <v>2000</v>
      </c>
      <c r="U81" s="220">
        <f t="shared" si="93"/>
        <v>464</v>
      </c>
      <c r="V81" s="220">
        <f t="shared" si="93"/>
        <v>360</v>
      </c>
      <c r="W81" s="220">
        <f t="shared" si="93"/>
        <v>102</v>
      </c>
      <c r="X81" s="220">
        <f t="shared" si="93"/>
        <v>218</v>
      </c>
      <c r="Y81" s="220">
        <f t="shared" si="93"/>
        <v>384</v>
      </c>
      <c r="Z81" s="220">
        <v>1</v>
      </c>
      <c r="AA81" s="220">
        <v>0</v>
      </c>
      <c r="AB81" s="220">
        <v>3</v>
      </c>
      <c r="AC81" s="220">
        <v>3</v>
      </c>
      <c r="AD81" s="220">
        <v>0</v>
      </c>
      <c r="AE81" s="220">
        <f t="shared" si="94"/>
        <v>-185</v>
      </c>
      <c r="AF81" s="220">
        <f t="shared" si="94"/>
        <v>-242</v>
      </c>
      <c r="AG81" s="220">
        <f t="shared" si="94"/>
        <v>-465</v>
      </c>
      <c r="AH81" s="220">
        <f t="shared" si="94"/>
        <v>-264</v>
      </c>
      <c r="AI81" s="220">
        <f t="shared" si="94"/>
        <v>-175</v>
      </c>
      <c r="AJ81" s="50">
        <f t="shared" si="95"/>
        <v>1.3020000000000043</v>
      </c>
      <c r="AK81" s="257"/>
      <c r="AL81" s="257">
        <f t="shared" si="96"/>
        <v>1.2</v>
      </c>
      <c r="AM81" s="52"/>
      <c r="AN81" s="88"/>
    </row>
    <row r="82" spans="1:40" s="29" customFormat="1" ht="17.25" customHeight="1">
      <c r="A82" s="48">
        <v>72</v>
      </c>
      <c r="B82" s="49">
        <f t="shared" si="88"/>
        <v>45656</v>
      </c>
      <c r="C82" s="220">
        <f t="shared" si="89"/>
        <v>1049</v>
      </c>
      <c r="D82" s="220">
        <f t="shared" ref="D82" si="101">D81+15</f>
        <v>2146</v>
      </c>
      <c r="E82" s="220">
        <f t="shared" si="91"/>
        <v>3195</v>
      </c>
      <c r="F82" s="220">
        <f t="shared" si="83"/>
        <v>731</v>
      </c>
      <c r="G82" s="220">
        <f t="shared" si="84"/>
        <v>687</v>
      </c>
      <c r="H82" s="220">
        <f t="shared" si="85"/>
        <v>946</v>
      </c>
      <c r="I82" s="220">
        <f t="shared" si="86"/>
        <v>829</v>
      </c>
      <c r="J82" s="220">
        <f t="shared" si="87"/>
        <v>811</v>
      </c>
      <c r="K82" s="220">
        <f t="shared" si="69"/>
        <v>2464</v>
      </c>
      <c r="L82" s="220">
        <f t="shared" si="69"/>
        <v>2508</v>
      </c>
      <c r="M82" s="220">
        <f t="shared" si="69"/>
        <v>2249</v>
      </c>
      <c r="N82" s="220">
        <f t="shared" si="69"/>
        <v>2366</v>
      </c>
      <c r="O82" s="220">
        <f t="shared" si="69"/>
        <v>2384</v>
      </c>
      <c r="P82" s="220">
        <f t="shared" si="92"/>
        <v>2000</v>
      </c>
      <c r="Q82" s="220">
        <f t="shared" si="92"/>
        <v>2150</v>
      </c>
      <c r="R82" s="220">
        <f t="shared" si="92"/>
        <v>2150</v>
      </c>
      <c r="S82" s="220">
        <f t="shared" si="92"/>
        <v>2150</v>
      </c>
      <c r="T82" s="220">
        <f t="shared" si="92"/>
        <v>2000</v>
      </c>
      <c r="U82" s="220">
        <f t="shared" si="93"/>
        <v>464</v>
      </c>
      <c r="V82" s="220">
        <f t="shared" si="93"/>
        <v>358</v>
      </c>
      <c r="W82" s="220">
        <f t="shared" si="93"/>
        <v>99</v>
      </c>
      <c r="X82" s="220">
        <f t="shared" si="93"/>
        <v>216</v>
      </c>
      <c r="Y82" s="220">
        <f t="shared" si="93"/>
        <v>384</v>
      </c>
      <c r="Z82" s="220">
        <v>0</v>
      </c>
      <c r="AA82" s="220">
        <v>2</v>
      </c>
      <c r="AB82" s="220">
        <v>3</v>
      </c>
      <c r="AC82" s="220">
        <v>2</v>
      </c>
      <c r="AD82" s="220">
        <v>0</v>
      </c>
      <c r="AE82" s="220">
        <f t="shared" si="94"/>
        <v>-185</v>
      </c>
      <c r="AF82" s="220">
        <f t="shared" si="94"/>
        <v>-244</v>
      </c>
      <c r="AG82" s="220">
        <f t="shared" si="94"/>
        <v>-468</v>
      </c>
      <c r="AH82" s="220">
        <f t="shared" si="94"/>
        <v>-266</v>
      </c>
      <c r="AI82" s="220">
        <f t="shared" si="94"/>
        <v>-175</v>
      </c>
      <c r="AJ82" s="50">
        <f t="shared" si="95"/>
        <v>1.2990000000000044</v>
      </c>
      <c r="AK82" s="257"/>
      <c r="AL82" s="257">
        <f t="shared" si="96"/>
        <v>1.2</v>
      </c>
      <c r="AM82" s="52"/>
      <c r="AN82" s="88"/>
    </row>
    <row r="83" spans="1:40" s="29" customFormat="1" ht="17.25" customHeight="1">
      <c r="A83" s="48">
        <v>73</v>
      </c>
      <c r="B83" s="49">
        <f t="shared" si="88"/>
        <v>45657</v>
      </c>
      <c r="C83" s="220">
        <f t="shared" si="89"/>
        <v>1049</v>
      </c>
      <c r="D83" s="220">
        <f t="shared" ref="D83" si="102">D82+26</f>
        <v>2172</v>
      </c>
      <c r="E83" s="220">
        <f t="shared" si="91"/>
        <v>3221</v>
      </c>
      <c r="F83" s="220">
        <f t="shared" si="83"/>
        <v>758</v>
      </c>
      <c r="G83" s="220">
        <f t="shared" si="84"/>
        <v>716</v>
      </c>
      <c r="H83" s="220">
        <f t="shared" si="85"/>
        <v>975</v>
      </c>
      <c r="I83" s="220">
        <f t="shared" si="86"/>
        <v>855</v>
      </c>
      <c r="J83" s="220">
        <f t="shared" si="87"/>
        <v>837</v>
      </c>
      <c r="K83" s="220">
        <f t="shared" si="69"/>
        <v>2463</v>
      </c>
      <c r="L83" s="220">
        <f t="shared" si="69"/>
        <v>2505</v>
      </c>
      <c r="M83" s="220">
        <f t="shared" si="69"/>
        <v>2246</v>
      </c>
      <c r="N83" s="220">
        <f t="shared" si="69"/>
        <v>2366</v>
      </c>
      <c r="O83" s="220">
        <f t="shared" si="69"/>
        <v>2384</v>
      </c>
      <c r="P83" s="220">
        <f t="shared" si="92"/>
        <v>2000</v>
      </c>
      <c r="Q83" s="220">
        <f t="shared" si="92"/>
        <v>2150</v>
      </c>
      <c r="R83" s="220">
        <f t="shared" si="92"/>
        <v>2150</v>
      </c>
      <c r="S83" s="220">
        <f t="shared" si="92"/>
        <v>2150</v>
      </c>
      <c r="T83" s="220">
        <f t="shared" si="92"/>
        <v>2000</v>
      </c>
      <c r="U83" s="220">
        <f t="shared" si="93"/>
        <v>463</v>
      </c>
      <c r="V83" s="220">
        <f t="shared" si="93"/>
        <v>355</v>
      </c>
      <c r="W83" s="220">
        <f t="shared" si="93"/>
        <v>96</v>
      </c>
      <c r="X83" s="220">
        <f t="shared" si="93"/>
        <v>216</v>
      </c>
      <c r="Y83" s="220">
        <f t="shared" si="93"/>
        <v>384</v>
      </c>
      <c r="Z83" s="220">
        <v>1</v>
      </c>
      <c r="AA83" s="220">
        <v>3</v>
      </c>
      <c r="AB83" s="220">
        <v>3</v>
      </c>
      <c r="AC83" s="220">
        <v>0</v>
      </c>
      <c r="AD83" s="220">
        <v>0</v>
      </c>
      <c r="AE83" s="220">
        <f t="shared" si="94"/>
        <v>-186</v>
      </c>
      <c r="AF83" s="220">
        <f t="shared" si="94"/>
        <v>-247</v>
      </c>
      <c r="AG83" s="220">
        <f t="shared" si="94"/>
        <v>-471</v>
      </c>
      <c r="AH83" s="220">
        <f t="shared" si="94"/>
        <v>-266</v>
      </c>
      <c r="AI83" s="220">
        <f t="shared" si="94"/>
        <v>-175</v>
      </c>
      <c r="AJ83" s="50">
        <f t="shared" si="95"/>
        <v>1.2960000000000045</v>
      </c>
      <c r="AK83" s="257"/>
      <c r="AL83" s="257">
        <f t="shared" si="96"/>
        <v>1.2</v>
      </c>
      <c r="AM83" s="52"/>
      <c r="AN83" s="88"/>
    </row>
    <row r="84" spans="1:40" s="29" customFormat="1" ht="17.25" customHeight="1">
      <c r="A84" s="48">
        <v>74</v>
      </c>
      <c r="B84" s="49">
        <f t="shared" si="88"/>
        <v>45658</v>
      </c>
      <c r="C84" s="220">
        <f t="shared" si="89"/>
        <v>1049</v>
      </c>
      <c r="D84" s="220">
        <f t="shared" ref="D84" si="103">D83+32</f>
        <v>2204</v>
      </c>
      <c r="E84" s="220">
        <f t="shared" si="91"/>
        <v>3253</v>
      </c>
      <c r="F84" s="220">
        <f t="shared" si="83"/>
        <v>790</v>
      </c>
      <c r="G84" s="220">
        <f t="shared" si="84"/>
        <v>748</v>
      </c>
      <c r="H84" s="220">
        <f t="shared" si="85"/>
        <v>1009</v>
      </c>
      <c r="I84" s="220">
        <f t="shared" si="86"/>
        <v>887</v>
      </c>
      <c r="J84" s="220">
        <f t="shared" si="87"/>
        <v>869</v>
      </c>
      <c r="K84" s="220">
        <f t="shared" si="69"/>
        <v>2463</v>
      </c>
      <c r="L84" s="220">
        <f t="shared" si="69"/>
        <v>2505</v>
      </c>
      <c r="M84" s="220">
        <f t="shared" si="69"/>
        <v>2244</v>
      </c>
      <c r="N84" s="220">
        <f t="shared" si="69"/>
        <v>2366</v>
      </c>
      <c r="O84" s="220">
        <f t="shared" si="69"/>
        <v>2384</v>
      </c>
      <c r="P84" s="220">
        <f t="shared" si="92"/>
        <v>2000</v>
      </c>
      <c r="Q84" s="220">
        <f t="shared" si="92"/>
        <v>2150</v>
      </c>
      <c r="R84" s="220">
        <f t="shared" si="92"/>
        <v>2150</v>
      </c>
      <c r="S84" s="220">
        <f t="shared" si="92"/>
        <v>2150</v>
      </c>
      <c r="T84" s="220">
        <f t="shared" si="92"/>
        <v>2000</v>
      </c>
      <c r="U84" s="220">
        <f t="shared" si="93"/>
        <v>463</v>
      </c>
      <c r="V84" s="220">
        <f t="shared" si="93"/>
        <v>355</v>
      </c>
      <c r="W84" s="220">
        <f t="shared" si="93"/>
        <v>94</v>
      </c>
      <c r="X84" s="220">
        <f t="shared" si="93"/>
        <v>216</v>
      </c>
      <c r="Y84" s="220">
        <f t="shared" si="93"/>
        <v>384</v>
      </c>
      <c r="Z84" s="220">
        <v>0</v>
      </c>
      <c r="AA84" s="220">
        <v>0</v>
      </c>
      <c r="AB84" s="220">
        <v>2</v>
      </c>
      <c r="AC84" s="220">
        <v>0</v>
      </c>
      <c r="AD84" s="220">
        <v>0</v>
      </c>
      <c r="AE84" s="220">
        <f t="shared" si="94"/>
        <v>-186</v>
      </c>
      <c r="AF84" s="220">
        <f t="shared" si="94"/>
        <v>-247</v>
      </c>
      <c r="AG84" s="220">
        <f t="shared" si="94"/>
        <v>-473</v>
      </c>
      <c r="AH84" s="220">
        <f t="shared" si="94"/>
        <v>-266</v>
      </c>
      <c r="AI84" s="220">
        <f t="shared" si="94"/>
        <v>-175</v>
      </c>
      <c r="AJ84" s="50">
        <f t="shared" si="95"/>
        <v>1.2940000000000045</v>
      </c>
      <c r="AK84" s="257"/>
      <c r="AL84" s="257">
        <f t="shared" si="96"/>
        <v>1.2</v>
      </c>
      <c r="AM84" s="52"/>
      <c r="AN84" s="88"/>
    </row>
    <row r="85" spans="1:40" s="29" customFormat="1" ht="17.25" customHeight="1">
      <c r="A85" s="48">
        <v>75</v>
      </c>
      <c r="B85" s="49">
        <f t="shared" si="88"/>
        <v>45659</v>
      </c>
      <c r="C85" s="220">
        <f t="shared" si="89"/>
        <v>1049</v>
      </c>
      <c r="D85" s="220">
        <f t="shared" ref="D85" si="104">D84-18</f>
        <v>2186</v>
      </c>
      <c r="E85" s="220">
        <f t="shared" si="91"/>
        <v>3235</v>
      </c>
      <c r="F85" s="220">
        <f t="shared" si="83"/>
        <v>773</v>
      </c>
      <c r="G85" s="220">
        <f t="shared" si="84"/>
        <v>731</v>
      </c>
      <c r="H85" s="220">
        <f t="shared" si="85"/>
        <v>993</v>
      </c>
      <c r="I85" s="220">
        <f t="shared" si="86"/>
        <v>870</v>
      </c>
      <c r="J85" s="220">
        <f t="shared" si="87"/>
        <v>851</v>
      </c>
      <c r="K85" s="220">
        <f t="shared" si="69"/>
        <v>2462</v>
      </c>
      <c r="L85" s="220">
        <f t="shared" si="69"/>
        <v>2504</v>
      </c>
      <c r="M85" s="220">
        <f t="shared" si="69"/>
        <v>2242</v>
      </c>
      <c r="N85" s="220">
        <f t="shared" si="69"/>
        <v>2365</v>
      </c>
      <c r="O85" s="220">
        <f t="shared" si="69"/>
        <v>2384</v>
      </c>
      <c r="P85" s="220">
        <f t="shared" si="92"/>
        <v>2000</v>
      </c>
      <c r="Q85" s="220">
        <f t="shared" si="92"/>
        <v>2150</v>
      </c>
      <c r="R85" s="220">
        <f t="shared" si="92"/>
        <v>2150</v>
      </c>
      <c r="S85" s="220">
        <f t="shared" si="92"/>
        <v>2150</v>
      </c>
      <c r="T85" s="220">
        <f t="shared" si="92"/>
        <v>2000</v>
      </c>
      <c r="U85" s="220">
        <f t="shared" si="93"/>
        <v>462</v>
      </c>
      <c r="V85" s="220">
        <f t="shared" si="93"/>
        <v>354</v>
      </c>
      <c r="W85" s="220">
        <f t="shared" si="93"/>
        <v>92</v>
      </c>
      <c r="X85" s="220">
        <f t="shared" si="93"/>
        <v>215</v>
      </c>
      <c r="Y85" s="220">
        <f t="shared" si="93"/>
        <v>384</v>
      </c>
      <c r="Z85" s="220">
        <v>1</v>
      </c>
      <c r="AA85" s="220">
        <v>1</v>
      </c>
      <c r="AB85" s="220">
        <v>2</v>
      </c>
      <c r="AC85" s="220">
        <v>1</v>
      </c>
      <c r="AD85" s="220">
        <v>0</v>
      </c>
      <c r="AE85" s="220">
        <f t="shared" si="94"/>
        <v>-187</v>
      </c>
      <c r="AF85" s="220">
        <f t="shared" si="94"/>
        <v>-248</v>
      </c>
      <c r="AG85" s="220">
        <f t="shared" si="94"/>
        <v>-475</v>
      </c>
      <c r="AH85" s="220">
        <f t="shared" si="94"/>
        <v>-267</v>
      </c>
      <c r="AI85" s="220">
        <f t="shared" si="94"/>
        <v>-175</v>
      </c>
      <c r="AJ85" s="50">
        <f t="shared" si="95"/>
        <v>1.2920000000000045</v>
      </c>
      <c r="AK85" s="257"/>
      <c r="AL85" s="257">
        <f t="shared" si="96"/>
        <v>1.2</v>
      </c>
      <c r="AM85" s="52"/>
      <c r="AN85" s="88"/>
    </row>
    <row r="86" spans="1:40" s="29" customFormat="1" ht="17.25" customHeight="1">
      <c r="A86" s="48">
        <v>76</v>
      </c>
      <c r="B86" s="49">
        <f t="shared" si="88"/>
        <v>45660</v>
      </c>
      <c r="C86" s="220">
        <f t="shared" si="89"/>
        <v>1049</v>
      </c>
      <c r="D86" s="220">
        <f t="shared" ref="D86" si="105">D85-26</f>
        <v>2160</v>
      </c>
      <c r="E86" s="220">
        <f t="shared" si="91"/>
        <v>3209</v>
      </c>
      <c r="F86" s="220">
        <f t="shared" si="83"/>
        <v>747</v>
      </c>
      <c r="G86" s="220">
        <f t="shared" si="84"/>
        <v>706</v>
      </c>
      <c r="H86" s="220">
        <f t="shared" si="85"/>
        <v>969</v>
      </c>
      <c r="I86" s="220">
        <f t="shared" si="86"/>
        <v>845</v>
      </c>
      <c r="J86" s="220">
        <f t="shared" si="87"/>
        <v>825</v>
      </c>
      <c r="K86" s="220">
        <f t="shared" si="69"/>
        <v>2462</v>
      </c>
      <c r="L86" s="220">
        <f t="shared" si="69"/>
        <v>2503</v>
      </c>
      <c r="M86" s="220">
        <f t="shared" si="69"/>
        <v>2240</v>
      </c>
      <c r="N86" s="220">
        <f t="shared" si="69"/>
        <v>2364</v>
      </c>
      <c r="O86" s="220">
        <f t="shared" si="69"/>
        <v>2384</v>
      </c>
      <c r="P86" s="220">
        <f t="shared" si="92"/>
        <v>2000</v>
      </c>
      <c r="Q86" s="220">
        <f t="shared" si="92"/>
        <v>2150</v>
      </c>
      <c r="R86" s="220">
        <f t="shared" si="92"/>
        <v>2150</v>
      </c>
      <c r="S86" s="220">
        <f t="shared" si="92"/>
        <v>2150</v>
      </c>
      <c r="T86" s="220">
        <f t="shared" si="92"/>
        <v>2000</v>
      </c>
      <c r="U86" s="220">
        <f t="shared" si="93"/>
        <v>462</v>
      </c>
      <c r="V86" s="220">
        <f t="shared" si="93"/>
        <v>353</v>
      </c>
      <c r="W86" s="220">
        <f t="shared" si="93"/>
        <v>90</v>
      </c>
      <c r="X86" s="220">
        <f t="shared" si="93"/>
        <v>214</v>
      </c>
      <c r="Y86" s="220">
        <f t="shared" si="93"/>
        <v>384</v>
      </c>
      <c r="Z86" s="220">
        <v>0</v>
      </c>
      <c r="AA86" s="220">
        <v>1</v>
      </c>
      <c r="AB86" s="220">
        <v>2</v>
      </c>
      <c r="AC86" s="220">
        <v>1</v>
      </c>
      <c r="AD86" s="220">
        <v>0</v>
      </c>
      <c r="AE86" s="220">
        <f t="shared" si="94"/>
        <v>-187</v>
      </c>
      <c r="AF86" s="220">
        <f t="shared" si="94"/>
        <v>-249</v>
      </c>
      <c r="AG86" s="220">
        <f t="shared" si="94"/>
        <v>-477</v>
      </c>
      <c r="AH86" s="220">
        <f t="shared" si="94"/>
        <v>-268</v>
      </c>
      <c r="AI86" s="220">
        <f t="shared" si="94"/>
        <v>-175</v>
      </c>
      <c r="AJ86" s="50">
        <f t="shared" si="95"/>
        <v>1.2900000000000045</v>
      </c>
      <c r="AK86" s="257"/>
      <c r="AL86" s="257">
        <f t="shared" si="96"/>
        <v>1.2</v>
      </c>
      <c r="AM86" s="52"/>
      <c r="AN86" s="88"/>
    </row>
    <row r="87" spans="1:40" s="29" customFormat="1" ht="17.25" customHeight="1">
      <c r="A87" s="48">
        <v>77</v>
      </c>
      <c r="B87" s="49">
        <f t="shared" si="88"/>
        <v>45661</v>
      </c>
      <c r="C87" s="220">
        <f t="shared" si="89"/>
        <v>1049</v>
      </c>
      <c r="D87" s="220">
        <f t="shared" ref="D87" si="106">D86+15</f>
        <v>2175</v>
      </c>
      <c r="E87" s="220">
        <f t="shared" si="91"/>
        <v>3224</v>
      </c>
      <c r="F87" s="220">
        <f t="shared" si="83"/>
        <v>763</v>
      </c>
      <c r="G87" s="220">
        <f t="shared" si="84"/>
        <v>724</v>
      </c>
      <c r="H87" s="220">
        <f t="shared" si="85"/>
        <v>986</v>
      </c>
      <c r="I87" s="220">
        <f t="shared" si="86"/>
        <v>860</v>
      </c>
      <c r="J87" s="220">
        <f t="shared" si="87"/>
        <v>840</v>
      </c>
      <c r="K87" s="220">
        <f t="shared" si="69"/>
        <v>2461</v>
      </c>
      <c r="L87" s="220">
        <f t="shared" si="69"/>
        <v>2500</v>
      </c>
      <c r="M87" s="220">
        <f t="shared" si="69"/>
        <v>2238</v>
      </c>
      <c r="N87" s="220">
        <f t="shared" si="69"/>
        <v>2364</v>
      </c>
      <c r="O87" s="220">
        <f t="shared" si="69"/>
        <v>2384</v>
      </c>
      <c r="P87" s="220">
        <f t="shared" si="92"/>
        <v>2000</v>
      </c>
      <c r="Q87" s="220">
        <f t="shared" si="92"/>
        <v>2150</v>
      </c>
      <c r="R87" s="220">
        <f t="shared" si="92"/>
        <v>2150</v>
      </c>
      <c r="S87" s="220">
        <f t="shared" si="92"/>
        <v>2150</v>
      </c>
      <c r="T87" s="220">
        <f t="shared" si="92"/>
        <v>2000</v>
      </c>
      <c r="U87" s="220">
        <f t="shared" si="93"/>
        <v>461</v>
      </c>
      <c r="V87" s="220">
        <f t="shared" si="93"/>
        <v>350</v>
      </c>
      <c r="W87" s="220">
        <f t="shared" si="93"/>
        <v>88</v>
      </c>
      <c r="X87" s="220">
        <f t="shared" si="93"/>
        <v>214</v>
      </c>
      <c r="Y87" s="220">
        <f t="shared" si="93"/>
        <v>384</v>
      </c>
      <c r="Z87" s="220">
        <v>1</v>
      </c>
      <c r="AA87" s="220">
        <v>3</v>
      </c>
      <c r="AB87" s="220">
        <v>2</v>
      </c>
      <c r="AC87" s="220">
        <v>0</v>
      </c>
      <c r="AD87" s="220">
        <v>0</v>
      </c>
      <c r="AE87" s="220">
        <f t="shared" si="94"/>
        <v>-188</v>
      </c>
      <c r="AF87" s="220">
        <f t="shared" si="94"/>
        <v>-252</v>
      </c>
      <c r="AG87" s="220">
        <f t="shared" si="94"/>
        <v>-479</v>
      </c>
      <c r="AH87" s="220">
        <f t="shared" si="94"/>
        <v>-268</v>
      </c>
      <c r="AI87" s="220">
        <f t="shared" si="94"/>
        <v>-175</v>
      </c>
      <c r="AJ87" s="50">
        <f t="shared" si="95"/>
        <v>1.2880000000000045</v>
      </c>
      <c r="AK87" s="257"/>
      <c r="AL87" s="257">
        <f t="shared" si="96"/>
        <v>1.2</v>
      </c>
      <c r="AM87" s="52"/>
      <c r="AN87" s="88"/>
    </row>
    <row r="88" spans="1:40" s="29" customFormat="1" ht="17.25" customHeight="1">
      <c r="A88" s="48">
        <v>78</v>
      </c>
      <c r="B88" s="49">
        <f t="shared" si="88"/>
        <v>45662</v>
      </c>
      <c r="C88" s="220">
        <f t="shared" si="89"/>
        <v>1049</v>
      </c>
      <c r="D88" s="220">
        <f t="shared" ref="D88" si="107">D87+26</f>
        <v>2201</v>
      </c>
      <c r="E88" s="220">
        <f t="shared" si="91"/>
        <v>3250</v>
      </c>
      <c r="F88" s="220">
        <f t="shared" si="83"/>
        <v>790</v>
      </c>
      <c r="G88" s="220">
        <f t="shared" si="84"/>
        <v>751</v>
      </c>
      <c r="H88" s="220">
        <f t="shared" si="85"/>
        <v>1014</v>
      </c>
      <c r="I88" s="220">
        <f t="shared" si="86"/>
        <v>887</v>
      </c>
      <c r="J88" s="220">
        <f t="shared" si="87"/>
        <v>866</v>
      </c>
      <c r="K88" s="220">
        <f t="shared" si="69"/>
        <v>2460</v>
      </c>
      <c r="L88" s="220">
        <f t="shared" si="69"/>
        <v>2499</v>
      </c>
      <c r="M88" s="220">
        <f t="shared" si="69"/>
        <v>2236</v>
      </c>
      <c r="N88" s="220">
        <f t="shared" si="69"/>
        <v>2363</v>
      </c>
      <c r="O88" s="220">
        <f t="shared" si="69"/>
        <v>2384</v>
      </c>
      <c r="P88" s="220">
        <f t="shared" si="92"/>
        <v>2000</v>
      </c>
      <c r="Q88" s="220">
        <f t="shared" si="92"/>
        <v>2150</v>
      </c>
      <c r="R88" s="220">
        <f t="shared" si="92"/>
        <v>2150</v>
      </c>
      <c r="S88" s="220">
        <f t="shared" si="92"/>
        <v>2150</v>
      </c>
      <c r="T88" s="220">
        <f t="shared" si="92"/>
        <v>2000</v>
      </c>
      <c r="U88" s="220">
        <f t="shared" si="93"/>
        <v>460</v>
      </c>
      <c r="V88" s="220">
        <f t="shared" si="93"/>
        <v>349</v>
      </c>
      <c r="W88" s="220">
        <f t="shared" si="93"/>
        <v>86</v>
      </c>
      <c r="X88" s="220">
        <f t="shared" si="93"/>
        <v>213</v>
      </c>
      <c r="Y88" s="220">
        <f t="shared" si="93"/>
        <v>384</v>
      </c>
      <c r="Z88" s="220">
        <v>1</v>
      </c>
      <c r="AA88" s="220">
        <v>1</v>
      </c>
      <c r="AB88" s="220">
        <v>2</v>
      </c>
      <c r="AC88" s="220">
        <v>1</v>
      </c>
      <c r="AD88" s="220">
        <v>0</v>
      </c>
      <c r="AE88" s="220">
        <f t="shared" si="94"/>
        <v>-189</v>
      </c>
      <c r="AF88" s="220">
        <f t="shared" si="94"/>
        <v>-253</v>
      </c>
      <c r="AG88" s="220">
        <f t="shared" si="94"/>
        <v>-481</v>
      </c>
      <c r="AH88" s="220">
        <f t="shared" si="94"/>
        <v>-269</v>
      </c>
      <c r="AI88" s="220">
        <f t="shared" si="94"/>
        <v>-175</v>
      </c>
      <c r="AJ88" s="50">
        <f t="shared" si="95"/>
        <v>1.2860000000000045</v>
      </c>
      <c r="AK88" s="257"/>
      <c r="AL88" s="257">
        <f t="shared" si="96"/>
        <v>1.2</v>
      </c>
      <c r="AM88" s="52"/>
      <c r="AN88" s="88"/>
    </row>
    <row r="89" spans="1:40" s="29" customFormat="1" ht="17.25" customHeight="1">
      <c r="A89" s="48">
        <v>79</v>
      </c>
      <c r="B89" s="49">
        <f t="shared" si="88"/>
        <v>45663</v>
      </c>
      <c r="C89" s="220">
        <f t="shared" si="89"/>
        <v>1049</v>
      </c>
      <c r="D89" s="220">
        <f t="shared" ref="D89" si="108">D88+32</f>
        <v>2233</v>
      </c>
      <c r="E89" s="220">
        <f t="shared" si="91"/>
        <v>3282</v>
      </c>
      <c r="F89" s="220">
        <f t="shared" si="83"/>
        <v>822</v>
      </c>
      <c r="G89" s="220">
        <f t="shared" si="84"/>
        <v>783</v>
      </c>
      <c r="H89" s="220">
        <f t="shared" si="85"/>
        <v>1048</v>
      </c>
      <c r="I89" s="220">
        <f t="shared" si="86"/>
        <v>922</v>
      </c>
      <c r="J89" s="220">
        <f t="shared" si="87"/>
        <v>899</v>
      </c>
      <c r="K89" s="220">
        <f t="shared" si="69"/>
        <v>2460</v>
      </c>
      <c r="L89" s="220">
        <f t="shared" si="69"/>
        <v>2499</v>
      </c>
      <c r="M89" s="220">
        <f t="shared" si="69"/>
        <v>2234</v>
      </c>
      <c r="N89" s="220">
        <f t="shared" si="69"/>
        <v>2360</v>
      </c>
      <c r="O89" s="220">
        <f t="shared" si="69"/>
        <v>2383</v>
      </c>
      <c r="P89" s="220">
        <f t="shared" si="92"/>
        <v>2000</v>
      </c>
      <c r="Q89" s="220">
        <f t="shared" si="92"/>
        <v>2150</v>
      </c>
      <c r="R89" s="220">
        <f t="shared" si="92"/>
        <v>2150</v>
      </c>
      <c r="S89" s="220">
        <f t="shared" si="92"/>
        <v>2150</v>
      </c>
      <c r="T89" s="220">
        <f t="shared" si="92"/>
        <v>2000</v>
      </c>
      <c r="U89" s="220">
        <f t="shared" si="93"/>
        <v>460</v>
      </c>
      <c r="V89" s="220">
        <f t="shared" si="93"/>
        <v>349</v>
      </c>
      <c r="W89" s="220">
        <f t="shared" si="93"/>
        <v>84</v>
      </c>
      <c r="X89" s="220">
        <f t="shared" si="93"/>
        <v>210</v>
      </c>
      <c r="Y89" s="220">
        <f t="shared" si="93"/>
        <v>383</v>
      </c>
      <c r="Z89" s="220">
        <v>0</v>
      </c>
      <c r="AA89" s="220">
        <v>0</v>
      </c>
      <c r="AB89" s="220">
        <v>2</v>
      </c>
      <c r="AC89" s="220">
        <v>3</v>
      </c>
      <c r="AD89" s="220">
        <v>1</v>
      </c>
      <c r="AE89" s="220">
        <f t="shared" si="94"/>
        <v>-189</v>
      </c>
      <c r="AF89" s="220">
        <f t="shared" si="94"/>
        <v>-253</v>
      </c>
      <c r="AG89" s="220">
        <f t="shared" si="94"/>
        <v>-483</v>
      </c>
      <c r="AH89" s="220">
        <f t="shared" si="94"/>
        <v>-272</v>
      </c>
      <c r="AI89" s="220">
        <f t="shared" si="94"/>
        <v>-176</v>
      </c>
      <c r="AJ89" s="50">
        <f t="shared" si="95"/>
        <v>1.2840000000000045</v>
      </c>
      <c r="AK89" s="257"/>
      <c r="AL89" s="257">
        <f t="shared" si="96"/>
        <v>1.2</v>
      </c>
      <c r="AM89" s="52"/>
      <c r="AN89" s="88"/>
    </row>
    <row r="90" spans="1:40" s="29" customFormat="1" ht="17.25" customHeight="1">
      <c r="A90" s="48">
        <v>80</v>
      </c>
      <c r="B90" s="49">
        <f t="shared" si="88"/>
        <v>45664</v>
      </c>
      <c r="C90" s="220">
        <f t="shared" si="89"/>
        <v>1049</v>
      </c>
      <c r="D90" s="220">
        <f t="shared" ref="D90" si="109">D89-18</f>
        <v>2215</v>
      </c>
      <c r="E90" s="220">
        <f t="shared" si="91"/>
        <v>3264</v>
      </c>
      <c r="F90" s="220">
        <f t="shared" si="83"/>
        <v>804</v>
      </c>
      <c r="G90" s="220">
        <f t="shared" si="84"/>
        <v>766</v>
      </c>
      <c r="H90" s="220">
        <f t="shared" si="85"/>
        <v>1032</v>
      </c>
      <c r="I90" s="220">
        <f t="shared" si="86"/>
        <v>905</v>
      </c>
      <c r="J90" s="220">
        <f t="shared" si="87"/>
        <v>881</v>
      </c>
      <c r="K90" s="220">
        <f t="shared" si="69"/>
        <v>2460</v>
      </c>
      <c r="L90" s="220">
        <f t="shared" si="69"/>
        <v>2498</v>
      </c>
      <c r="M90" s="220">
        <f t="shared" si="69"/>
        <v>2232</v>
      </c>
      <c r="N90" s="220">
        <f t="shared" si="69"/>
        <v>2359</v>
      </c>
      <c r="O90" s="220">
        <f t="shared" si="69"/>
        <v>2383</v>
      </c>
      <c r="P90" s="220">
        <f t="shared" si="92"/>
        <v>2000</v>
      </c>
      <c r="Q90" s="220">
        <f t="shared" si="92"/>
        <v>2150</v>
      </c>
      <c r="R90" s="220">
        <f t="shared" si="92"/>
        <v>2150</v>
      </c>
      <c r="S90" s="220">
        <f t="shared" si="92"/>
        <v>2150</v>
      </c>
      <c r="T90" s="220">
        <f t="shared" si="92"/>
        <v>2000</v>
      </c>
      <c r="U90" s="220">
        <f t="shared" si="93"/>
        <v>460</v>
      </c>
      <c r="V90" s="220">
        <f t="shared" si="93"/>
        <v>348</v>
      </c>
      <c r="W90" s="220">
        <f t="shared" si="93"/>
        <v>82</v>
      </c>
      <c r="X90" s="220">
        <f t="shared" si="93"/>
        <v>209</v>
      </c>
      <c r="Y90" s="220">
        <f t="shared" si="93"/>
        <v>383</v>
      </c>
      <c r="Z90" s="220">
        <v>0</v>
      </c>
      <c r="AA90" s="220">
        <v>1</v>
      </c>
      <c r="AB90" s="220">
        <v>2</v>
      </c>
      <c r="AC90" s="220">
        <v>1</v>
      </c>
      <c r="AD90" s="220">
        <v>0</v>
      </c>
      <c r="AE90" s="220">
        <f t="shared" si="94"/>
        <v>-189</v>
      </c>
      <c r="AF90" s="220">
        <f t="shared" si="94"/>
        <v>-254</v>
      </c>
      <c r="AG90" s="220">
        <f t="shared" si="94"/>
        <v>-485</v>
      </c>
      <c r="AH90" s="220">
        <f t="shared" si="94"/>
        <v>-273</v>
      </c>
      <c r="AI90" s="220">
        <f t="shared" si="94"/>
        <v>-176</v>
      </c>
      <c r="AJ90" s="50">
        <f t="shared" si="95"/>
        <v>1.2820000000000045</v>
      </c>
      <c r="AK90" s="257"/>
      <c r="AL90" s="257">
        <f t="shared" si="96"/>
        <v>1.2</v>
      </c>
      <c r="AM90" s="52"/>
      <c r="AN90" s="88"/>
    </row>
    <row r="91" spans="1:40" s="29" customFormat="1" ht="17.25" customHeight="1">
      <c r="A91" s="48">
        <v>81</v>
      </c>
      <c r="B91" s="49">
        <f t="shared" si="88"/>
        <v>45665</v>
      </c>
      <c r="C91" s="220">
        <f t="shared" si="89"/>
        <v>1049</v>
      </c>
      <c r="D91" s="220">
        <f t="shared" ref="D91" si="110">D90-26</f>
        <v>2189</v>
      </c>
      <c r="E91" s="220">
        <f t="shared" si="91"/>
        <v>3238</v>
      </c>
      <c r="F91" s="220">
        <f t="shared" si="83"/>
        <v>779</v>
      </c>
      <c r="G91" s="220">
        <f t="shared" si="84"/>
        <v>742</v>
      </c>
      <c r="H91" s="220">
        <f t="shared" si="85"/>
        <v>1007</v>
      </c>
      <c r="I91" s="220">
        <f t="shared" si="86"/>
        <v>881</v>
      </c>
      <c r="J91" s="220">
        <f t="shared" si="87"/>
        <v>855</v>
      </c>
      <c r="K91" s="220">
        <f t="shared" si="69"/>
        <v>2459</v>
      </c>
      <c r="L91" s="220">
        <f t="shared" si="69"/>
        <v>2496</v>
      </c>
      <c r="M91" s="220">
        <f t="shared" si="69"/>
        <v>2231</v>
      </c>
      <c r="N91" s="220">
        <f t="shared" si="69"/>
        <v>2357</v>
      </c>
      <c r="O91" s="220">
        <f t="shared" si="69"/>
        <v>2383</v>
      </c>
      <c r="P91" s="220">
        <f t="shared" si="92"/>
        <v>2000</v>
      </c>
      <c r="Q91" s="220">
        <f t="shared" si="92"/>
        <v>2150</v>
      </c>
      <c r="R91" s="220">
        <f t="shared" si="92"/>
        <v>2150</v>
      </c>
      <c r="S91" s="220">
        <f t="shared" si="92"/>
        <v>2150</v>
      </c>
      <c r="T91" s="220">
        <f t="shared" si="92"/>
        <v>2000</v>
      </c>
      <c r="U91" s="220">
        <f t="shared" si="93"/>
        <v>459</v>
      </c>
      <c r="V91" s="220">
        <f t="shared" si="93"/>
        <v>346</v>
      </c>
      <c r="W91" s="220">
        <f t="shared" si="93"/>
        <v>81</v>
      </c>
      <c r="X91" s="220">
        <f t="shared" si="93"/>
        <v>207</v>
      </c>
      <c r="Y91" s="220">
        <f t="shared" si="93"/>
        <v>383</v>
      </c>
      <c r="Z91" s="220">
        <v>1</v>
      </c>
      <c r="AA91" s="220">
        <v>2</v>
      </c>
      <c r="AB91" s="220">
        <v>1</v>
      </c>
      <c r="AC91" s="220">
        <v>2</v>
      </c>
      <c r="AD91" s="220">
        <v>0</v>
      </c>
      <c r="AE91" s="220">
        <f t="shared" si="94"/>
        <v>-190</v>
      </c>
      <c r="AF91" s="220">
        <f t="shared" si="94"/>
        <v>-256</v>
      </c>
      <c r="AG91" s="220">
        <f t="shared" si="94"/>
        <v>-486</v>
      </c>
      <c r="AH91" s="220">
        <f t="shared" si="94"/>
        <v>-275</v>
      </c>
      <c r="AI91" s="220">
        <f t="shared" si="94"/>
        <v>-176</v>
      </c>
      <c r="AJ91" s="50">
        <f t="shared" si="95"/>
        <v>1.2810000000000046</v>
      </c>
      <c r="AK91" s="257"/>
      <c r="AL91" s="257">
        <f t="shared" si="96"/>
        <v>1.2</v>
      </c>
      <c r="AM91" s="52"/>
      <c r="AN91" s="88"/>
    </row>
    <row r="92" spans="1:40" s="29" customFormat="1" ht="17.25" customHeight="1">
      <c r="A92" s="48">
        <v>82</v>
      </c>
      <c r="B92" s="49">
        <f t="shared" si="88"/>
        <v>45666</v>
      </c>
      <c r="C92" s="220">
        <f t="shared" si="89"/>
        <v>1049</v>
      </c>
      <c r="D92" s="220">
        <f t="shared" ref="D92" si="111">D91+15</f>
        <v>2204</v>
      </c>
      <c r="E92" s="220">
        <f t="shared" si="91"/>
        <v>3253</v>
      </c>
      <c r="F92" s="220">
        <f t="shared" si="83"/>
        <v>795</v>
      </c>
      <c r="G92" s="220">
        <f t="shared" si="84"/>
        <v>759</v>
      </c>
      <c r="H92" s="220">
        <f t="shared" si="85"/>
        <v>1023</v>
      </c>
      <c r="I92" s="220">
        <f t="shared" si="86"/>
        <v>898</v>
      </c>
      <c r="J92" s="220">
        <f t="shared" si="87"/>
        <v>871</v>
      </c>
      <c r="K92" s="220">
        <f t="shared" si="69"/>
        <v>2458</v>
      </c>
      <c r="L92" s="220">
        <f t="shared" si="69"/>
        <v>2494</v>
      </c>
      <c r="M92" s="220">
        <f t="shared" si="69"/>
        <v>2230</v>
      </c>
      <c r="N92" s="220">
        <f t="shared" si="69"/>
        <v>2355</v>
      </c>
      <c r="O92" s="220">
        <f t="shared" si="69"/>
        <v>2382</v>
      </c>
      <c r="P92" s="220">
        <f t="shared" si="92"/>
        <v>2000</v>
      </c>
      <c r="Q92" s="220">
        <f t="shared" si="92"/>
        <v>2150</v>
      </c>
      <c r="R92" s="220">
        <f t="shared" si="92"/>
        <v>2150</v>
      </c>
      <c r="S92" s="220">
        <f t="shared" si="92"/>
        <v>2150</v>
      </c>
      <c r="T92" s="220">
        <f t="shared" si="92"/>
        <v>2000</v>
      </c>
      <c r="U92" s="220">
        <f t="shared" si="93"/>
        <v>458</v>
      </c>
      <c r="V92" s="220">
        <f t="shared" si="93"/>
        <v>344</v>
      </c>
      <c r="W92" s="220">
        <f t="shared" si="93"/>
        <v>80</v>
      </c>
      <c r="X92" s="220">
        <f t="shared" si="93"/>
        <v>205</v>
      </c>
      <c r="Y92" s="220">
        <f t="shared" si="93"/>
        <v>382</v>
      </c>
      <c r="Z92" s="220">
        <v>1</v>
      </c>
      <c r="AA92" s="220">
        <v>2</v>
      </c>
      <c r="AB92" s="220">
        <v>1</v>
      </c>
      <c r="AC92" s="220">
        <v>2</v>
      </c>
      <c r="AD92" s="220">
        <v>1</v>
      </c>
      <c r="AE92" s="220">
        <f t="shared" si="94"/>
        <v>-191</v>
      </c>
      <c r="AF92" s="220">
        <f t="shared" si="94"/>
        <v>-258</v>
      </c>
      <c r="AG92" s="220">
        <f t="shared" si="94"/>
        <v>-487</v>
      </c>
      <c r="AH92" s="220">
        <f t="shared" si="94"/>
        <v>-277</v>
      </c>
      <c r="AI92" s="220">
        <f t="shared" si="94"/>
        <v>-177</v>
      </c>
      <c r="AJ92" s="50">
        <f t="shared" si="95"/>
        <v>1.2800000000000047</v>
      </c>
      <c r="AK92" s="257"/>
      <c r="AL92" s="257">
        <f t="shared" si="96"/>
        <v>1.2</v>
      </c>
      <c r="AM92" s="52"/>
      <c r="AN92" s="88"/>
    </row>
    <row r="93" spans="1:40" s="29" customFormat="1" ht="17.25" customHeight="1">
      <c r="A93" s="48">
        <v>83</v>
      </c>
      <c r="B93" s="49">
        <f t="shared" si="88"/>
        <v>45667</v>
      </c>
      <c r="C93" s="220">
        <f t="shared" si="89"/>
        <v>1049</v>
      </c>
      <c r="D93" s="220">
        <f t="shared" ref="D93" si="112">D92+26</f>
        <v>2230</v>
      </c>
      <c r="E93" s="220">
        <f t="shared" si="91"/>
        <v>3279</v>
      </c>
      <c r="F93" s="220">
        <f t="shared" si="83"/>
        <v>821</v>
      </c>
      <c r="G93" s="220">
        <f t="shared" si="84"/>
        <v>786</v>
      </c>
      <c r="H93" s="220">
        <f t="shared" si="85"/>
        <v>1049</v>
      </c>
      <c r="I93" s="220">
        <f t="shared" si="86"/>
        <v>925</v>
      </c>
      <c r="J93" s="220">
        <f t="shared" si="87"/>
        <v>897</v>
      </c>
      <c r="K93" s="220">
        <f t="shared" si="69"/>
        <v>2458</v>
      </c>
      <c r="L93" s="220">
        <f t="shared" si="69"/>
        <v>2493</v>
      </c>
      <c r="M93" s="220">
        <f t="shared" si="69"/>
        <v>2230</v>
      </c>
      <c r="N93" s="220">
        <f t="shared" si="69"/>
        <v>2354</v>
      </c>
      <c r="O93" s="220">
        <f t="shared" si="69"/>
        <v>2382</v>
      </c>
      <c r="P93" s="220">
        <f t="shared" ref="P93:T108" si="113">+P92</f>
        <v>2000</v>
      </c>
      <c r="Q93" s="220">
        <f t="shared" si="113"/>
        <v>2150</v>
      </c>
      <c r="R93" s="220">
        <f t="shared" si="113"/>
        <v>2150</v>
      </c>
      <c r="S93" s="220">
        <f t="shared" si="113"/>
        <v>2150</v>
      </c>
      <c r="T93" s="220">
        <f t="shared" si="113"/>
        <v>2000</v>
      </c>
      <c r="U93" s="220">
        <f t="shared" ref="U93:Y108" si="114">U92-Z93</f>
        <v>458</v>
      </c>
      <c r="V93" s="220">
        <f t="shared" si="114"/>
        <v>343</v>
      </c>
      <c r="W93" s="220">
        <f t="shared" si="114"/>
        <v>80</v>
      </c>
      <c r="X93" s="220">
        <f t="shared" si="114"/>
        <v>204</v>
      </c>
      <c r="Y93" s="220">
        <f t="shared" si="114"/>
        <v>382</v>
      </c>
      <c r="Z93" s="220">
        <v>0</v>
      </c>
      <c r="AA93" s="220">
        <v>1</v>
      </c>
      <c r="AB93" s="220">
        <v>0</v>
      </c>
      <c r="AC93" s="220">
        <v>1</v>
      </c>
      <c r="AD93" s="220">
        <v>0</v>
      </c>
      <c r="AE93" s="220">
        <f t="shared" ref="AE93:AI108" si="115">AE92-Z93</f>
        <v>-191</v>
      </c>
      <c r="AF93" s="220">
        <f t="shared" si="115"/>
        <v>-259</v>
      </c>
      <c r="AG93" s="220">
        <f t="shared" si="115"/>
        <v>-487</v>
      </c>
      <c r="AH93" s="220">
        <f t="shared" si="115"/>
        <v>-278</v>
      </c>
      <c r="AI93" s="220">
        <f t="shared" si="115"/>
        <v>-177</v>
      </c>
      <c r="AJ93" s="50">
        <f t="shared" si="95"/>
        <v>1.2800000000000047</v>
      </c>
      <c r="AK93" s="257"/>
      <c r="AL93" s="257">
        <f t="shared" si="96"/>
        <v>1.2</v>
      </c>
      <c r="AM93" s="52"/>
      <c r="AN93" s="88"/>
    </row>
    <row r="94" spans="1:40" s="29" customFormat="1" ht="17.25" customHeight="1">
      <c r="A94" s="48">
        <v>84</v>
      </c>
      <c r="B94" s="49">
        <f t="shared" si="88"/>
        <v>45668</v>
      </c>
      <c r="C94" s="220">
        <f t="shared" si="89"/>
        <v>1049</v>
      </c>
      <c r="D94" s="220">
        <f t="shared" ref="D94" si="116">D93+32</f>
        <v>2262</v>
      </c>
      <c r="E94" s="220">
        <f t="shared" si="91"/>
        <v>3311</v>
      </c>
      <c r="F94" s="220">
        <f t="shared" si="83"/>
        <v>854</v>
      </c>
      <c r="G94" s="220">
        <f t="shared" si="84"/>
        <v>821</v>
      </c>
      <c r="H94" s="220">
        <f t="shared" si="85"/>
        <v>1082</v>
      </c>
      <c r="I94" s="220">
        <f t="shared" si="86"/>
        <v>957</v>
      </c>
      <c r="J94" s="220">
        <f t="shared" si="87"/>
        <v>929</v>
      </c>
      <c r="K94" s="220">
        <f t="shared" si="69"/>
        <v>2457</v>
      </c>
      <c r="L94" s="220">
        <f t="shared" si="69"/>
        <v>2490</v>
      </c>
      <c r="M94" s="220">
        <f t="shared" si="69"/>
        <v>2229</v>
      </c>
      <c r="N94" s="220">
        <f t="shared" si="69"/>
        <v>2354</v>
      </c>
      <c r="O94" s="220">
        <f t="shared" si="69"/>
        <v>2382</v>
      </c>
      <c r="P94" s="220">
        <f t="shared" si="113"/>
        <v>2000</v>
      </c>
      <c r="Q94" s="220">
        <f t="shared" si="113"/>
        <v>2150</v>
      </c>
      <c r="R94" s="220">
        <f t="shared" si="113"/>
        <v>2150</v>
      </c>
      <c r="S94" s="220">
        <f t="shared" si="113"/>
        <v>2150</v>
      </c>
      <c r="T94" s="220">
        <f t="shared" si="113"/>
        <v>2000</v>
      </c>
      <c r="U94" s="220">
        <f t="shared" si="114"/>
        <v>457</v>
      </c>
      <c r="V94" s="220">
        <f t="shared" si="114"/>
        <v>340</v>
      </c>
      <c r="W94" s="220">
        <f t="shared" si="114"/>
        <v>79</v>
      </c>
      <c r="X94" s="220">
        <f t="shared" si="114"/>
        <v>204</v>
      </c>
      <c r="Y94" s="220">
        <f t="shared" si="114"/>
        <v>382</v>
      </c>
      <c r="Z94" s="220">
        <v>1</v>
      </c>
      <c r="AA94" s="220">
        <v>3</v>
      </c>
      <c r="AB94" s="220">
        <v>1</v>
      </c>
      <c r="AC94" s="220">
        <v>0</v>
      </c>
      <c r="AD94" s="220">
        <v>0</v>
      </c>
      <c r="AE94" s="220">
        <f t="shared" si="115"/>
        <v>-192</v>
      </c>
      <c r="AF94" s="220">
        <f t="shared" si="115"/>
        <v>-262</v>
      </c>
      <c r="AG94" s="220">
        <f t="shared" si="115"/>
        <v>-488</v>
      </c>
      <c r="AH94" s="220">
        <f t="shared" si="115"/>
        <v>-278</v>
      </c>
      <c r="AI94" s="220">
        <f t="shared" si="115"/>
        <v>-177</v>
      </c>
      <c r="AJ94" s="50">
        <f t="shared" si="95"/>
        <v>1.2790000000000048</v>
      </c>
      <c r="AK94" s="257"/>
      <c r="AL94" s="257">
        <f t="shared" si="96"/>
        <v>1.2</v>
      </c>
      <c r="AM94" s="52"/>
      <c r="AN94" s="88"/>
    </row>
    <row r="95" spans="1:40" s="29" customFormat="1" ht="17.25" customHeight="1">
      <c r="A95" s="48">
        <v>85</v>
      </c>
      <c r="B95" s="49">
        <f t="shared" si="88"/>
        <v>45669</v>
      </c>
      <c r="C95" s="220">
        <f t="shared" si="89"/>
        <v>1049</v>
      </c>
      <c r="D95" s="220">
        <f t="shared" ref="D95" si="117">D94-18</f>
        <v>2244</v>
      </c>
      <c r="E95" s="220">
        <f t="shared" si="91"/>
        <v>3293</v>
      </c>
      <c r="F95" s="220">
        <f t="shared" si="83"/>
        <v>836</v>
      </c>
      <c r="G95" s="220">
        <f t="shared" si="84"/>
        <v>803</v>
      </c>
      <c r="H95" s="220">
        <f t="shared" si="85"/>
        <v>1064</v>
      </c>
      <c r="I95" s="220">
        <f t="shared" si="86"/>
        <v>942</v>
      </c>
      <c r="J95" s="220">
        <f t="shared" si="87"/>
        <v>911</v>
      </c>
      <c r="K95" s="220">
        <f t="shared" si="69"/>
        <v>2457</v>
      </c>
      <c r="L95" s="220">
        <f t="shared" si="69"/>
        <v>2490</v>
      </c>
      <c r="M95" s="220">
        <f t="shared" si="69"/>
        <v>2229</v>
      </c>
      <c r="N95" s="220">
        <f t="shared" si="69"/>
        <v>2351</v>
      </c>
      <c r="O95" s="220">
        <f t="shared" si="69"/>
        <v>2382</v>
      </c>
      <c r="P95" s="220">
        <f t="shared" si="113"/>
        <v>2000</v>
      </c>
      <c r="Q95" s="220">
        <f t="shared" si="113"/>
        <v>2150</v>
      </c>
      <c r="R95" s="220">
        <f t="shared" si="113"/>
        <v>2150</v>
      </c>
      <c r="S95" s="220">
        <f t="shared" si="113"/>
        <v>2150</v>
      </c>
      <c r="T95" s="220">
        <f t="shared" si="113"/>
        <v>2000</v>
      </c>
      <c r="U95" s="220">
        <f t="shared" si="114"/>
        <v>457</v>
      </c>
      <c r="V95" s="220">
        <f t="shared" si="114"/>
        <v>340</v>
      </c>
      <c r="W95" s="220">
        <f t="shared" si="114"/>
        <v>79</v>
      </c>
      <c r="X95" s="220">
        <f t="shared" si="114"/>
        <v>201</v>
      </c>
      <c r="Y95" s="220">
        <f t="shared" si="114"/>
        <v>382</v>
      </c>
      <c r="Z95" s="220">
        <v>0</v>
      </c>
      <c r="AA95" s="220">
        <v>0</v>
      </c>
      <c r="AB95" s="220">
        <v>0</v>
      </c>
      <c r="AC95" s="220">
        <v>3</v>
      </c>
      <c r="AD95" s="220">
        <v>0</v>
      </c>
      <c r="AE95" s="220">
        <f t="shared" si="115"/>
        <v>-192</v>
      </c>
      <c r="AF95" s="220">
        <f t="shared" si="115"/>
        <v>-262</v>
      </c>
      <c r="AG95" s="220">
        <f t="shared" si="115"/>
        <v>-488</v>
      </c>
      <c r="AH95" s="220">
        <f t="shared" si="115"/>
        <v>-281</v>
      </c>
      <c r="AI95" s="220">
        <f t="shared" si="115"/>
        <v>-177</v>
      </c>
      <c r="AJ95" s="50">
        <f t="shared" si="95"/>
        <v>1.2790000000000048</v>
      </c>
      <c r="AK95" s="257"/>
      <c r="AL95" s="257">
        <f t="shared" si="96"/>
        <v>1.2</v>
      </c>
      <c r="AM95" s="52"/>
      <c r="AN95" s="88"/>
    </row>
    <row r="96" spans="1:40" s="29" customFormat="1" ht="17.25" customHeight="1">
      <c r="A96" s="48">
        <v>86</v>
      </c>
      <c r="B96" s="49">
        <f t="shared" si="88"/>
        <v>45670</v>
      </c>
      <c r="C96" s="220">
        <f t="shared" si="89"/>
        <v>1049</v>
      </c>
      <c r="D96" s="220">
        <f t="shared" ref="D96" si="118">D95-26</f>
        <v>2218</v>
      </c>
      <c r="E96" s="220">
        <f t="shared" si="91"/>
        <v>3267</v>
      </c>
      <c r="F96" s="220">
        <f t="shared" si="83"/>
        <v>811</v>
      </c>
      <c r="G96" s="220">
        <f t="shared" si="84"/>
        <v>777</v>
      </c>
      <c r="H96" s="220">
        <f t="shared" si="85"/>
        <v>1039</v>
      </c>
      <c r="I96" s="220">
        <f t="shared" si="86"/>
        <v>916</v>
      </c>
      <c r="J96" s="220">
        <f t="shared" si="87"/>
        <v>885</v>
      </c>
      <c r="K96" s="220">
        <f t="shared" si="69"/>
        <v>2456</v>
      </c>
      <c r="L96" s="220">
        <f t="shared" si="69"/>
        <v>2490</v>
      </c>
      <c r="M96" s="220">
        <f t="shared" si="69"/>
        <v>2228</v>
      </c>
      <c r="N96" s="220">
        <f t="shared" si="69"/>
        <v>2351</v>
      </c>
      <c r="O96" s="220">
        <f t="shared" si="69"/>
        <v>2382</v>
      </c>
      <c r="P96" s="220">
        <f t="shared" si="113"/>
        <v>2000</v>
      </c>
      <c r="Q96" s="220">
        <f t="shared" si="113"/>
        <v>2150</v>
      </c>
      <c r="R96" s="220">
        <f t="shared" si="113"/>
        <v>2150</v>
      </c>
      <c r="S96" s="220">
        <f t="shared" si="113"/>
        <v>2150</v>
      </c>
      <c r="T96" s="220">
        <f t="shared" si="113"/>
        <v>2000</v>
      </c>
      <c r="U96" s="220">
        <f t="shared" si="114"/>
        <v>456</v>
      </c>
      <c r="V96" s="220">
        <f t="shared" si="114"/>
        <v>340</v>
      </c>
      <c r="W96" s="220">
        <f t="shared" si="114"/>
        <v>78</v>
      </c>
      <c r="X96" s="220">
        <f t="shared" si="114"/>
        <v>201</v>
      </c>
      <c r="Y96" s="220">
        <f t="shared" si="114"/>
        <v>382</v>
      </c>
      <c r="Z96" s="220">
        <v>1</v>
      </c>
      <c r="AA96" s="220">
        <v>0</v>
      </c>
      <c r="AB96" s="220">
        <v>1</v>
      </c>
      <c r="AC96" s="220">
        <v>0</v>
      </c>
      <c r="AD96" s="220">
        <v>0</v>
      </c>
      <c r="AE96" s="220">
        <f t="shared" si="115"/>
        <v>-193</v>
      </c>
      <c r="AF96" s="220">
        <f t="shared" si="115"/>
        <v>-262</v>
      </c>
      <c r="AG96" s="220">
        <f t="shared" si="115"/>
        <v>-489</v>
      </c>
      <c r="AH96" s="220">
        <f t="shared" si="115"/>
        <v>-281</v>
      </c>
      <c r="AI96" s="220">
        <f t="shared" si="115"/>
        <v>-177</v>
      </c>
      <c r="AJ96" s="50">
        <f t="shared" si="95"/>
        <v>1.2780000000000049</v>
      </c>
      <c r="AK96" s="257"/>
      <c r="AL96" s="257">
        <f t="shared" si="96"/>
        <v>1.2</v>
      </c>
      <c r="AM96" s="52"/>
      <c r="AN96" s="88"/>
    </row>
    <row r="97" spans="1:40" s="29" customFormat="1" ht="17.25" customHeight="1">
      <c r="A97" s="48">
        <v>87</v>
      </c>
      <c r="B97" s="49">
        <f t="shared" si="88"/>
        <v>45671</v>
      </c>
      <c r="C97" s="220">
        <f t="shared" si="89"/>
        <v>1049</v>
      </c>
      <c r="D97" s="220">
        <f t="shared" ref="D97" si="119">D96+15</f>
        <v>2233</v>
      </c>
      <c r="E97" s="220">
        <f t="shared" si="91"/>
        <v>3282</v>
      </c>
      <c r="F97" s="220">
        <f t="shared" si="83"/>
        <v>827</v>
      </c>
      <c r="G97" s="220">
        <f t="shared" si="84"/>
        <v>792</v>
      </c>
      <c r="H97" s="220">
        <f t="shared" si="85"/>
        <v>1055</v>
      </c>
      <c r="I97" s="220">
        <f t="shared" si="86"/>
        <v>931</v>
      </c>
      <c r="J97" s="220">
        <f t="shared" si="87"/>
        <v>900</v>
      </c>
      <c r="K97" s="220">
        <f t="shared" si="69"/>
        <v>2455</v>
      </c>
      <c r="L97" s="220">
        <f t="shared" si="69"/>
        <v>2490</v>
      </c>
      <c r="M97" s="220">
        <f t="shared" si="69"/>
        <v>2227</v>
      </c>
      <c r="N97" s="220">
        <f t="shared" si="69"/>
        <v>2351</v>
      </c>
      <c r="O97" s="220">
        <f t="shared" si="69"/>
        <v>2382</v>
      </c>
      <c r="P97" s="220">
        <f t="shared" si="113"/>
        <v>2000</v>
      </c>
      <c r="Q97" s="220">
        <f t="shared" si="113"/>
        <v>2150</v>
      </c>
      <c r="R97" s="220">
        <f t="shared" si="113"/>
        <v>2150</v>
      </c>
      <c r="S97" s="220">
        <f t="shared" si="113"/>
        <v>2150</v>
      </c>
      <c r="T97" s="220">
        <f t="shared" si="113"/>
        <v>2000</v>
      </c>
      <c r="U97" s="220">
        <f t="shared" si="114"/>
        <v>455</v>
      </c>
      <c r="V97" s="220">
        <f t="shared" si="114"/>
        <v>340</v>
      </c>
      <c r="W97" s="220">
        <f t="shared" si="114"/>
        <v>77</v>
      </c>
      <c r="X97" s="220">
        <f t="shared" si="114"/>
        <v>201</v>
      </c>
      <c r="Y97" s="220">
        <f t="shared" si="114"/>
        <v>382</v>
      </c>
      <c r="Z97" s="220">
        <v>1</v>
      </c>
      <c r="AA97" s="220">
        <v>0</v>
      </c>
      <c r="AB97" s="220">
        <v>1</v>
      </c>
      <c r="AC97" s="220">
        <v>0</v>
      </c>
      <c r="AD97" s="220">
        <v>0</v>
      </c>
      <c r="AE97" s="220">
        <f t="shared" si="115"/>
        <v>-194</v>
      </c>
      <c r="AF97" s="220">
        <f t="shared" si="115"/>
        <v>-262</v>
      </c>
      <c r="AG97" s="220">
        <f t="shared" si="115"/>
        <v>-490</v>
      </c>
      <c r="AH97" s="220">
        <f t="shared" si="115"/>
        <v>-281</v>
      </c>
      <c r="AI97" s="220">
        <f t="shared" si="115"/>
        <v>-177</v>
      </c>
      <c r="AJ97" s="50">
        <f t="shared" si="95"/>
        <v>1.277000000000005</v>
      </c>
      <c r="AK97" s="257"/>
      <c r="AL97" s="257">
        <f t="shared" si="96"/>
        <v>1.2</v>
      </c>
      <c r="AM97" s="52"/>
      <c r="AN97" s="88"/>
    </row>
    <row r="98" spans="1:40" s="29" customFormat="1" ht="17.25" customHeight="1">
      <c r="A98" s="48">
        <v>88</v>
      </c>
      <c r="B98" s="49">
        <f t="shared" si="88"/>
        <v>45672</v>
      </c>
      <c r="C98" s="220">
        <f t="shared" si="89"/>
        <v>1049</v>
      </c>
      <c r="D98" s="220">
        <f t="shared" ref="D98" si="120">D97+26</f>
        <v>2259</v>
      </c>
      <c r="E98" s="220">
        <f t="shared" si="91"/>
        <v>3308</v>
      </c>
      <c r="F98" s="220">
        <f t="shared" si="83"/>
        <v>853</v>
      </c>
      <c r="G98" s="220">
        <f t="shared" si="84"/>
        <v>818</v>
      </c>
      <c r="H98" s="220">
        <f t="shared" si="85"/>
        <v>1081</v>
      </c>
      <c r="I98" s="220">
        <f t="shared" si="86"/>
        <v>957</v>
      </c>
      <c r="J98" s="220">
        <f t="shared" si="87"/>
        <v>927</v>
      </c>
      <c r="K98" s="220">
        <f t="shared" si="69"/>
        <v>2455</v>
      </c>
      <c r="L98" s="220">
        <f t="shared" si="69"/>
        <v>2490</v>
      </c>
      <c r="M98" s="220">
        <f t="shared" si="69"/>
        <v>2227</v>
      </c>
      <c r="N98" s="220">
        <f t="shared" si="69"/>
        <v>2351</v>
      </c>
      <c r="O98" s="220">
        <f t="shared" si="69"/>
        <v>2381</v>
      </c>
      <c r="P98" s="220">
        <f t="shared" si="113"/>
        <v>2000</v>
      </c>
      <c r="Q98" s="220">
        <f t="shared" si="113"/>
        <v>2150</v>
      </c>
      <c r="R98" s="220">
        <f t="shared" si="113"/>
        <v>2150</v>
      </c>
      <c r="S98" s="220">
        <f t="shared" si="113"/>
        <v>2150</v>
      </c>
      <c r="T98" s="220">
        <f t="shared" si="113"/>
        <v>2000</v>
      </c>
      <c r="U98" s="220">
        <f t="shared" si="114"/>
        <v>455</v>
      </c>
      <c r="V98" s="220">
        <f t="shared" si="114"/>
        <v>340</v>
      </c>
      <c r="W98" s="220">
        <f t="shared" si="114"/>
        <v>77</v>
      </c>
      <c r="X98" s="220">
        <f t="shared" si="114"/>
        <v>201</v>
      </c>
      <c r="Y98" s="220">
        <f t="shared" si="114"/>
        <v>381</v>
      </c>
      <c r="Z98" s="220">
        <v>0</v>
      </c>
      <c r="AA98" s="220">
        <v>0</v>
      </c>
      <c r="AB98" s="220">
        <v>0</v>
      </c>
      <c r="AC98" s="220">
        <v>0</v>
      </c>
      <c r="AD98" s="220">
        <v>1</v>
      </c>
      <c r="AE98" s="220">
        <f t="shared" si="115"/>
        <v>-194</v>
      </c>
      <c r="AF98" s="220">
        <f t="shared" si="115"/>
        <v>-262</v>
      </c>
      <c r="AG98" s="220">
        <f t="shared" si="115"/>
        <v>-490</v>
      </c>
      <c r="AH98" s="220">
        <f t="shared" si="115"/>
        <v>-281</v>
      </c>
      <c r="AI98" s="220">
        <f t="shared" si="115"/>
        <v>-178</v>
      </c>
      <c r="AJ98" s="50">
        <f t="shared" si="95"/>
        <v>1.277000000000005</v>
      </c>
      <c r="AK98" s="257"/>
      <c r="AL98" s="257">
        <f t="shared" si="96"/>
        <v>1.2</v>
      </c>
      <c r="AM98" s="52"/>
      <c r="AN98" s="88"/>
    </row>
    <row r="99" spans="1:40" s="29" customFormat="1" ht="17.25" customHeight="1">
      <c r="A99" s="48">
        <v>89</v>
      </c>
      <c r="B99" s="49">
        <f t="shared" si="88"/>
        <v>45673</v>
      </c>
      <c r="C99" s="220">
        <f t="shared" si="89"/>
        <v>1049</v>
      </c>
      <c r="D99" s="220">
        <f t="shared" ref="D99" si="121">D98+32</f>
        <v>2291</v>
      </c>
      <c r="E99" s="220">
        <f t="shared" si="91"/>
        <v>3340</v>
      </c>
      <c r="F99" s="220">
        <f t="shared" si="83"/>
        <v>886</v>
      </c>
      <c r="G99" s="220">
        <f t="shared" si="84"/>
        <v>851</v>
      </c>
      <c r="H99" s="220">
        <f t="shared" si="85"/>
        <v>1114</v>
      </c>
      <c r="I99" s="220">
        <f t="shared" si="86"/>
        <v>990</v>
      </c>
      <c r="J99" s="220">
        <f t="shared" si="87"/>
        <v>959</v>
      </c>
      <c r="K99" s="220">
        <f t="shared" si="69"/>
        <v>2454</v>
      </c>
      <c r="L99" s="220">
        <f t="shared" si="69"/>
        <v>2489</v>
      </c>
      <c r="M99" s="220">
        <f t="shared" si="69"/>
        <v>2226</v>
      </c>
      <c r="N99" s="220">
        <f t="shared" si="69"/>
        <v>2350</v>
      </c>
      <c r="O99" s="220">
        <f t="shared" si="69"/>
        <v>2381</v>
      </c>
      <c r="P99" s="220">
        <f t="shared" si="113"/>
        <v>2000</v>
      </c>
      <c r="Q99" s="220">
        <f t="shared" si="113"/>
        <v>2150</v>
      </c>
      <c r="R99" s="220">
        <f t="shared" si="113"/>
        <v>2150</v>
      </c>
      <c r="S99" s="220">
        <f t="shared" si="113"/>
        <v>2150</v>
      </c>
      <c r="T99" s="220">
        <f t="shared" si="113"/>
        <v>2000</v>
      </c>
      <c r="U99" s="220">
        <f t="shared" si="114"/>
        <v>454</v>
      </c>
      <c r="V99" s="220">
        <f t="shared" si="114"/>
        <v>339</v>
      </c>
      <c r="W99" s="220">
        <f t="shared" si="114"/>
        <v>76</v>
      </c>
      <c r="X99" s="220">
        <f t="shared" si="114"/>
        <v>200</v>
      </c>
      <c r="Y99" s="220">
        <f t="shared" si="114"/>
        <v>381</v>
      </c>
      <c r="Z99" s="220">
        <v>1</v>
      </c>
      <c r="AA99" s="220">
        <v>1</v>
      </c>
      <c r="AB99" s="220">
        <v>1</v>
      </c>
      <c r="AC99" s="220">
        <v>1</v>
      </c>
      <c r="AD99" s="220">
        <v>0</v>
      </c>
      <c r="AE99" s="220">
        <f t="shared" si="115"/>
        <v>-195</v>
      </c>
      <c r="AF99" s="220">
        <f t="shared" si="115"/>
        <v>-263</v>
      </c>
      <c r="AG99" s="220">
        <f t="shared" si="115"/>
        <v>-491</v>
      </c>
      <c r="AH99" s="220">
        <f t="shared" si="115"/>
        <v>-282</v>
      </c>
      <c r="AI99" s="220">
        <f t="shared" si="115"/>
        <v>-178</v>
      </c>
      <c r="AJ99" s="50">
        <f t="shared" si="95"/>
        <v>1.2760000000000051</v>
      </c>
      <c r="AK99" s="257"/>
      <c r="AL99" s="257">
        <f t="shared" si="96"/>
        <v>1.2</v>
      </c>
      <c r="AM99" s="52"/>
      <c r="AN99" s="88"/>
    </row>
    <row r="100" spans="1:40" s="29" customFormat="1" ht="17.25" customHeight="1">
      <c r="A100" s="48">
        <v>90</v>
      </c>
      <c r="B100" s="49">
        <f t="shared" si="88"/>
        <v>45674</v>
      </c>
      <c r="C100" s="220">
        <f t="shared" si="89"/>
        <v>1049</v>
      </c>
      <c r="D100" s="220">
        <f t="shared" ref="D100" si="122">D99-18</f>
        <v>2273</v>
      </c>
      <c r="E100" s="220">
        <f t="shared" si="91"/>
        <v>3322</v>
      </c>
      <c r="F100" s="220">
        <f t="shared" si="83"/>
        <v>869</v>
      </c>
      <c r="G100" s="220">
        <f t="shared" si="84"/>
        <v>833</v>
      </c>
      <c r="H100" s="220">
        <f t="shared" si="85"/>
        <v>1097</v>
      </c>
      <c r="I100" s="220">
        <f t="shared" si="86"/>
        <v>972</v>
      </c>
      <c r="J100" s="220">
        <f t="shared" si="87"/>
        <v>943</v>
      </c>
      <c r="K100" s="220">
        <f t="shared" si="69"/>
        <v>2453</v>
      </c>
      <c r="L100" s="220">
        <f t="shared" si="69"/>
        <v>2489</v>
      </c>
      <c r="M100" s="220">
        <f t="shared" si="69"/>
        <v>2225</v>
      </c>
      <c r="N100" s="220">
        <f t="shared" si="69"/>
        <v>2350</v>
      </c>
      <c r="O100" s="220">
        <f t="shared" si="69"/>
        <v>2379</v>
      </c>
      <c r="P100" s="220">
        <f t="shared" si="113"/>
        <v>2000</v>
      </c>
      <c r="Q100" s="220">
        <f t="shared" si="113"/>
        <v>2150</v>
      </c>
      <c r="R100" s="220">
        <f t="shared" si="113"/>
        <v>2150</v>
      </c>
      <c r="S100" s="220">
        <f t="shared" si="113"/>
        <v>2150</v>
      </c>
      <c r="T100" s="220">
        <f t="shared" si="113"/>
        <v>2000</v>
      </c>
      <c r="U100" s="220">
        <f t="shared" si="114"/>
        <v>453</v>
      </c>
      <c r="V100" s="220">
        <f t="shared" si="114"/>
        <v>339</v>
      </c>
      <c r="W100" s="220">
        <f t="shared" si="114"/>
        <v>75</v>
      </c>
      <c r="X100" s="220">
        <f t="shared" si="114"/>
        <v>200</v>
      </c>
      <c r="Y100" s="220">
        <f t="shared" si="114"/>
        <v>379</v>
      </c>
      <c r="Z100" s="220">
        <v>1</v>
      </c>
      <c r="AA100" s="220">
        <v>0</v>
      </c>
      <c r="AB100" s="220">
        <v>1</v>
      </c>
      <c r="AC100" s="220">
        <v>0</v>
      </c>
      <c r="AD100" s="220">
        <v>2</v>
      </c>
      <c r="AE100" s="220">
        <f t="shared" si="115"/>
        <v>-196</v>
      </c>
      <c r="AF100" s="220">
        <f t="shared" si="115"/>
        <v>-263</v>
      </c>
      <c r="AG100" s="220">
        <f t="shared" si="115"/>
        <v>-492</v>
      </c>
      <c r="AH100" s="220">
        <f t="shared" si="115"/>
        <v>-282</v>
      </c>
      <c r="AI100" s="220">
        <f t="shared" si="115"/>
        <v>-180</v>
      </c>
      <c r="AJ100" s="50">
        <f t="shared" si="95"/>
        <v>1.2750000000000052</v>
      </c>
      <c r="AK100" s="257"/>
      <c r="AL100" s="257">
        <f t="shared" si="96"/>
        <v>1.2</v>
      </c>
      <c r="AM100" s="52"/>
      <c r="AN100" s="88"/>
    </row>
    <row r="101" spans="1:40" s="29" customFormat="1" ht="17.25" customHeight="1">
      <c r="A101" s="48">
        <v>91</v>
      </c>
      <c r="B101" s="49">
        <f t="shared" si="88"/>
        <v>45675</v>
      </c>
      <c r="C101" s="220">
        <f t="shared" si="89"/>
        <v>1049</v>
      </c>
      <c r="D101" s="220">
        <f t="shared" ref="D101" si="123">D100-26</f>
        <v>2247</v>
      </c>
      <c r="E101" s="220">
        <f t="shared" si="91"/>
        <v>3296</v>
      </c>
      <c r="F101" s="220">
        <f t="shared" si="83"/>
        <v>843</v>
      </c>
      <c r="G101" s="220">
        <f t="shared" si="84"/>
        <v>807</v>
      </c>
      <c r="H101" s="220">
        <f t="shared" si="85"/>
        <v>1071</v>
      </c>
      <c r="I101" s="220">
        <f t="shared" si="86"/>
        <v>946</v>
      </c>
      <c r="J101" s="220">
        <f t="shared" si="87"/>
        <v>917</v>
      </c>
      <c r="K101" s="220">
        <f t="shared" si="69"/>
        <v>2453</v>
      </c>
      <c r="L101" s="220">
        <f t="shared" si="69"/>
        <v>2489</v>
      </c>
      <c r="M101" s="220">
        <f t="shared" si="69"/>
        <v>2225</v>
      </c>
      <c r="N101" s="220">
        <f t="shared" si="69"/>
        <v>2350</v>
      </c>
      <c r="O101" s="220">
        <f t="shared" si="69"/>
        <v>2379</v>
      </c>
      <c r="P101" s="220">
        <f t="shared" si="113"/>
        <v>2000</v>
      </c>
      <c r="Q101" s="220">
        <f t="shared" si="113"/>
        <v>2150</v>
      </c>
      <c r="R101" s="220">
        <f t="shared" si="113"/>
        <v>2150</v>
      </c>
      <c r="S101" s="220">
        <f t="shared" si="113"/>
        <v>2150</v>
      </c>
      <c r="T101" s="220">
        <f t="shared" si="113"/>
        <v>2000</v>
      </c>
      <c r="U101" s="220">
        <f t="shared" si="114"/>
        <v>453</v>
      </c>
      <c r="V101" s="220">
        <f t="shared" si="114"/>
        <v>339</v>
      </c>
      <c r="W101" s="220">
        <f t="shared" si="114"/>
        <v>75</v>
      </c>
      <c r="X101" s="220">
        <f t="shared" si="114"/>
        <v>200</v>
      </c>
      <c r="Y101" s="220">
        <f t="shared" si="114"/>
        <v>379</v>
      </c>
      <c r="Z101" s="220">
        <v>0</v>
      </c>
      <c r="AA101" s="220">
        <v>0</v>
      </c>
      <c r="AB101" s="220">
        <v>0</v>
      </c>
      <c r="AC101" s="220">
        <v>0</v>
      </c>
      <c r="AD101" s="220">
        <v>0</v>
      </c>
      <c r="AE101" s="220">
        <f t="shared" si="115"/>
        <v>-196</v>
      </c>
      <c r="AF101" s="220">
        <f t="shared" si="115"/>
        <v>-263</v>
      </c>
      <c r="AG101" s="220">
        <f t="shared" si="115"/>
        <v>-492</v>
      </c>
      <c r="AH101" s="220">
        <f t="shared" si="115"/>
        <v>-282</v>
      </c>
      <c r="AI101" s="220">
        <f t="shared" si="115"/>
        <v>-180</v>
      </c>
      <c r="AJ101" s="50">
        <f t="shared" si="95"/>
        <v>1.2750000000000052</v>
      </c>
      <c r="AK101" s="257"/>
      <c r="AL101" s="257">
        <f t="shared" si="96"/>
        <v>1.2</v>
      </c>
      <c r="AM101" s="52"/>
      <c r="AN101" s="88"/>
    </row>
    <row r="102" spans="1:40" s="29" customFormat="1" ht="17.25" customHeight="1">
      <c r="A102" s="48">
        <v>92</v>
      </c>
      <c r="B102" s="49">
        <f t="shared" si="88"/>
        <v>45676</v>
      </c>
      <c r="C102" s="220">
        <f t="shared" si="89"/>
        <v>1049</v>
      </c>
      <c r="D102" s="220">
        <f t="shared" ref="D102" si="124">D101+15</f>
        <v>2262</v>
      </c>
      <c r="E102" s="220">
        <f t="shared" si="91"/>
        <v>3311</v>
      </c>
      <c r="F102" s="220">
        <f t="shared" si="83"/>
        <v>859</v>
      </c>
      <c r="G102" s="220">
        <f t="shared" si="84"/>
        <v>822</v>
      </c>
      <c r="H102" s="220">
        <f t="shared" si="85"/>
        <v>1087</v>
      </c>
      <c r="I102" s="220">
        <f t="shared" si="86"/>
        <v>961</v>
      </c>
      <c r="J102" s="220">
        <f t="shared" si="87"/>
        <v>932</v>
      </c>
      <c r="K102" s="220">
        <f t="shared" si="69"/>
        <v>2452</v>
      </c>
      <c r="L102" s="220">
        <f t="shared" si="69"/>
        <v>2489</v>
      </c>
      <c r="M102" s="220">
        <f t="shared" si="69"/>
        <v>2224</v>
      </c>
      <c r="N102" s="220">
        <f t="shared" si="69"/>
        <v>2350</v>
      </c>
      <c r="O102" s="220">
        <f t="shared" si="69"/>
        <v>2379</v>
      </c>
      <c r="P102" s="220">
        <f t="shared" si="113"/>
        <v>2000</v>
      </c>
      <c r="Q102" s="220">
        <f t="shared" si="113"/>
        <v>2150</v>
      </c>
      <c r="R102" s="220">
        <f t="shared" si="113"/>
        <v>2150</v>
      </c>
      <c r="S102" s="220">
        <f t="shared" si="113"/>
        <v>2150</v>
      </c>
      <c r="T102" s="220">
        <f t="shared" si="113"/>
        <v>2000</v>
      </c>
      <c r="U102" s="220">
        <f t="shared" si="114"/>
        <v>452</v>
      </c>
      <c r="V102" s="220">
        <f t="shared" si="114"/>
        <v>339</v>
      </c>
      <c r="W102" s="220">
        <f t="shared" si="114"/>
        <v>74</v>
      </c>
      <c r="X102" s="220">
        <f t="shared" si="114"/>
        <v>200</v>
      </c>
      <c r="Y102" s="220">
        <f t="shared" si="114"/>
        <v>379</v>
      </c>
      <c r="Z102" s="220">
        <v>1</v>
      </c>
      <c r="AA102" s="220">
        <v>0</v>
      </c>
      <c r="AB102" s="220">
        <v>1</v>
      </c>
      <c r="AC102" s="220">
        <v>0</v>
      </c>
      <c r="AD102" s="220">
        <v>0</v>
      </c>
      <c r="AE102" s="220">
        <f t="shared" si="115"/>
        <v>-197</v>
      </c>
      <c r="AF102" s="220">
        <f t="shared" si="115"/>
        <v>-263</v>
      </c>
      <c r="AG102" s="220">
        <f t="shared" si="115"/>
        <v>-493</v>
      </c>
      <c r="AH102" s="220">
        <f t="shared" si="115"/>
        <v>-282</v>
      </c>
      <c r="AI102" s="220">
        <f t="shared" si="115"/>
        <v>-180</v>
      </c>
      <c r="AJ102" s="50">
        <f t="shared" si="95"/>
        <v>1.2740000000000054</v>
      </c>
      <c r="AK102" s="257"/>
      <c r="AL102" s="257">
        <f t="shared" si="96"/>
        <v>1.2</v>
      </c>
      <c r="AM102" s="52"/>
      <c r="AN102" s="88"/>
    </row>
    <row r="103" spans="1:40" s="29" customFormat="1" ht="17.25" customHeight="1">
      <c r="A103" s="48">
        <v>93</v>
      </c>
      <c r="B103" s="49">
        <f t="shared" si="88"/>
        <v>45677</v>
      </c>
      <c r="C103" s="220">
        <f t="shared" si="89"/>
        <v>1049</v>
      </c>
      <c r="D103" s="220">
        <f t="shared" ref="D103" si="125">D102+26</f>
        <v>2288</v>
      </c>
      <c r="E103" s="220">
        <f t="shared" si="91"/>
        <v>3337</v>
      </c>
      <c r="F103" s="220">
        <f t="shared" si="83"/>
        <v>885</v>
      </c>
      <c r="G103" s="220">
        <f t="shared" si="84"/>
        <v>850</v>
      </c>
      <c r="H103" s="220">
        <f t="shared" si="85"/>
        <v>1113</v>
      </c>
      <c r="I103" s="220">
        <f t="shared" si="86"/>
        <v>989</v>
      </c>
      <c r="J103" s="220">
        <f t="shared" si="87"/>
        <v>958</v>
      </c>
      <c r="K103" s="220">
        <f t="shared" si="69"/>
        <v>2452</v>
      </c>
      <c r="L103" s="220">
        <f t="shared" si="69"/>
        <v>2487</v>
      </c>
      <c r="M103" s="220">
        <f t="shared" si="69"/>
        <v>2224</v>
      </c>
      <c r="N103" s="220">
        <f t="shared" si="69"/>
        <v>2348</v>
      </c>
      <c r="O103" s="220">
        <f t="shared" si="69"/>
        <v>2379</v>
      </c>
      <c r="P103" s="220">
        <f t="shared" si="113"/>
        <v>2000</v>
      </c>
      <c r="Q103" s="220">
        <f t="shared" si="113"/>
        <v>2150</v>
      </c>
      <c r="R103" s="220">
        <f t="shared" si="113"/>
        <v>2150</v>
      </c>
      <c r="S103" s="220">
        <f t="shared" si="113"/>
        <v>2150</v>
      </c>
      <c r="T103" s="220">
        <f t="shared" si="113"/>
        <v>2000</v>
      </c>
      <c r="U103" s="220">
        <f t="shared" si="114"/>
        <v>452</v>
      </c>
      <c r="V103" s="220">
        <f t="shared" si="114"/>
        <v>337</v>
      </c>
      <c r="W103" s="220">
        <f t="shared" si="114"/>
        <v>74</v>
      </c>
      <c r="X103" s="220">
        <f t="shared" si="114"/>
        <v>198</v>
      </c>
      <c r="Y103" s="220">
        <f t="shared" si="114"/>
        <v>379</v>
      </c>
      <c r="Z103" s="220">
        <v>0</v>
      </c>
      <c r="AA103" s="220">
        <v>2</v>
      </c>
      <c r="AB103" s="220">
        <v>0</v>
      </c>
      <c r="AC103" s="220">
        <v>2</v>
      </c>
      <c r="AD103" s="220">
        <v>0</v>
      </c>
      <c r="AE103" s="220">
        <f t="shared" si="115"/>
        <v>-197</v>
      </c>
      <c r="AF103" s="220">
        <f t="shared" si="115"/>
        <v>-265</v>
      </c>
      <c r="AG103" s="220">
        <f t="shared" si="115"/>
        <v>-493</v>
      </c>
      <c r="AH103" s="220">
        <f t="shared" si="115"/>
        <v>-284</v>
      </c>
      <c r="AI103" s="220">
        <f t="shared" si="115"/>
        <v>-180</v>
      </c>
      <c r="AJ103" s="50">
        <f t="shared" si="95"/>
        <v>1.2740000000000054</v>
      </c>
      <c r="AK103" s="257"/>
      <c r="AL103" s="257">
        <f t="shared" si="96"/>
        <v>1.2</v>
      </c>
      <c r="AM103" s="52"/>
      <c r="AN103" s="88"/>
    </row>
    <row r="104" spans="1:40" s="29" customFormat="1" ht="17.25" customHeight="1">
      <c r="A104" s="48">
        <v>94</v>
      </c>
      <c r="B104" s="49">
        <f t="shared" si="88"/>
        <v>45678</v>
      </c>
      <c r="C104" s="220">
        <f t="shared" si="89"/>
        <v>1049</v>
      </c>
      <c r="D104" s="220">
        <f t="shared" ref="D104" si="126">D103+32</f>
        <v>2320</v>
      </c>
      <c r="E104" s="220">
        <f t="shared" si="91"/>
        <v>3369</v>
      </c>
      <c r="F104" s="220">
        <f t="shared" si="83"/>
        <v>917</v>
      </c>
      <c r="G104" s="220">
        <f t="shared" si="84"/>
        <v>882</v>
      </c>
      <c r="H104" s="220">
        <f t="shared" si="85"/>
        <v>1145</v>
      </c>
      <c r="I104" s="220">
        <f t="shared" si="86"/>
        <v>1021</v>
      </c>
      <c r="J104" s="220">
        <f t="shared" si="87"/>
        <v>990</v>
      </c>
      <c r="K104" s="220">
        <f t="shared" si="69"/>
        <v>2452</v>
      </c>
      <c r="L104" s="220">
        <f t="shared" si="69"/>
        <v>2487</v>
      </c>
      <c r="M104" s="220">
        <f t="shared" si="69"/>
        <v>2224</v>
      </c>
      <c r="N104" s="220">
        <f t="shared" si="69"/>
        <v>2348</v>
      </c>
      <c r="O104" s="220">
        <f t="shared" si="69"/>
        <v>2379</v>
      </c>
      <c r="P104" s="220">
        <f t="shared" si="113"/>
        <v>2000</v>
      </c>
      <c r="Q104" s="220">
        <f t="shared" si="113"/>
        <v>2150</v>
      </c>
      <c r="R104" s="220">
        <f t="shared" si="113"/>
        <v>2150</v>
      </c>
      <c r="S104" s="220">
        <f t="shared" si="113"/>
        <v>2150</v>
      </c>
      <c r="T104" s="220">
        <f t="shared" si="113"/>
        <v>2000</v>
      </c>
      <c r="U104" s="220">
        <f t="shared" si="114"/>
        <v>452</v>
      </c>
      <c r="V104" s="220">
        <f t="shared" si="114"/>
        <v>337</v>
      </c>
      <c r="W104" s="220">
        <f t="shared" si="114"/>
        <v>74</v>
      </c>
      <c r="X104" s="220">
        <f t="shared" si="114"/>
        <v>198</v>
      </c>
      <c r="Y104" s="220">
        <f t="shared" si="114"/>
        <v>379</v>
      </c>
      <c r="Z104" s="220">
        <v>0</v>
      </c>
      <c r="AA104" s="220">
        <v>0</v>
      </c>
      <c r="AB104" s="220">
        <v>0</v>
      </c>
      <c r="AC104" s="220">
        <v>0</v>
      </c>
      <c r="AD104" s="220">
        <v>0</v>
      </c>
      <c r="AE104" s="220">
        <f t="shared" si="115"/>
        <v>-197</v>
      </c>
      <c r="AF104" s="220">
        <f t="shared" si="115"/>
        <v>-265</v>
      </c>
      <c r="AG104" s="220">
        <f t="shared" si="115"/>
        <v>-493</v>
      </c>
      <c r="AH104" s="220">
        <f t="shared" si="115"/>
        <v>-284</v>
      </c>
      <c r="AI104" s="220">
        <f t="shared" si="115"/>
        <v>-180</v>
      </c>
      <c r="AJ104" s="50">
        <f t="shared" si="95"/>
        <v>1.2740000000000054</v>
      </c>
      <c r="AK104" s="257"/>
      <c r="AL104" s="257">
        <f t="shared" si="96"/>
        <v>1.2</v>
      </c>
      <c r="AM104" s="52"/>
      <c r="AN104" s="88"/>
    </row>
    <row r="105" spans="1:40" s="29" customFormat="1" ht="17.25" customHeight="1">
      <c r="A105" s="48">
        <v>95</v>
      </c>
      <c r="B105" s="49">
        <f t="shared" si="88"/>
        <v>45679</v>
      </c>
      <c r="C105" s="220">
        <f t="shared" si="89"/>
        <v>1049</v>
      </c>
      <c r="D105" s="220">
        <f t="shared" ref="D105" si="127">D104-18</f>
        <v>2302</v>
      </c>
      <c r="E105" s="220">
        <f t="shared" si="91"/>
        <v>3351</v>
      </c>
      <c r="F105" s="220">
        <f t="shared" si="83"/>
        <v>900</v>
      </c>
      <c r="G105" s="220">
        <f t="shared" si="84"/>
        <v>864</v>
      </c>
      <c r="H105" s="220">
        <f t="shared" si="85"/>
        <v>1128</v>
      </c>
      <c r="I105" s="220">
        <f t="shared" si="86"/>
        <v>1003</v>
      </c>
      <c r="J105" s="220">
        <f t="shared" si="87"/>
        <v>974</v>
      </c>
      <c r="K105" s="220">
        <f t="shared" si="69"/>
        <v>2451</v>
      </c>
      <c r="L105" s="220">
        <f t="shared" si="69"/>
        <v>2487</v>
      </c>
      <c r="M105" s="220">
        <f t="shared" si="69"/>
        <v>2223</v>
      </c>
      <c r="N105" s="220">
        <f t="shared" si="69"/>
        <v>2348</v>
      </c>
      <c r="O105" s="220">
        <f t="shared" si="69"/>
        <v>2377</v>
      </c>
      <c r="P105" s="220">
        <f t="shared" si="113"/>
        <v>2000</v>
      </c>
      <c r="Q105" s="220">
        <f t="shared" si="113"/>
        <v>2150</v>
      </c>
      <c r="R105" s="220">
        <f t="shared" si="113"/>
        <v>2150</v>
      </c>
      <c r="S105" s="220">
        <f t="shared" si="113"/>
        <v>2150</v>
      </c>
      <c r="T105" s="220">
        <f t="shared" si="113"/>
        <v>2000</v>
      </c>
      <c r="U105" s="220">
        <f t="shared" si="114"/>
        <v>451</v>
      </c>
      <c r="V105" s="220">
        <f t="shared" si="114"/>
        <v>337</v>
      </c>
      <c r="W105" s="220">
        <f t="shared" si="114"/>
        <v>73</v>
      </c>
      <c r="X105" s="220">
        <f t="shared" si="114"/>
        <v>198</v>
      </c>
      <c r="Y105" s="220">
        <f t="shared" si="114"/>
        <v>377</v>
      </c>
      <c r="Z105" s="220">
        <v>1</v>
      </c>
      <c r="AA105" s="220">
        <v>0</v>
      </c>
      <c r="AB105" s="220">
        <v>1</v>
      </c>
      <c r="AC105" s="220">
        <v>0</v>
      </c>
      <c r="AD105" s="220">
        <v>2</v>
      </c>
      <c r="AE105" s="220">
        <f t="shared" si="115"/>
        <v>-198</v>
      </c>
      <c r="AF105" s="220">
        <f t="shared" si="115"/>
        <v>-265</v>
      </c>
      <c r="AG105" s="220">
        <f t="shared" si="115"/>
        <v>-494</v>
      </c>
      <c r="AH105" s="220">
        <f t="shared" si="115"/>
        <v>-284</v>
      </c>
      <c r="AI105" s="220">
        <f t="shared" si="115"/>
        <v>-182</v>
      </c>
      <c r="AJ105" s="50">
        <f t="shared" si="95"/>
        <v>1.2730000000000055</v>
      </c>
      <c r="AK105" s="257"/>
      <c r="AL105" s="257">
        <f t="shared" si="96"/>
        <v>1.2</v>
      </c>
      <c r="AM105" s="52"/>
      <c r="AN105" s="88"/>
    </row>
    <row r="106" spans="1:40" s="29" customFormat="1" ht="17.25" customHeight="1">
      <c r="A106" s="48">
        <v>96</v>
      </c>
      <c r="B106" s="49">
        <f t="shared" si="88"/>
        <v>45680</v>
      </c>
      <c r="C106" s="220">
        <f t="shared" si="89"/>
        <v>1049</v>
      </c>
      <c r="D106" s="220">
        <f t="shared" ref="D106" si="128">D105-26</f>
        <v>2276</v>
      </c>
      <c r="E106" s="220">
        <f t="shared" si="91"/>
        <v>3325</v>
      </c>
      <c r="F106" s="220">
        <f t="shared" si="83"/>
        <v>874</v>
      </c>
      <c r="G106" s="220">
        <f t="shared" si="84"/>
        <v>838</v>
      </c>
      <c r="H106" s="220">
        <f t="shared" si="85"/>
        <v>1102</v>
      </c>
      <c r="I106" s="220">
        <f t="shared" si="86"/>
        <v>980</v>
      </c>
      <c r="J106" s="220">
        <f t="shared" si="87"/>
        <v>948</v>
      </c>
      <c r="K106" s="220">
        <f t="shared" si="69"/>
        <v>2451</v>
      </c>
      <c r="L106" s="220">
        <f t="shared" si="69"/>
        <v>2487</v>
      </c>
      <c r="M106" s="220">
        <f t="shared" si="69"/>
        <v>2223</v>
      </c>
      <c r="N106" s="220">
        <f t="shared" si="69"/>
        <v>2345</v>
      </c>
      <c r="O106" s="220">
        <f t="shared" si="69"/>
        <v>2377</v>
      </c>
      <c r="P106" s="220">
        <f t="shared" si="113"/>
        <v>2000</v>
      </c>
      <c r="Q106" s="220">
        <f t="shared" si="113"/>
        <v>2150</v>
      </c>
      <c r="R106" s="220">
        <f t="shared" si="113"/>
        <v>2150</v>
      </c>
      <c r="S106" s="220">
        <f t="shared" si="113"/>
        <v>2150</v>
      </c>
      <c r="T106" s="220">
        <f t="shared" si="113"/>
        <v>2000</v>
      </c>
      <c r="U106" s="220">
        <f t="shared" si="114"/>
        <v>451</v>
      </c>
      <c r="V106" s="220">
        <f t="shared" si="114"/>
        <v>337</v>
      </c>
      <c r="W106" s="220">
        <f t="shared" si="114"/>
        <v>73</v>
      </c>
      <c r="X106" s="220">
        <f t="shared" si="114"/>
        <v>195</v>
      </c>
      <c r="Y106" s="220">
        <f t="shared" si="114"/>
        <v>377</v>
      </c>
      <c r="Z106" s="220">
        <v>0</v>
      </c>
      <c r="AA106" s="220">
        <v>0</v>
      </c>
      <c r="AB106" s="220">
        <v>0</v>
      </c>
      <c r="AC106" s="220">
        <v>3</v>
      </c>
      <c r="AD106" s="220">
        <v>0</v>
      </c>
      <c r="AE106" s="220">
        <f t="shared" si="115"/>
        <v>-198</v>
      </c>
      <c r="AF106" s="220">
        <f t="shared" si="115"/>
        <v>-265</v>
      </c>
      <c r="AG106" s="220">
        <f t="shared" si="115"/>
        <v>-494</v>
      </c>
      <c r="AH106" s="220">
        <f t="shared" si="115"/>
        <v>-287</v>
      </c>
      <c r="AI106" s="220">
        <f t="shared" si="115"/>
        <v>-182</v>
      </c>
      <c r="AJ106" s="50">
        <f t="shared" si="95"/>
        <v>1.2730000000000055</v>
      </c>
      <c r="AK106" s="257"/>
      <c r="AL106" s="257">
        <f t="shared" si="96"/>
        <v>1.2</v>
      </c>
      <c r="AM106" s="52"/>
      <c r="AN106" s="88"/>
    </row>
    <row r="107" spans="1:40" s="29" customFormat="1" ht="17.25" customHeight="1">
      <c r="A107" s="48">
        <v>97</v>
      </c>
      <c r="B107" s="49">
        <f t="shared" si="88"/>
        <v>45681</v>
      </c>
      <c r="C107" s="220">
        <f t="shared" si="89"/>
        <v>1049</v>
      </c>
      <c r="D107" s="220">
        <f t="shared" ref="D107" si="129">D106+15</f>
        <v>2291</v>
      </c>
      <c r="E107" s="220">
        <f t="shared" si="91"/>
        <v>3340</v>
      </c>
      <c r="F107" s="220">
        <f t="shared" si="83"/>
        <v>889</v>
      </c>
      <c r="G107" s="220">
        <f t="shared" si="84"/>
        <v>856</v>
      </c>
      <c r="H107" s="220">
        <f t="shared" si="85"/>
        <v>1117</v>
      </c>
      <c r="I107" s="220">
        <f t="shared" si="86"/>
        <v>995</v>
      </c>
      <c r="J107" s="220">
        <f t="shared" si="87"/>
        <v>963</v>
      </c>
      <c r="K107" s="220">
        <f t="shared" si="69"/>
        <v>2451</v>
      </c>
      <c r="L107" s="220">
        <f t="shared" si="69"/>
        <v>2484</v>
      </c>
      <c r="M107" s="220">
        <f t="shared" si="69"/>
        <v>2223</v>
      </c>
      <c r="N107" s="220">
        <f t="shared" si="69"/>
        <v>2345</v>
      </c>
      <c r="O107" s="220">
        <f t="shared" si="69"/>
        <v>2377</v>
      </c>
      <c r="P107" s="220">
        <f t="shared" si="113"/>
        <v>2000</v>
      </c>
      <c r="Q107" s="220">
        <f t="shared" si="113"/>
        <v>2150</v>
      </c>
      <c r="R107" s="220">
        <f t="shared" si="113"/>
        <v>2150</v>
      </c>
      <c r="S107" s="220">
        <f t="shared" si="113"/>
        <v>2150</v>
      </c>
      <c r="T107" s="220">
        <f t="shared" si="113"/>
        <v>2000</v>
      </c>
      <c r="U107" s="220">
        <f t="shared" si="114"/>
        <v>451</v>
      </c>
      <c r="V107" s="220">
        <f t="shared" si="114"/>
        <v>334</v>
      </c>
      <c r="W107" s="220">
        <f t="shared" si="114"/>
        <v>73</v>
      </c>
      <c r="X107" s="220">
        <f t="shared" si="114"/>
        <v>195</v>
      </c>
      <c r="Y107" s="220">
        <f t="shared" si="114"/>
        <v>377</v>
      </c>
      <c r="Z107" s="220">
        <v>0</v>
      </c>
      <c r="AA107" s="220">
        <v>3</v>
      </c>
      <c r="AB107" s="220">
        <v>0</v>
      </c>
      <c r="AC107" s="220">
        <v>0</v>
      </c>
      <c r="AD107" s="220">
        <v>0</v>
      </c>
      <c r="AE107" s="220">
        <f t="shared" si="115"/>
        <v>-198</v>
      </c>
      <c r="AF107" s="220">
        <f t="shared" si="115"/>
        <v>-268</v>
      </c>
      <c r="AG107" s="220">
        <f t="shared" si="115"/>
        <v>-494</v>
      </c>
      <c r="AH107" s="220">
        <f t="shared" si="115"/>
        <v>-287</v>
      </c>
      <c r="AI107" s="220">
        <f t="shared" si="115"/>
        <v>-182</v>
      </c>
      <c r="AJ107" s="50">
        <f t="shared" si="95"/>
        <v>1.2730000000000055</v>
      </c>
      <c r="AK107" s="257"/>
      <c r="AL107" s="257">
        <f t="shared" si="96"/>
        <v>1.2</v>
      </c>
      <c r="AM107" s="52"/>
      <c r="AN107" s="88"/>
    </row>
    <row r="108" spans="1:40" s="29" customFormat="1" ht="17.25" customHeight="1">
      <c r="A108" s="48">
        <v>98</v>
      </c>
      <c r="B108" s="49">
        <f t="shared" si="88"/>
        <v>45682</v>
      </c>
      <c r="C108" s="220">
        <f t="shared" si="89"/>
        <v>1049</v>
      </c>
      <c r="D108" s="220">
        <f t="shared" ref="D108" si="130">D107+26</f>
        <v>2317</v>
      </c>
      <c r="E108" s="220">
        <f t="shared" si="91"/>
        <v>3366</v>
      </c>
      <c r="F108" s="220">
        <f t="shared" si="83"/>
        <v>916</v>
      </c>
      <c r="G108" s="220">
        <f t="shared" si="84"/>
        <v>882</v>
      </c>
      <c r="H108" s="220">
        <f t="shared" si="85"/>
        <v>1144</v>
      </c>
      <c r="I108" s="220">
        <f t="shared" si="86"/>
        <v>1021</v>
      </c>
      <c r="J108" s="220">
        <f t="shared" si="87"/>
        <v>990</v>
      </c>
      <c r="K108" s="220">
        <f t="shared" si="69"/>
        <v>2450</v>
      </c>
      <c r="L108" s="220">
        <f t="shared" si="69"/>
        <v>2484</v>
      </c>
      <c r="M108" s="220">
        <f t="shared" si="69"/>
        <v>2222</v>
      </c>
      <c r="N108" s="220">
        <f t="shared" si="69"/>
        <v>2345</v>
      </c>
      <c r="O108" s="220">
        <f t="shared" si="69"/>
        <v>2376</v>
      </c>
      <c r="P108" s="220">
        <f t="shared" si="113"/>
        <v>2000</v>
      </c>
      <c r="Q108" s="220">
        <f t="shared" si="113"/>
        <v>2150</v>
      </c>
      <c r="R108" s="220">
        <f t="shared" si="113"/>
        <v>2150</v>
      </c>
      <c r="S108" s="220">
        <f t="shared" si="113"/>
        <v>2150</v>
      </c>
      <c r="T108" s="220">
        <f t="shared" si="113"/>
        <v>2000</v>
      </c>
      <c r="U108" s="220">
        <f t="shared" si="114"/>
        <v>450</v>
      </c>
      <c r="V108" s="220">
        <f t="shared" si="114"/>
        <v>334</v>
      </c>
      <c r="W108" s="220">
        <f t="shared" si="114"/>
        <v>72</v>
      </c>
      <c r="X108" s="220">
        <f t="shared" si="114"/>
        <v>195</v>
      </c>
      <c r="Y108" s="220">
        <f t="shared" si="114"/>
        <v>376</v>
      </c>
      <c r="Z108" s="220">
        <v>1</v>
      </c>
      <c r="AA108" s="220">
        <v>0</v>
      </c>
      <c r="AB108" s="220">
        <v>1</v>
      </c>
      <c r="AC108" s="220">
        <v>0</v>
      </c>
      <c r="AD108" s="220">
        <v>1</v>
      </c>
      <c r="AE108" s="220">
        <f t="shared" si="115"/>
        <v>-199</v>
      </c>
      <c r="AF108" s="220">
        <f t="shared" si="115"/>
        <v>-268</v>
      </c>
      <c r="AG108" s="220">
        <f t="shared" si="115"/>
        <v>-495</v>
      </c>
      <c r="AH108" s="220">
        <f t="shared" si="115"/>
        <v>-287</v>
      </c>
      <c r="AI108" s="220">
        <f t="shared" si="115"/>
        <v>-183</v>
      </c>
      <c r="AJ108" s="50">
        <f t="shared" si="95"/>
        <v>1.2720000000000056</v>
      </c>
      <c r="AK108" s="257"/>
      <c r="AL108" s="257">
        <f t="shared" si="96"/>
        <v>1.2</v>
      </c>
      <c r="AM108" s="52"/>
      <c r="AN108" s="88"/>
    </row>
    <row r="109" spans="1:40" s="29" customFormat="1" ht="17.25" customHeight="1">
      <c r="A109" s="48">
        <v>99</v>
      </c>
      <c r="B109" s="49">
        <f t="shared" si="88"/>
        <v>45683</v>
      </c>
      <c r="C109" s="220">
        <f t="shared" si="89"/>
        <v>1049</v>
      </c>
      <c r="D109" s="220">
        <f t="shared" ref="D109" si="131">D108+32</f>
        <v>2349</v>
      </c>
      <c r="E109" s="220">
        <f t="shared" si="91"/>
        <v>3398</v>
      </c>
      <c r="F109" s="220">
        <f t="shared" si="83"/>
        <v>948</v>
      </c>
      <c r="G109" s="220">
        <f t="shared" si="84"/>
        <v>914</v>
      </c>
      <c r="H109" s="220">
        <f t="shared" si="85"/>
        <v>1176</v>
      </c>
      <c r="I109" s="220">
        <f t="shared" si="86"/>
        <v>1053</v>
      </c>
      <c r="J109" s="220">
        <f t="shared" si="87"/>
        <v>1024</v>
      </c>
      <c r="K109" s="220">
        <f t="shared" si="69"/>
        <v>2450</v>
      </c>
      <c r="L109" s="220">
        <f t="shared" si="69"/>
        <v>2484</v>
      </c>
      <c r="M109" s="220">
        <f t="shared" si="69"/>
        <v>2222</v>
      </c>
      <c r="N109" s="220">
        <f t="shared" si="69"/>
        <v>2345</v>
      </c>
      <c r="O109" s="220">
        <f t="shared" si="69"/>
        <v>2374</v>
      </c>
      <c r="P109" s="220">
        <f t="shared" ref="P109:T124" si="132">+P108</f>
        <v>2000</v>
      </c>
      <c r="Q109" s="220">
        <f t="shared" si="132"/>
        <v>2150</v>
      </c>
      <c r="R109" s="220">
        <f t="shared" si="132"/>
        <v>2150</v>
      </c>
      <c r="S109" s="220">
        <f t="shared" si="132"/>
        <v>2150</v>
      </c>
      <c r="T109" s="220">
        <f t="shared" si="132"/>
        <v>2000</v>
      </c>
      <c r="U109" s="220">
        <f t="shared" ref="U109:Y124" si="133">U108-Z109</f>
        <v>450</v>
      </c>
      <c r="V109" s="220">
        <f t="shared" si="133"/>
        <v>334</v>
      </c>
      <c r="W109" s="220">
        <f t="shared" si="133"/>
        <v>72</v>
      </c>
      <c r="X109" s="220">
        <f t="shared" si="133"/>
        <v>195</v>
      </c>
      <c r="Y109" s="220">
        <f t="shared" si="133"/>
        <v>374</v>
      </c>
      <c r="Z109" s="220">
        <v>0</v>
      </c>
      <c r="AA109" s="220">
        <v>0</v>
      </c>
      <c r="AB109" s="220">
        <v>0</v>
      </c>
      <c r="AC109" s="220">
        <v>0</v>
      </c>
      <c r="AD109" s="220">
        <v>2</v>
      </c>
      <c r="AE109" s="220">
        <f t="shared" ref="AE109:AI124" si="134">AE108-Z109</f>
        <v>-199</v>
      </c>
      <c r="AF109" s="220">
        <f t="shared" si="134"/>
        <v>-268</v>
      </c>
      <c r="AG109" s="220">
        <f t="shared" si="134"/>
        <v>-495</v>
      </c>
      <c r="AH109" s="220">
        <f t="shared" si="134"/>
        <v>-287</v>
      </c>
      <c r="AI109" s="220">
        <f t="shared" si="134"/>
        <v>-185</v>
      </c>
      <c r="AJ109" s="50">
        <f t="shared" si="95"/>
        <v>1.2720000000000056</v>
      </c>
      <c r="AK109" s="257"/>
      <c r="AL109" s="257">
        <f t="shared" si="96"/>
        <v>1.2</v>
      </c>
      <c r="AM109" s="52"/>
      <c r="AN109" s="88"/>
    </row>
    <row r="110" spans="1:40" s="29" customFormat="1" ht="17.25" customHeight="1">
      <c r="A110" s="48">
        <v>100</v>
      </c>
      <c r="B110" s="49">
        <f t="shared" si="88"/>
        <v>45684</v>
      </c>
      <c r="C110" s="220">
        <f t="shared" si="89"/>
        <v>1049</v>
      </c>
      <c r="D110" s="220">
        <f t="shared" ref="D110" si="135">D109-18</f>
        <v>2331</v>
      </c>
      <c r="E110" s="220">
        <f t="shared" si="91"/>
        <v>3380</v>
      </c>
      <c r="F110" s="220">
        <f t="shared" si="83"/>
        <v>931</v>
      </c>
      <c r="G110" s="220">
        <f t="shared" si="84"/>
        <v>899</v>
      </c>
      <c r="H110" s="220">
        <f t="shared" si="85"/>
        <v>1159</v>
      </c>
      <c r="I110" s="220">
        <f t="shared" si="86"/>
        <v>1035</v>
      </c>
      <c r="J110" s="220">
        <f t="shared" si="87"/>
        <v>1006</v>
      </c>
      <c r="K110" s="220">
        <f t="shared" si="69"/>
        <v>2449</v>
      </c>
      <c r="L110" s="220">
        <f t="shared" si="69"/>
        <v>2481</v>
      </c>
      <c r="M110" s="220">
        <f t="shared" si="69"/>
        <v>2221</v>
      </c>
      <c r="N110" s="220">
        <f t="shared" si="69"/>
        <v>2345</v>
      </c>
      <c r="O110" s="220">
        <f t="shared" si="69"/>
        <v>2374</v>
      </c>
      <c r="P110" s="220">
        <f t="shared" si="132"/>
        <v>2000</v>
      </c>
      <c r="Q110" s="220">
        <f t="shared" si="132"/>
        <v>2150</v>
      </c>
      <c r="R110" s="220">
        <f t="shared" si="132"/>
        <v>2150</v>
      </c>
      <c r="S110" s="220">
        <f t="shared" si="132"/>
        <v>2150</v>
      </c>
      <c r="T110" s="220">
        <f t="shared" si="132"/>
        <v>2000</v>
      </c>
      <c r="U110" s="220">
        <f t="shared" si="133"/>
        <v>449</v>
      </c>
      <c r="V110" s="220">
        <f t="shared" si="133"/>
        <v>331</v>
      </c>
      <c r="W110" s="220">
        <f t="shared" si="133"/>
        <v>71</v>
      </c>
      <c r="X110" s="220">
        <f t="shared" si="133"/>
        <v>195</v>
      </c>
      <c r="Y110" s="220">
        <f t="shared" si="133"/>
        <v>374</v>
      </c>
      <c r="Z110" s="220">
        <v>1</v>
      </c>
      <c r="AA110" s="220">
        <v>3</v>
      </c>
      <c r="AB110" s="220">
        <v>1</v>
      </c>
      <c r="AC110" s="220">
        <v>0</v>
      </c>
      <c r="AD110" s="220">
        <v>0</v>
      </c>
      <c r="AE110" s="220">
        <f t="shared" si="134"/>
        <v>-200</v>
      </c>
      <c r="AF110" s="220">
        <f t="shared" si="134"/>
        <v>-271</v>
      </c>
      <c r="AG110" s="220">
        <f t="shared" si="134"/>
        <v>-496</v>
      </c>
      <c r="AH110" s="220">
        <f t="shared" si="134"/>
        <v>-287</v>
      </c>
      <c r="AI110" s="220">
        <f t="shared" si="134"/>
        <v>-185</v>
      </c>
      <c r="AJ110" s="50">
        <f t="shared" si="95"/>
        <v>1.2710000000000057</v>
      </c>
      <c r="AK110" s="257"/>
      <c r="AL110" s="257">
        <f t="shared" si="96"/>
        <v>1.2</v>
      </c>
      <c r="AM110" s="52"/>
      <c r="AN110" s="88"/>
    </row>
    <row r="111" spans="1:40" s="29" customFormat="1" ht="17.25" customHeight="1">
      <c r="A111" s="48">
        <v>101</v>
      </c>
      <c r="B111" s="49">
        <f t="shared" si="88"/>
        <v>45685</v>
      </c>
      <c r="C111" s="220">
        <f t="shared" si="89"/>
        <v>1049</v>
      </c>
      <c r="D111" s="220">
        <f t="shared" ref="D111" si="136">D110-26</f>
        <v>2305</v>
      </c>
      <c r="E111" s="220">
        <f t="shared" si="91"/>
        <v>3354</v>
      </c>
      <c r="F111" s="220">
        <f t="shared" si="83"/>
        <v>905</v>
      </c>
      <c r="G111" s="220">
        <f t="shared" si="84"/>
        <v>874</v>
      </c>
      <c r="H111" s="220">
        <f t="shared" si="85"/>
        <v>1133</v>
      </c>
      <c r="I111" s="220">
        <f t="shared" si="86"/>
        <v>1010</v>
      </c>
      <c r="J111" s="220">
        <f t="shared" si="87"/>
        <v>980</v>
      </c>
      <c r="K111" s="220">
        <f t="shared" si="69"/>
        <v>2449</v>
      </c>
      <c r="L111" s="220">
        <f t="shared" si="69"/>
        <v>2480</v>
      </c>
      <c r="M111" s="220">
        <f t="shared" si="69"/>
        <v>2221</v>
      </c>
      <c r="N111" s="220">
        <f t="shared" si="69"/>
        <v>2344</v>
      </c>
      <c r="O111" s="220">
        <f t="shared" si="69"/>
        <v>2374</v>
      </c>
      <c r="P111" s="220">
        <f t="shared" si="132"/>
        <v>2000</v>
      </c>
      <c r="Q111" s="220">
        <f t="shared" si="132"/>
        <v>2150</v>
      </c>
      <c r="R111" s="220">
        <f t="shared" si="132"/>
        <v>2150</v>
      </c>
      <c r="S111" s="220">
        <f t="shared" si="132"/>
        <v>2150</v>
      </c>
      <c r="T111" s="220">
        <f t="shared" si="132"/>
        <v>2000</v>
      </c>
      <c r="U111" s="220">
        <f t="shared" si="133"/>
        <v>449</v>
      </c>
      <c r="V111" s="220">
        <f t="shared" si="133"/>
        <v>330</v>
      </c>
      <c r="W111" s="220">
        <f t="shared" si="133"/>
        <v>71</v>
      </c>
      <c r="X111" s="220">
        <f t="shared" si="133"/>
        <v>194</v>
      </c>
      <c r="Y111" s="220">
        <f t="shared" si="133"/>
        <v>374</v>
      </c>
      <c r="Z111" s="220">
        <v>0</v>
      </c>
      <c r="AA111" s="220">
        <v>1</v>
      </c>
      <c r="AB111" s="220">
        <v>0</v>
      </c>
      <c r="AC111" s="220">
        <v>1</v>
      </c>
      <c r="AD111" s="220">
        <v>0</v>
      </c>
      <c r="AE111" s="220">
        <f t="shared" si="134"/>
        <v>-200</v>
      </c>
      <c r="AF111" s="220">
        <f t="shared" si="134"/>
        <v>-272</v>
      </c>
      <c r="AG111" s="220">
        <f t="shared" si="134"/>
        <v>-496</v>
      </c>
      <c r="AH111" s="220">
        <f t="shared" si="134"/>
        <v>-288</v>
      </c>
      <c r="AI111" s="220">
        <f t="shared" si="134"/>
        <v>-185</v>
      </c>
      <c r="AJ111" s="50">
        <f t="shared" si="95"/>
        <v>1.2710000000000057</v>
      </c>
      <c r="AK111" s="257"/>
      <c r="AL111" s="257">
        <f t="shared" si="96"/>
        <v>1.2</v>
      </c>
      <c r="AM111" s="52"/>
      <c r="AN111" s="88"/>
    </row>
    <row r="112" spans="1:40" s="29" customFormat="1" ht="17.25" customHeight="1">
      <c r="A112" s="48">
        <v>102</v>
      </c>
      <c r="B112" s="49">
        <f t="shared" si="88"/>
        <v>45686</v>
      </c>
      <c r="C112" s="220">
        <f t="shared" si="89"/>
        <v>1049</v>
      </c>
      <c r="D112" s="220">
        <f t="shared" ref="D112" si="137">D111+15</f>
        <v>2320</v>
      </c>
      <c r="E112" s="220">
        <f t="shared" si="91"/>
        <v>3369</v>
      </c>
      <c r="F112" s="220">
        <f t="shared" si="83"/>
        <v>921</v>
      </c>
      <c r="G112" s="220">
        <f t="shared" si="84"/>
        <v>891</v>
      </c>
      <c r="H112" s="220">
        <f t="shared" si="85"/>
        <v>1149</v>
      </c>
      <c r="I112" s="220">
        <f t="shared" si="86"/>
        <v>1027</v>
      </c>
      <c r="J112" s="220">
        <f t="shared" si="87"/>
        <v>995</v>
      </c>
      <c r="K112" s="220">
        <f t="shared" si="69"/>
        <v>2448</v>
      </c>
      <c r="L112" s="220">
        <f t="shared" si="69"/>
        <v>2478</v>
      </c>
      <c r="M112" s="220">
        <f t="shared" si="69"/>
        <v>2220</v>
      </c>
      <c r="N112" s="220">
        <f t="shared" si="69"/>
        <v>2342</v>
      </c>
      <c r="O112" s="220">
        <f t="shared" si="69"/>
        <v>2374</v>
      </c>
      <c r="P112" s="220">
        <f t="shared" si="132"/>
        <v>2000</v>
      </c>
      <c r="Q112" s="220">
        <f t="shared" si="132"/>
        <v>2150</v>
      </c>
      <c r="R112" s="220">
        <f t="shared" si="132"/>
        <v>2150</v>
      </c>
      <c r="S112" s="220">
        <f t="shared" si="132"/>
        <v>2150</v>
      </c>
      <c r="T112" s="220">
        <f t="shared" si="132"/>
        <v>2000</v>
      </c>
      <c r="U112" s="220">
        <f t="shared" si="133"/>
        <v>448</v>
      </c>
      <c r="V112" s="220">
        <f t="shared" si="133"/>
        <v>328</v>
      </c>
      <c r="W112" s="220">
        <f t="shared" si="133"/>
        <v>70</v>
      </c>
      <c r="X112" s="220">
        <f t="shared" si="133"/>
        <v>192</v>
      </c>
      <c r="Y112" s="220">
        <f t="shared" si="133"/>
        <v>374</v>
      </c>
      <c r="Z112" s="220">
        <v>1</v>
      </c>
      <c r="AA112" s="220">
        <v>2</v>
      </c>
      <c r="AB112" s="220">
        <v>1</v>
      </c>
      <c r="AC112" s="220">
        <v>2</v>
      </c>
      <c r="AD112" s="220">
        <v>0</v>
      </c>
      <c r="AE112" s="220">
        <f t="shared" si="134"/>
        <v>-201</v>
      </c>
      <c r="AF112" s="220">
        <f t="shared" si="134"/>
        <v>-274</v>
      </c>
      <c r="AG112" s="220">
        <f t="shared" si="134"/>
        <v>-497</v>
      </c>
      <c r="AH112" s="220">
        <f t="shared" si="134"/>
        <v>-290</v>
      </c>
      <c r="AI112" s="220">
        <f t="shared" si="134"/>
        <v>-185</v>
      </c>
      <c r="AJ112" s="50">
        <f t="shared" si="95"/>
        <v>1.2700000000000058</v>
      </c>
      <c r="AK112" s="257"/>
      <c r="AL112" s="257">
        <f t="shared" si="96"/>
        <v>1.2</v>
      </c>
      <c r="AM112" s="52"/>
      <c r="AN112" s="88"/>
    </row>
    <row r="113" spans="1:40" s="29" customFormat="1" ht="17.25" customHeight="1">
      <c r="A113" s="48">
        <v>103</v>
      </c>
      <c r="B113" s="49">
        <f t="shared" si="88"/>
        <v>45687</v>
      </c>
      <c r="C113" s="220">
        <f t="shared" si="89"/>
        <v>1049</v>
      </c>
      <c r="D113" s="220">
        <f t="shared" ref="D113" si="138">D112+26</f>
        <v>2346</v>
      </c>
      <c r="E113" s="220">
        <f t="shared" si="91"/>
        <v>3395</v>
      </c>
      <c r="F113" s="220">
        <f t="shared" si="83"/>
        <v>947</v>
      </c>
      <c r="G113" s="220">
        <f t="shared" si="84"/>
        <v>917</v>
      </c>
      <c r="H113" s="220">
        <f t="shared" si="85"/>
        <v>1175</v>
      </c>
      <c r="I113" s="220">
        <f t="shared" si="86"/>
        <v>1053</v>
      </c>
      <c r="J113" s="220">
        <f t="shared" si="87"/>
        <v>1021</v>
      </c>
      <c r="K113" s="220">
        <f t="shared" si="69"/>
        <v>2448</v>
      </c>
      <c r="L113" s="220">
        <f t="shared" si="69"/>
        <v>2478</v>
      </c>
      <c r="M113" s="220">
        <f t="shared" si="69"/>
        <v>2220</v>
      </c>
      <c r="N113" s="220">
        <f t="shared" si="69"/>
        <v>2342</v>
      </c>
      <c r="O113" s="220">
        <f t="shared" si="69"/>
        <v>2374</v>
      </c>
      <c r="P113" s="220">
        <f t="shared" si="132"/>
        <v>2000</v>
      </c>
      <c r="Q113" s="220">
        <f t="shared" si="132"/>
        <v>2150</v>
      </c>
      <c r="R113" s="220">
        <f t="shared" si="132"/>
        <v>2150</v>
      </c>
      <c r="S113" s="220">
        <f t="shared" si="132"/>
        <v>2150</v>
      </c>
      <c r="T113" s="220">
        <f t="shared" si="132"/>
        <v>2000</v>
      </c>
      <c r="U113" s="220">
        <f t="shared" si="133"/>
        <v>448</v>
      </c>
      <c r="V113" s="220">
        <f t="shared" si="133"/>
        <v>328</v>
      </c>
      <c r="W113" s="220">
        <f t="shared" si="133"/>
        <v>70</v>
      </c>
      <c r="X113" s="220">
        <f t="shared" si="133"/>
        <v>192</v>
      </c>
      <c r="Y113" s="220">
        <f t="shared" si="133"/>
        <v>374</v>
      </c>
      <c r="Z113" s="220">
        <v>0</v>
      </c>
      <c r="AA113" s="220">
        <v>0</v>
      </c>
      <c r="AB113" s="220">
        <v>0</v>
      </c>
      <c r="AC113" s="220">
        <v>0</v>
      </c>
      <c r="AD113" s="220">
        <v>0</v>
      </c>
      <c r="AE113" s="220">
        <f t="shared" si="134"/>
        <v>-201</v>
      </c>
      <c r="AF113" s="220">
        <f t="shared" si="134"/>
        <v>-274</v>
      </c>
      <c r="AG113" s="220">
        <f t="shared" si="134"/>
        <v>-497</v>
      </c>
      <c r="AH113" s="220">
        <f t="shared" si="134"/>
        <v>-290</v>
      </c>
      <c r="AI113" s="220">
        <f t="shared" si="134"/>
        <v>-185</v>
      </c>
      <c r="AJ113" s="50">
        <f t="shared" si="95"/>
        <v>1.2700000000000058</v>
      </c>
      <c r="AK113" s="257"/>
      <c r="AL113" s="257">
        <f t="shared" si="96"/>
        <v>1.2</v>
      </c>
      <c r="AM113" s="52"/>
      <c r="AN113" s="88"/>
    </row>
    <row r="114" spans="1:40" s="29" customFormat="1" ht="17.25" customHeight="1">
      <c r="A114" s="48">
        <v>104</v>
      </c>
      <c r="B114" s="49">
        <f t="shared" si="88"/>
        <v>45688</v>
      </c>
      <c r="C114" s="220">
        <f t="shared" si="89"/>
        <v>1049</v>
      </c>
      <c r="D114" s="220">
        <f t="shared" ref="D114" si="139">D113+32</f>
        <v>2378</v>
      </c>
      <c r="E114" s="220">
        <f t="shared" si="91"/>
        <v>3427</v>
      </c>
      <c r="F114" s="220">
        <f t="shared" si="83"/>
        <v>980</v>
      </c>
      <c r="G114" s="220">
        <f t="shared" si="84"/>
        <v>950</v>
      </c>
      <c r="H114" s="220">
        <f t="shared" si="85"/>
        <v>1208</v>
      </c>
      <c r="I114" s="220">
        <f t="shared" si="86"/>
        <v>1086</v>
      </c>
      <c r="J114" s="220">
        <f t="shared" si="87"/>
        <v>1053</v>
      </c>
      <c r="K114" s="220">
        <f t="shared" ref="K114:O164" si="140">P114+U114</f>
        <v>2447</v>
      </c>
      <c r="L114" s="220">
        <f t="shared" si="140"/>
        <v>2477</v>
      </c>
      <c r="M114" s="220">
        <f t="shared" si="140"/>
        <v>2219</v>
      </c>
      <c r="N114" s="220">
        <f t="shared" si="140"/>
        <v>2341</v>
      </c>
      <c r="O114" s="220">
        <f t="shared" si="140"/>
        <v>2374</v>
      </c>
      <c r="P114" s="220">
        <f t="shared" si="132"/>
        <v>2000</v>
      </c>
      <c r="Q114" s="220">
        <f t="shared" si="132"/>
        <v>2150</v>
      </c>
      <c r="R114" s="220">
        <f t="shared" si="132"/>
        <v>2150</v>
      </c>
      <c r="S114" s="220">
        <f t="shared" si="132"/>
        <v>2150</v>
      </c>
      <c r="T114" s="220">
        <f t="shared" si="132"/>
        <v>2000</v>
      </c>
      <c r="U114" s="220">
        <f t="shared" si="133"/>
        <v>447</v>
      </c>
      <c r="V114" s="220">
        <f t="shared" si="133"/>
        <v>327</v>
      </c>
      <c r="W114" s="220">
        <f t="shared" si="133"/>
        <v>69</v>
      </c>
      <c r="X114" s="220">
        <f t="shared" si="133"/>
        <v>191</v>
      </c>
      <c r="Y114" s="220">
        <f t="shared" si="133"/>
        <v>374</v>
      </c>
      <c r="Z114" s="220">
        <v>1</v>
      </c>
      <c r="AA114" s="220">
        <v>1</v>
      </c>
      <c r="AB114" s="220">
        <v>1</v>
      </c>
      <c r="AC114" s="220">
        <v>1</v>
      </c>
      <c r="AD114" s="220">
        <v>0</v>
      </c>
      <c r="AE114" s="220">
        <f t="shared" si="134"/>
        <v>-202</v>
      </c>
      <c r="AF114" s="220">
        <f t="shared" si="134"/>
        <v>-275</v>
      </c>
      <c r="AG114" s="220">
        <f t="shared" si="134"/>
        <v>-498</v>
      </c>
      <c r="AH114" s="220">
        <f t="shared" si="134"/>
        <v>-291</v>
      </c>
      <c r="AI114" s="220">
        <f t="shared" si="134"/>
        <v>-185</v>
      </c>
      <c r="AJ114" s="50">
        <f t="shared" si="95"/>
        <v>1.2690000000000059</v>
      </c>
      <c r="AK114" s="257"/>
      <c r="AL114" s="257">
        <f t="shared" si="96"/>
        <v>1.2</v>
      </c>
      <c r="AM114" s="52"/>
      <c r="AN114" s="88"/>
    </row>
    <row r="115" spans="1:40" s="29" customFormat="1" ht="17.25" customHeight="1">
      <c r="A115" s="48">
        <v>105</v>
      </c>
      <c r="B115" s="49">
        <f t="shared" si="88"/>
        <v>45689</v>
      </c>
      <c r="C115" s="220">
        <f t="shared" si="89"/>
        <v>1049</v>
      </c>
      <c r="D115" s="220">
        <f t="shared" ref="D115" si="141">D114-18</f>
        <v>2360</v>
      </c>
      <c r="E115" s="220">
        <f t="shared" si="91"/>
        <v>3409</v>
      </c>
      <c r="F115" s="220">
        <f t="shared" si="83"/>
        <v>962</v>
      </c>
      <c r="G115" s="220">
        <f t="shared" si="84"/>
        <v>932</v>
      </c>
      <c r="H115" s="220">
        <f t="shared" si="85"/>
        <v>1193</v>
      </c>
      <c r="I115" s="220">
        <f t="shared" si="86"/>
        <v>1068</v>
      </c>
      <c r="J115" s="220">
        <f t="shared" si="87"/>
        <v>1035</v>
      </c>
      <c r="K115" s="220">
        <f t="shared" si="140"/>
        <v>2447</v>
      </c>
      <c r="L115" s="220">
        <f t="shared" si="140"/>
        <v>2477</v>
      </c>
      <c r="M115" s="220">
        <f t="shared" si="140"/>
        <v>2216</v>
      </c>
      <c r="N115" s="220">
        <f t="shared" si="140"/>
        <v>2341</v>
      </c>
      <c r="O115" s="220">
        <f t="shared" si="140"/>
        <v>2374</v>
      </c>
      <c r="P115" s="220">
        <f t="shared" si="132"/>
        <v>2000</v>
      </c>
      <c r="Q115" s="220">
        <f t="shared" si="132"/>
        <v>2150</v>
      </c>
      <c r="R115" s="220">
        <f t="shared" si="132"/>
        <v>2150</v>
      </c>
      <c r="S115" s="220">
        <f t="shared" si="132"/>
        <v>2150</v>
      </c>
      <c r="T115" s="220">
        <f t="shared" si="132"/>
        <v>2000</v>
      </c>
      <c r="U115" s="220">
        <f t="shared" si="133"/>
        <v>447</v>
      </c>
      <c r="V115" s="220">
        <f t="shared" si="133"/>
        <v>327</v>
      </c>
      <c r="W115" s="220">
        <f t="shared" si="133"/>
        <v>66</v>
      </c>
      <c r="X115" s="220">
        <f t="shared" si="133"/>
        <v>191</v>
      </c>
      <c r="Y115" s="220">
        <f t="shared" si="133"/>
        <v>374</v>
      </c>
      <c r="Z115" s="220">
        <v>0</v>
      </c>
      <c r="AA115" s="220">
        <v>0</v>
      </c>
      <c r="AB115" s="220">
        <v>3</v>
      </c>
      <c r="AC115" s="220">
        <v>0</v>
      </c>
      <c r="AD115" s="220">
        <v>0</v>
      </c>
      <c r="AE115" s="220">
        <f t="shared" si="134"/>
        <v>-202</v>
      </c>
      <c r="AF115" s="220">
        <f t="shared" si="134"/>
        <v>-275</v>
      </c>
      <c r="AG115" s="220">
        <f t="shared" si="134"/>
        <v>-501</v>
      </c>
      <c r="AH115" s="220">
        <f t="shared" si="134"/>
        <v>-291</v>
      </c>
      <c r="AI115" s="220">
        <f t="shared" si="134"/>
        <v>-185</v>
      </c>
      <c r="AJ115" s="50">
        <f t="shared" si="95"/>
        <v>1.266000000000006</v>
      </c>
      <c r="AK115" s="257"/>
      <c r="AL115" s="257">
        <f t="shared" si="96"/>
        <v>1.2</v>
      </c>
      <c r="AM115" s="52"/>
      <c r="AN115" s="88"/>
    </row>
    <row r="116" spans="1:40" s="29" customFormat="1" ht="17.25" customHeight="1">
      <c r="A116" s="48">
        <v>106</v>
      </c>
      <c r="B116" s="49">
        <f t="shared" si="88"/>
        <v>45690</v>
      </c>
      <c r="C116" s="220">
        <f t="shared" si="89"/>
        <v>1049</v>
      </c>
      <c r="D116" s="220">
        <f t="shared" ref="D116" si="142">D115-26</f>
        <v>2334</v>
      </c>
      <c r="E116" s="220">
        <f t="shared" si="91"/>
        <v>3383</v>
      </c>
      <c r="F116" s="220">
        <f t="shared" si="83"/>
        <v>937</v>
      </c>
      <c r="G116" s="220">
        <f t="shared" si="84"/>
        <v>907</v>
      </c>
      <c r="H116" s="220">
        <f t="shared" si="85"/>
        <v>1168</v>
      </c>
      <c r="I116" s="220">
        <f t="shared" si="86"/>
        <v>1042</v>
      </c>
      <c r="J116" s="220">
        <f t="shared" si="87"/>
        <v>1009</v>
      </c>
      <c r="K116" s="220">
        <f t="shared" si="140"/>
        <v>2446</v>
      </c>
      <c r="L116" s="220">
        <f t="shared" si="140"/>
        <v>2476</v>
      </c>
      <c r="M116" s="220">
        <f t="shared" si="140"/>
        <v>2215</v>
      </c>
      <c r="N116" s="220">
        <f t="shared" si="140"/>
        <v>2341</v>
      </c>
      <c r="O116" s="220">
        <f t="shared" si="140"/>
        <v>2374</v>
      </c>
      <c r="P116" s="220">
        <f t="shared" si="132"/>
        <v>2000</v>
      </c>
      <c r="Q116" s="220">
        <f t="shared" si="132"/>
        <v>2150</v>
      </c>
      <c r="R116" s="220">
        <f t="shared" si="132"/>
        <v>2150</v>
      </c>
      <c r="S116" s="220">
        <f t="shared" si="132"/>
        <v>2150</v>
      </c>
      <c r="T116" s="220">
        <f t="shared" si="132"/>
        <v>2000</v>
      </c>
      <c r="U116" s="220">
        <f t="shared" si="133"/>
        <v>446</v>
      </c>
      <c r="V116" s="220">
        <f t="shared" si="133"/>
        <v>326</v>
      </c>
      <c r="W116" s="220">
        <f t="shared" si="133"/>
        <v>65</v>
      </c>
      <c r="X116" s="220">
        <f t="shared" si="133"/>
        <v>191</v>
      </c>
      <c r="Y116" s="220">
        <f t="shared" si="133"/>
        <v>374</v>
      </c>
      <c r="Z116" s="220">
        <v>1</v>
      </c>
      <c r="AA116" s="220">
        <v>1</v>
      </c>
      <c r="AB116" s="220">
        <v>1</v>
      </c>
      <c r="AC116" s="220">
        <v>0</v>
      </c>
      <c r="AD116" s="220">
        <v>0</v>
      </c>
      <c r="AE116" s="220">
        <f t="shared" si="134"/>
        <v>-203</v>
      </c>
      <c r="AF116" s="220">
        <f t="shared" si="134"/>
        <v>-276</v>
      </c>
      <c r="AG116" s="220">
        <f t="shared" si="134"/>
        <v>-502</v>
      </c>
      <c r="AH116" s="220">
        <f t="shared" si="134"/>
        <v>-291</v>
      </c>
      <c r="AI116" s="220">
        <f t="shared" si="134"/>
        <v>-185</v>
      </c>
      <c r="AJ116" s="50">
        <f t="shared" si="95"/>
        <v>1.2650000000000061</v>
      </c>
      <c r="AK116" s="257"/>
      <c r="AL116" s="257">
        <f t="shared" si="96"/>
        <v>1.2</v>
      </c>
      <c r="AM116" s="52"/>
      <c r="AN116" s="88"/>
    </row>
    <row r="117" spans="1:40" s="29" customFormat="1" ht="17.25" customHeight="1">
      <c r="A117" s="48">
        <v>107</v>
      </c>
      <c r="B117" s="49">
        <f t="shared" si="88"/>
        <v>45691</v>
      </c>
      <c r="C117" s="220">
        <f t="shared" si="89"/>
        <v>1049</v>
      </c>
      <c r="D117" s="220">
        <f t="shared" ref="D117" si="143">D116+15</f>
        <v>2349</v>
      </c>
      <c r="E117" s="220">
        <f t="shared" si="91"/>
        <v>3398</v>
      </c>
      <c r="F117" s="220">
        <f t="shared" si="83"/>
        <v>952</v>
      </c>
      <c r="G117" s="220">
        <f t="shared" si="84"/>
        <v>924</v>
      </c>
      <c r="H117" s="220">
        <f t="shared" si="85"/>
        <v>1183</v>
      </c>
      <c r="I117" s="220">
        <f t="shared" si="86"/>
        <v>1059</v>
      </c>
      <c r="J117" s="220">
        <f t="shared" si="87"/>
        <v>1025</v>
      </c>
      <c r="K117" s="220">
        <f t="shared" si="140"/>
        <v>2446</v>
      </c>
      <c r="L117" s="220">
        <f t="shared" si="140"/>
        <v>2474</v>
      </c>
      <c r="M117" s="220">
        <f t="shared" si="140"/>
        <v>2215</v>
      </c>
      <c r="N117" s="220">
        <f t="shared" si="140"/>
        <v>2339</v>
      </c>
      <c r="O117" s="220">
        <f t="shared" si="140"/>
        <v>2373</v>
      </c>
      <c r="P117" s="220">
        <f t="shared" si="132"/>
        <v>2000</v>
      </c>
      <c r="Q117" s="220">
        <f t="shared" si="132"/>
        <v>2150</v>
      </c>
      <c r="R117" s="220">
        <f t="shared" si="132"/>
        <v>2150</v>
      </c>
      <c r="S117" s="220">
        <f t="shared" si="132"/>
        <v>2150</v>
      </c>
      <c r="T117" s="220">
        <f t="shared" si="132"/>
        <v>2000</v>
      </c>
      <c r="U117" s="220">
        <f t="shared" si="133"/>
        <v>446</v>
      </c>
      <c r="V117" s="220">
        <f t="shared" si="133"/>
        <v>324</v>
      </c>
      <c r="W117" s="220">
        <f t="shared" si="133"/>
        <v>65</v>
      </c>
      <c r="X117" s="220">
        <f t="shared" si="133"/>
        <v>189</v>
      </c>
      <c r="Y117" s="220">
        <f t="shared" si="133"/>
        <v>373</v>
      </c>
      <c r="Z117" s="220">
        <v>0</v>
      </c>
      <c r="AA117" s="220">
        <v>2</v>
      </c>
      <c r="AB117" s="220">
        <v>0</v>
      </c>
      <c r="AC117" s="220">
        <v>2</v>
      </c>
      <c r="AD117" s="220">
        <v>1</v>
      </c>
      <c r="AE117" s="220">
        <f t="shared" si="134"/>
        <v>-203</v>
      </c>
      <c r="AF117" s="220">
        <f t="shared" si="134"/>
        <v>-278</v>
      </c>
      <c r="AG117" s="220">
        <f t="shared" si="134"/>
        <v>-502</v>
      </c>
      <c r="AH117" s="220">
        <f t="shared" si="134"/>
        <v>-293</v>
      </c>
      <c r="AI117" s="220">
        <f t="shared" si="134"/>
        <v>-186</v>
      </c>
      <c r="AJ117" s="50">
        <f t="shared" si="95"/>
        <v>1.2650000000000061</v>
      </c>
      <c r="AK117" s="257"/>
      <c r="AL117" s="257">
        <f t="shared" si="96"/>
        <v>1.2</v>
      </c>
      <c r="AM117" s="52"/>
      <c r="AN117" s="88"/>
    </row>
    <row r="118" spans="1:40" s="29" customFormat="1" ht="17.25" customHeight="1">
      <c r="A118" s="48">
        <v>108</v>
      </c>
      <c r="B118" s="49">
        <f t="shared" si="88"/>
        <v>45692</v>
      </c>
      <c r="C118" s="220">
        <f t="shared" si="89"/>
        <v>1049</v>
      </c>
      <c r="D118" s="220">
        <f t="shared" ref="D118" si="144">D117+26</f>
        <v>2375</v>
      </c>
      <c r="E118" s="220">
        <f t="shared" si="91"/>
        <v>3424</v>
      </c>
      <c r="F118" s="220">
        <f t="shared" si="83"/>
        <v>978</v>
      </c>
      <c r="G118" s="220">
        <f t="shared" si="84"/>
        <v>950</v>
      </c>
      <c r="H118" s="220">
        <f t="shared" si="85"/>
        <v>1209</v>
      </c>
      <c r="I118" s="220">
        <f t="shared" si="86"/>
        <v>1089</v>
      </c>
      <c r="J118" s="220">
        <f t="shared" si="87"/>
        <v>1051</v>
      </c>
      <c r="K118" s="220">
        <f t="shared" si="140"/>
        <v>2446</v>
      </c>
      <c r="L118" s="220">
        <f t="shared" si="140"/>
        <v>2474</v>
      </c>
      <c r="M118" s="220">
        <f t="shared" si="140"/>
        <v>2215</v>
      </c>
      <c r="N118" s="220">
        <f t="shared" si="140"/>
        <v>2335</v>
      </c>
      <c r="O118" s="220">
        <f t="shared" si="140"/>
        <v>2373</v>
      </c>
      <c r="P118" s="220">
        <f t="shared" si="132"/>
        <v>2000</v>
      </c>
      <c r="Q118" s="220">
        <f t="shared" si="132"/>
        <v>2150</v>
      </c>
      <c r="R118" s="220">
        <f t="shared" si="132"/>
        <v>2150</v>
      </c>
      <c r="S118" s="220">
        <f t="shared" si="132"/>
        <v>2150</v>
      </c>
      <c r="T118" s="220">
        <f t="shared" si="132"/>
        <v>2000</v>
      </c>
      <c r="U118" s="220">
        <f t="shared" si="133"/>
        <v>446</v>
      </c>
      <c r="V118" s="220">
        <f t="shared" si="133"/>
        <v>324</v>
      </c>
      <c r="W118" s="220">
        <f t="shared" si="133"/>
        <v>65</v>
      </c>
      <c r="X118" s="220">
        <f t="shared" si="133"/>
        <v>185</v>
      </c>
      <c r="Y118" s="220">
        <f t="shared" si="133"/>
        <v>373</v>
      </c>
      <c r="Z118" s="220">
        <v>0</v>
      </c>
      <c r="AA118" s="220">
        <v>0</v>
      </c>
      <c r="AB118" s="220">
        <v>0</v>
      </c>
      <c r="AC118" s="220">
        <v>4</v>
      </c>
      <c r="AD118" s="220">
        <v>0</v>
      </c>
      <c r="AE118" s="220">
        <f t="shared" si="134"/>
        <v>-203</v>
      </c>
      <c r="AF118" s="220">
        <f t="shared" si="134"/>
        <v>-278</v>
      </c>
      <c r="AG118" s="220">
        <f t="shared" si="134"/>
        <v>-502</v>
      </c>
      <c r="AH118" s="220">
        <f t="shared" si="134"/>
        <v>-297</v>
      </c>
      <c r="AI118" s="220">
        <f t="shared" si="134"/>
        <v>-186</v>
      </c>
      <c r="AJ118" s="50">
        <f t="shared" si="95"/>
        <v>1.2650000000000061</v>
      </c>
      <c r="AK118" s="257"/>
      <c r="AL118" s="257">
        <f t="shared" si="96"/>
        <v>1.2</v>
      </c>
      <c r="AM118" s="52"/>
      <c r="AN118" s="88"/>
    </row>
    <row r="119" spans="1:40" s="29" customFormat="1" ht="17.25" customHeight="1">
      <c r="A119" s="48">
        <v>109</v>
      </c>
      <c r="B119" s="49">
        <f t="shared" si="88"/>
        <v>45693</v>
      </c>
      <c r="C119" s="220">
        <f t="shared" si="89"/>
        <v>1049</v>
      </c>
      <c r="D119" s="220">
        <f t="shared" ref="D119" si="145">D118+32</f>
        <v>2407</v>
      </c>
      <c r="E119" s="220">
        <f t="shared" si="91"/>
        <v>3456</v>
      </c>
      <c r="F119" s="220">
        <f t="shared" si="83"/>
        <v>1010</v>
      </c>
      <c r="G119" s="220">
        <f t="shared" si="84"/>
        <v>984</v>
      </c>
      <c r="H119" s="220">
        <f t="shared" si="85"/>
        <v>1241</v>
      </c>
      <c r="I119" s="220">
        <f t="shared" si="86"/>
        <v>1123</v>
      </c>
      <c r="J119" s="220">
        <f t="shared" si="87"/>
        <v>1083</v>
      </c>
      <c r="K119" s="220">
        <f t="shared" si="140"/>
        <v>2446</v>
      </c>
      <c r="L119" s="220">
        <f t="shared" si="140"/>
        <v>2472</v>
      </c>
      <c r="M119" s="220">
        <f t="shared" si="140"/>
        <v>2215</v>
      </c>
      <c r="N119" s="220">
        <f t="shared" si="140"/>
        <v>2333</v>
      </c>
      <c r="O119" s="220">
        <f t="shared" si="140"/>
        <v>2373</v>
      </c>
      <c r="P119" s="220">
        <f t="shared" si="132"/>
        <v>2000</v>
      </c>
      <c r="Q119" s="220">
        <f t="shared" si="132"/>
        <v>2150</v>
      </c>
      <c r="R119" s="220">
        <f t="shared" si="132"/>
        <v>2150</v>
      </c>
      <c r="S119" s="220">
        <f t="shared" si="132"/>
        <v>2150</v>
      </c>
      <c r="T119" s="220">
        <f t="shared" si="132"/>
        <v>2000</v>
      </c>
      <c r="U119" s="220">
        <f t="shared" si="133"/>
        <v>446</v>
      </c>
      <c r="V119" s="220">
        <f t="shared" si="133"/>
        <v>322</v>
      </c>
      <c r="W119" s="220">
        <f t="shared" si="133"/>
        <v>65</v>
      </c>
      <c r="X119" s="220">
        <f t="shared" si="133"/>
        <v>183</v>
      </c>
      <c r="Y119" s="220">
        <f t="shared" si="133"/>
        <v>373</v>
      </c>
      <c r="Z119" s="220">
        <v>0</v>
      </c>
      <c r="AA119" s="220">
        <v>2</v>
      </c>
      <c r="AB119" s="220">
        <v>0</v>
      </c>
      <c r="AC119" s="220">
        <v>2</v>
      </c>
      <c r="AD119" s="220">
        <v>0</v>
      </c>
      <c r="AE119" s="220">
        <f t="shared" si="134"/>
        <v>-203</v>
      </c>
      <c r="AF119" s="220">
        <f t="shared" si="134"/>
        <v>-280</v>
      </c>
      <c r="AG119" s="220">
        <f t="shared" si="134"/>
        <v>-502</v>
      </c>
      <c r="AH119" s="220">
        <f t="shared" si="134"/>
        <v>-299</v>
      </c>
      <c r="AI119" s="220">
        <f t="shared" si="134"/>
        <v>-186</v>
      </c>
      <c r="AJ119" s="50">
        <f t="shared" si="95"/>
        <v>1.2650000000000061</v>
      </c>
      <c r="AK119" s="257"/>
      <c r="AL119" s="257">
        <f t="shared" si="96"/>
        <v>1.2</v>
      </c>
      <c r="AM119" s="52"/>
      <c r="AN119" s="88"/>
    </row>
    <row r="120" spans="1:40" s="29" customFormat="1" ht="17.25" customHeight="1">
      <c r="A120" s="48">
        <v>110</v>
      </c>
      <c r="B120" s="49">
        <f t="shared" si="88"/>
        <v>45694</v>
      </c>
      <c r="C120" s="220">
        <f t="shared" si="89"/>
        <v>1049</v>
      </c>
      <c r="D120" s="220">
        <f t="shared" ref="D120" si="146">D119-18</f>
        <v>2389</v>
      </c>
      <c r="E120" s="220">
        <f t="shared" si="91"/>
        <v>3438</v>
      </c>
      <c r="F120" s="220">
        <f t="shared" si="83"/>
        <v>993</v>
      </c>
      <c r="G120" s="220">
        <f t="shared" si="84"/>
        <v>966</v>
      </c>
      <c r="H120" s="220">
        <f t="shared" si="85"/>
        <v>1224</v>
      </c>
      <c r="I120" s="220">
        <f t="shared" si="86"/>
        <v>1105</v>
      </c>
      <c r="J120" s="220">
        <f t="shared" si="87"/>
        <v>1066</v>
      </c>
      <c r="K120" s="220">
        <f t="shared" si="140"/>
        <v>2445</v>
      </c>
      <c r="L120" s="220">
        <f t="shared" si="140"/>
        <v>2472</v>
      </c>
      <c r="M120" s="220">
        <f t="shared" si="140"/>
        <v>2214</v>
      </c>
      <c r="N120" s="220">
        <f t="shared" si="140"/>
        <v>2333</v>
      </c>
      <c r="O120" s="220">
        <f t="shared" si="140"/>
        <v>2372</v>
      </c>
      <c r="P120" s="220">
        <f t="shared" si="132"/>
        <v>2000</v>
      </c>
      <c r="Q120" s="220">
        <f t="shared" si="132"/>
        <v>2150</v>
      </c>
      <c r="R120" s="220">
        <f t="shared" si="132"/>
        <v>2150</v>
      </c>
      <c r="S120" s="220">
        <f t="shared" si="132"/>
        <v>2150</v>
      </c>
      <c r="T120" s="220">
        <f t="shared" si="132"/>
        <v>2000</v>
      </c>
      <c r="U120" s="220">
        <f t="shared" si="133"/>
        <v>445</v>
      </c>
      <c r="V120" s="220">
        <f t="shared" si="133"/>
        <v>322</v>
      </c>
      <c r="W120" s="220">
        <f t="shared" si="133"/>
        <v>64</v>
      </c>
      <c r="X120" s="220">
        <f t="shared" si="133"/>
        <v>183</v>
      </c>
      <c r="Y120" s="220">
        <f t="shared" si="133"/>
        <v>372</v>
      </c>
      <c r="Z120" s="220">
        <v>1</v>
      </c>
      <c r="AA120" s="220">
        <v>0</v>
      </c>
      <c r="AB120" s="220">
        <v>1</v>
      </c>
      <c r="AC120" s="220">
        <v>0</v>
      </c>
      <c r="AD120" s="220">
        <v>1</v>
      </c>
      <c r="AE120" s="220">
        <f t="shared" si="134"/>
        <v>-204</v>
      </c>
      <c r="AF120" s="220">
        <f t="shared" si="134"/>
        <v>-280</v>
      </c>
      <c r="AG120" s="220">
        <f t="shared" si="134"/>
        <v>-503</v>
      </c>
      <c r="AH120" s="220">
        <f t="shared" si="134"/>
        <v>-299</v>
      </c>
      <c r="AI120" s="220">
        <f t="shared" si="134"/>
        <v>-187</v>
      </c>
      <c r="AJ120" s="50">
        <f t="shared" si="95"/>
        <v>1.2640000000000062</v>
      </c>
      <c r="AK120" s="257"/>
      <c r="AL120" s="257">
        <f t="shared" si="96"/>
        <v>1.2</v>
      </c>
      <c r="AM120" s="52"/>
      <c r="AN120" s="88"/>
    </row>
    <row r="121" spans="1:40" s="29" customFormat="1" ht="17.25" customHeight="1">
      <c r="A121" s="48">
        <v>111</v>
      </c>
      <c r="B121" s="49">
        <f t="shared" si="88"/>
        <v>45695</v>
      </c>
      <c r="C121" s="220">
        <f t="shared" si="89"/>
        <v>1049</v>
      </c>
      <c r="D121" s="220">
        <f t="shared" ref="D121" si="147">D120-26</f>
        <v>2363</v>
      </c>
      <c r="E121" s="220">
        <f t="shared" si="91"/>
        <v>3412</v>
      </c>
      <c r="F121" s="220">
        <f t="shared" si="83"/>
        <v>967</v>
      </c>
      <c r="G121" s="220">
        <f t="shared" si="84"/>
        <v>940</v>
      </c>
      <c r="H121" s="220">
        <f t="shared" si="85"/>
        <v>1198</v>
      </c>
      <c r="I121" s="220">
        <f t="shared" si="86"/>
        <v>1079</v>
      </c>
      <c r="J121" s="220">
        <f t="shared" si="87"/>
        <v>1040</v>
      </c>
      <c r="K121" s="220">
        <f t="shared" si="140"/>
        <v>2445</v>
      </c>
      <c r="L121" s="220">
        <f t="shared" si="140"/>
        <v>2472</v>
      </c>
      <c r="M121" s="220">
        <f t="shared" si="140"/>
        <v>2214</v>
      </c>
      <c r="N121" s="220">
        <f t="shared" si="140"/>
        <v>2333</v>
      </c>
      <c r="O121" s="220">
        <f t="shared" si="140"/>
        <v>2372</v>
      </c>
      <c r="P121" s="220">
        <f t="shared" si="132"/>
        <v>2000</v>
      </c>
      <c r="Q121" s="220">
        <f t="shared" si="132"/>
        <v>2150</v>
      </c>
      <c r="R121" s="220">
        <f t="shared" si="132"/>
        <v>2150</v>
      </c>
      <c r="S121" s="220">
        <f t="shared" si="132"/>
        <v>2150</v>
      </c>
      <c r="T121" s="220">
        <f t="shared" si="132"/>
        <v>2000</v>
      </c>
      <c r="U121" s="220">
        <f t="shared" si="133"/>
        <v>445</v>
      </c>
      <c r="V121" s="220">
        <f t="shared" si="133"/>
        <v>322</v>
      </c>
      <c r="W121" s="220">
        <f t="shared" si="133"/>
        <v>64</v>
      </c>
      <c r="X121" s="220">
        <f t="shared" si="133"/>
        <v>183</v>
      </c>
      <c r="Y121" s="220">
        <f t="shared" si="133"/>
        <v>372</v>
      </c>
      <c r="Z121" s="220">
        <v>0</v>
      </c>
      <c r="AA121" s="220">
        <v>0</v>
      </c>
      <c r="AB121" s="220">
        <v>0</v>
      </c>
      <c r="AC121" s="220">
        <v>0</v>
      </c>
      <c r="AD121" s="220">
        <v>0</v>
      </c>
      <c r="AE121" s="220">
        <f t="shared" si="134"/>
        <v>-204</v>
      </c>
      <c r="AF121" s="220">
        <f t="shared" si="134"/>
        <v>-280</v>
      </c>
      <c r="AG121" s="220">
        <f t="shared" si="134"/>
        <v>-503</v>
      </c>
      <c r="AH121" s="220">
        <f t="shared" si="134"/>
        <v>-299</v>
      </c>
      <c r="AI121" s="220">
        <f t="shared" si="134"/>
        <v>-187</v>
      </c>
      <c r="AJ121" s="50">
        <f t="shared" si="95"/>
        <v>1.2640000000000062</v>
      </c>
      <c r="AK121" s="257"/>
      <c r="AL121" s="257">
        <f t="shared" si="96"/>
        <v>1.2</v>
      </c>
      <c r="AM121" s="52"/>
      <c r="AN121" s="88"/>
    </row>
    <row r="122" spans="1:40" s="29" customFormat="1" ht="17.25" customHeight="1">
      <c r="A122" s="48">
        <v>112</v>
      </c>
      <c r="B122" s="49">
        <f t="shared" si="88"/>
        <v>45696</v>
      </c>
      <c r="C122" s="220">
        <f t="shared" si="89"/>
        <v>1049</v>
      </c>
      <c r="D122" s="220">
        <f t="shared" ref="D122" si="148">D121+15</f>
        <v>2378</v>
      </c>
      <c r="E122" s="220">
        <f t="shared" si="91"/>
        <v>3427</v>
      </c>
      <c r="F122" s="220">
        <f t="shared" si="83"/>
        <v>983</v>
      </c>
      <c r="G122" s="220">
        <f t="shared" si="84"/>
        <v>957</v>
      </c>
      <c r="H122" s="220">
        <f t="shared" si="85"/>
        <v>1214</v>
      </c>
      <c r="I122" s="220">
        <f t="shared" si="86"/>
        <v>1096</v>
      </c>
      <c r="J122" s="220">
        <f t="shared" si="87"/>
        <v>1055</v>
      </c>
      <c r="K122" s="220">
        <f t="shared" si="140"/>
        <v>2444</v>
      </c>
      <c r="L122" s="220">
        <f t="shared" si="140"/>
        <v>2470</v>
      </c>
      <c r="M122" s="220">
        <f t="shared" si="140"/>
        <v>2213</v>
      </c>
      <c r="N122" s="220">
        <f t="shared" si="140"/>
        <v>2331</v>
      </c>
      <c r="O122" s="220">
        <f t="shared" si="140"/>
        <v>2372</v>
      </c>
      <c r="P122" s="220">
        <f t="shared" si="132"/>
        <v>2000</v>
      </c>
      <c r="Q122" s="220">
        <f t="shared" si="132"/>
        <v>2150</v>
      </c>
      <c r="R122" s="220">
        <f t="shared" si="132"/>
        <v>2150</v>
      </c>
      <c r="S122" s="220">
        <f t="shared" si="132"/>
        <v>2150</v>
      </c>
      <c r="T122" s="220">
        <f t="shared" si="132"/>
        <v>2000</v>
      </c>
      <c r="U122" s="220">
        <f t="shared" si="133"/>
        <v>444</v>
      </c>
      <c r="V122" s="220">
        <f t="shared" si="133"/>
        <v>320</v>
      </c>
      <c r="W122" s="220">
        <f t="shared" si="133"/>
        <v>63</v>
      </c>
      <c r="X122" s="220">
        <f t="shared" si="133"/>
        <v>181</v>
      </c>
      <c r="Y122" s="220">
        <f t="shared" si="133"/>
        <v>372</v>
      </c>
      <c r="Z122" s="220">
        <v>1</v>
      </c>
      <c r="AA122" s="220">
        <v>2</v>
      </c>
      <c r="AB122" s="220">
        <v>1</v>
      </c>
      <c r="AC122" s="220">
        <v>2</v>
      </c>
      <c r="AD122" s="220">
        <v>0</v>
      </c>
      <c r="AE122" s="220">
        <f t="shared" si="134"/>
        <v>-205</v>
      </c>
      <c r="AF122" s="220">
        <f t="shared" si="134"/>
        <v>-282</v>
      </c>
      <c r="AG122" s="220">
        <f t="shared" si="134"/>
        <v>-504</v>
      </c>
      <c r="AH122" s="220">
        <f t="shared" si="134"/>
        <v>-301</v>
      </c>
      <c r="AI122" s="220">
        <f t="shared" si="134"/>
        <v>-187</v>
      </c>
      <c r="AJ122" s="50">
        <f t="shared" si="95"/>
        <v>1.2630000000000063</v>
      </c>
      <c r="AK122" s="257"/>
      <c r="AL122" s="257">
        <f t="shared" si="96"/>
        <v>1.2</v>
      </c>
      <c r="AM122" s="52"/>
      <c r="AN122" s="88"/>
    </row>
    <row r="123" spans="1:40" s="29" customFormat="1" ht="17.25" customHeight="1">
      <c r="A123" s="48">
        <v>113</v>
      </c>
      <c r="B123" s="49">
        <f t="shared" si="88"/>
        <v>45697</v>
      </c>
      <c r="C123" s="220">
        <f t="shared" si="89"/>
        <v>1049</v>
      </c>
      <c r="D123" s="220">
        <f t="shared" ref="D123" si="149">D122+26</f>
        <v>2404</v>
      </c>
      <c r="E123" s="220">
        <f t="shared" si="91"/>
        <v>3453</v>
      </c>
      <c r="F123" s="220">
        <f t="shared" si="83"/>
        <v>1009</v>
      </c>
      <c r="G123" s="220">
        <f t="shared" si="84"/>
        <v>983</v>
      </c>
      <c r="H123" s="220">
        <f t="shared" si="85"/>
        <v>1240</v>
      </c>
      <c r="I123" s="220">
        <f t="shared" si="86"/>
        <v>1122</v>
      </c>
      <c r="J123" s="220">
        <f t="shared" si="87"/>
        <v>1081</v>
      </c>
      <c r="K123" s="220">
        <f t="shared" si="140"/>
        <v>2444</v>
      </c>
      <c r="L123" s="220">
        <f t="shared" si="140"/>
        <v>2470</v>
      </c>
      <c r="M123" s="220">
        <f t="shared" si="140"/>
        <v>2213</v>
      </c>
      <c r="N123" s="220">
        <f t="shared" si="140"/>
        <v>2331</v>
      </c>
      <c r="O123" s="220">
        <f t="shared" si="140"/>
        <v>2372</v>
      </c>
      <c r="P123" s="220">
        <f t="shared" si="132"/>
        <v>2000</v>
      </c>
      <c r="Q123" s="220">
        <f t="shared" si="132"/>
        <v>2150</v>
      </c>
      <c r="R123" s="220">
        <f t="shared" si="132"/>
        <v>2150</v>
      </c>
      <c r="S123" s="220">
        <f t="shared" si="132"/>
        <v>2150</v>
      </c>
      <c r="T123" s="220">
        <f t="shared" si="132"/>
        <v>2000</v>
      </c>
      <c r="U123" s="220">
        <f t="shared" si="133"/>
        <v>444</v>
      </c>
      <c r="V123" s="220">
        <f t="shared" si="133"/>
        <v>320</v>
      </c>
      <c r="W123" s="220">
        <f t="shared" si="133"/>
        <v>63</v>
      </c>
      <c r="X123" s="220">
        <f t="shared" si="133"/>
        <v>181</v>
      </c>
      <c r="Y123" s="220">
        <f t="shared" si="133"/>
        <v>372</v>
      </c>
      <c r="Z123" s="220">
        <v>0</v>
      </c>
      <c r="AA123" s="220">
        <v>0</v>
      </c>
      <c r="AB123" s="220">
        <v>0</v>
      </c>
      <c r="AC123" s="220">
        <v>0</v>
      </c>
      <c r="AD123" s="220">
        <v>0</v>
      </c>
      <c r="AE123" s="220">
        <f t="shared" si="134"/>
        <v>-205</v>
      </c>
      <c r="AF123" s="220">
        <f t="shared" si="134"/>
        <v>-282</v>
      </c>
      <c r="AG123" s="220">
        <f t="shared" si="134"/>
        <v>-504</v>
      </c>
      <c r="AH123" s="220">
        <f t="shared" si="134"/>
        <v>-301</v>
      </c>
      <c r="AI123" s="220">
        <f t="shared" si="134"/>
        <v>-187</v>
      </c>
      <c r="AJ123" s="50">
        <f t="shared" si="95"/>
        <v>1.2630000000000063</v>
      </c>
      <c r="AK123" s="257"/>
      <c r="AL123" s="257">
        <f t="shared" si="96"/>
        <v>1.2</v>
      </c>
      <c r="AM123" s="52"/>
      <c r="AN123" s="88"/>
    </row>
    <row r="124" spans="1:40" s="29" customFormat="1" ht="17.25" customHeight="1">
      <c r="A124" s="48">
        <v>114</v>
      </c>
      <c r="B124" s="49">
        <f t="shared" si="88"/>
        <v>45698</v>
      </c>
      <c r="C124" s="220">
        <f t="shared" si="89"/>
        <v>1049</v>
      </c>
      <c r="D124" s="220">
        <f t="shared" ref="D124" si="150">D123+32</f>
        <v>2436</v>
      </c>
      <c r="E124" s="220">
        <f t="shared" si="91"/>
        <v>3485</v>
      </c>
      <c r="F124" s="220">
        <f t="shared" si="83"/>
        <v>1042</v>
      </c>
      <c r="G124" s="220">
        <f t="shared" si="84"/>
        <v>1015</v>
      </c>
      <c r="H124" s="220">
        <f t="shared" si="85"/>
        <v>1273</v>
      </c>
      <c r="I124" s="220">
        <f t="shared" si="86"/>
        <v>1154</v>
      </c>
      <c r="J124" s="220">
        <f t="shared" si="87"/>
        <v>1114</v>
      </c>
      <c r="K124" s="220">
        <f t="shared" si="140"/>
        <v>2443</v>
      </c>
      <c r="L124" s="220">
        <f t="shared" si="140"/>
        <v>2470</v>
      </c>
      <c r="M124" s="220">
        <f t="shared" si="140"/>
        <v>2212</v>
      </c>
      <c r="N124" s="220">
        <f t="shared" si="140"/>
        <v>2331</v>
      </c>
      <c r="O124" s="220">
        <f t="shared" si="140"/>
        <v>2371</v>
      </c>
      <c r="P124" s="220">
        <f t="shared" si="132"/>
        <v>2000</v>
      </c>
      <c r="Q124" s="220">
        <f t="shared" si="132"/>
        <v>2150</v>
      </c>
      <c r="R124" s="220">
        <f t="shared" si="132"/>
        <v>2150</v>
      </c>
      <c r="S124" s="220">
        <f t="shared" si="132"/>
        <v>2150</v>
      </c>
      <c r="T124" s="220">
        <f t="shared" si="132"/>
        <v>2000</v>
      </c>
      <c r="U124" s="220">
        <f t="shared" si="133"/>
        <v>443</v>
      </c>
      <c r="V124" s="220">
        <f t="shared" si="133"/>
        <v>320</v>
      </c>
      <c r="W124" s="220">
        <f t="shared" si="133"/>
        <v>62</v>
      </c>
      <c r="X124" s="220">
        <f t="shared" si="133"/>
        <v>181</v>
      </c>
      <c r="Y124" s="220">
        <f t="shared" si="133"/>
        <v>371</v>
      </c>
      <c r="Z124" s="220">
        <v>1</v>
      </c>
      <c r="AA124" s="220">
        <v>0</v>
      </c>
      <c r="AB124" s="220">
        <v>1</v>
      </c>
      <c r="AC124" s="220">
        <v>0</v>
      </c>
      <c r="AD124" s="220">
        <v>1</v>
      </c>
      <c r="AE124" s="220">
        <f t="shared" si="134"/>
        <v>-206</v>
      </c>
      <c r="AF124" s="220">
        <f t="shared" si="134"/>
        <v>-282</v>
      </c>
      <c r="AG124" s="220">
        <f t="shared" si="134"/>
        <v>-505</v>
      </c>
      <c r="AH124" s="220">
        <f t="shared" si="134"/>
        <v>-301</v>
      </c>
      <c r="AI124" s="220">
        <f t="shared" si="134"/>
        <v>-188</v>
      </c>
      <c r="AJ124" s="50">
        <f t="shared" si="95"/>
        <v>1.2620000000000064</v>
      </c>
      <c r="AK124" s="257"/>
      <c r="AL124" s="257">
        <f t="shared" si="96"/>
        <v>1.2</v>
      </c>
      <c r="AM124" s="52"/>
      <c r="AN124" s="88"/>
    </row>
    <row r="125" spans="1:40" s="29" customFormat="1" ht="17.25" customHeight="1">
      <c r="A125" s="48">
        <v>115</v>
      </c>
      <c r="B125" s="49">
        <f t="shared" si="88"/>
        <v>45699</v>
      </c>
      <c r="C125" s="220">
        <f t="shared" si="89"/>
        <v>1049</v>
      </c>
      <c r="D125" s="220">
        <f t="shared" ref="D125" si="151">D124-18</f>
        <v>2418</v>
      </c>
      <c r="E125" s="220">
        <f t="shared" si="91"/>
        <v>3467</v>
      </c>
      <c r="F125" s="220">
        <f t="shared" si="83"/>
        <v>1025</v>
      </c>
      <c r="G125" s="220">
        <f t="shared" si="84"/>
        <v>1001</v>
      </c>
      <c r="H125" s="220">
        <f t="shared" si="85"/>
        <v>1256</v>
      </c>
      <c r="I125" s="220">
        <f t="shared" si="86"/>
        <v>1136</v>
      </c>
      <c r="J125" s="220">
        <f t="shared" si="87"/>
        <v>1097</v>
      </c>
      <c r="K125" s="220">
        <f t="shared" si="140"/>
        <v>2442</v>
      </c>
      <c r="L125" s="220">
        <f t="shared" si="140"/>
        <v>2466</v>
      </c>
      <c r="M125" s="220">
        <f t="shared" si="140"/>
        <v>2211</v>
      </c>
      <c r="N125" s="220">
        <f t="shared" si="140"/>
        <v>2331</v>
      </c>
      <c r="O125" s="220">
        <f t="shared" si="140"/>
        <v>2370</v>
      </c>
      <c r="P125" s="220">
        <f t="shared" ref="P125:T140" si="152">+P124</f>
        <v>2000</v>
      </c>
      <c r="Q125" s="220">
        <f t="shared" si="152"/>
        <v>2150</v>
      </c>
      <c r="R125" s="220">
        <f t="shared" si="152"/>
        <v>2150</v>
      </c>
      <c r="S125" s="220">
        <f t="shared" si="152"/>
        <v>2150</v>
      </c>
      <c r="T125" s="220">
        <f t="shared" si="152"/>
        <v>2000</v>
      </c>
      <c r="U125" s="220">
        <f t="shared" ref="U125:Y140" si="153">U124-Z125</f>
        <v>442</v>
      </c>
      <c r="V125" s="220">
        <f t="shared" si="153"/>
        <v>316</v>
      </c>
      <c r="W125" s="220">
        <f t="shared" si="153"/>
        <v>61</v>
      </c>
      <c r="X125" s="220">
        <f t="shared" si="153"/>
        <v>181</v>
      </c>
      <c r="Y125" s="220">
        <f t="shared" si="153"/>
        <v>370</v>
      </c>
      <c r="Z125" s="220">
        <v>1</v>
      </c>
      <c r="AA125" s="220">
        <v>4</v>
      </c>
      <c r="AB125" s="220">
        <v>1</v>
      </c>
      <c r="AC125" s="220">
        <v>0</v>
      </c>
      <c r="AD125" s="220">
        <v>1</v>
      </c>
      <c r="AE125" s="220">
        <f t="shared" ref="AE125:AI140" si="154">AE124-Z125</f>
        <v>-207</v>
      </c>
      <c r="AF125" s="220">
        <f t="shared" si="154"/>
        <v>-286</v>
      </c>
      <c r="AG125" s="220">
        <f t="shared" si="154"/>
        <v>-506</v>
      </c>
      <c r="AH125" s="220">
        <f t="shared" si="154"/>
        <v>-301</v>
      </c>
      <c r="AI125" s="220">
        <f t="shared" si="154"/>
        <v>-189</v>
      </c>
      <c r="AJ125" s="50">
        <f t="shared" si="95"/>
        <v>1.2610000000000066</v>
      </c>
      <c r="AK125" s="257"/>
      <c r="AL125" s="257">
        <f t="shared" si="96"/>
        <v>1.2</v>
      </c>
      <c r="AM125" s="52"/>
      <c r="AN125" s="88"/>
    </row>
    <row r="126" spans="1:40" s="29" customFormat="1" ht="17.25" customHeight="1">
      <c r="A126" s="48">
        <v>116</v>
      </c>
      <c r="B126" s="49">
        <f t="shared" si="88"/>
        <v>45700</v>
      </c>
      <c r="C126" s="220">
        <f t="shared" si="89"/>
        <v>1049</v>
      </c>
      <c r="D126" s="220">
        <f t="shared" ref="D126" si="155">D125-26</f>
        <v>2392</v>
      </c>
      <c r="E126" s="220">
        <f t="shared" si="91"/>
        <v>3441</v>
      </c>
      <c r="F126" s="220">
        <f t="shared" si="83"/>
        <v>999</v>
      </c>
      <c r="G126" s="220">
        <f t="shared" si="84"/>
        <v>975</v>
      </c>
      <c r="H126" s="220">
        <f t="shared" si="85"/>
        <v>1230</v>
      </c>
      <c r="I126" s="220">
        <f t="shared" si="86"/>
        <v>1110</v>
      </c>
      <c r="J126" s="220">
        <f t="shared" si="87"/>
        <v>1071</v>
      </c>
      <c r="K126" s="220">
        <f t="shared" si="140"/>
        <v>2442</v>
      </c>
      <c r="L126" s="220">
        <f t="shared" si="140"/>
        <v>2466</v>
      </c>
      <c r="M126" s="220">
        <f t="shared" si="140"/>
        <v>2211</v>
      </c>
      <c r="N126" s="220">
        <f t="shared" si="140"/>
        <v>2331</v>
      </c>
      <c r="O126" s="220">
        <f t="shared" si="140"/>
        <v>2370</v>
      </c>
      <c r="P126" s="220">
        <f t="shared" si="152"/>
        <v>2000</v>
      </c>
      <c r="Q126" s="220">
        <f t="shared" si="152"/>
        <v>2150</v>
      </c>
      <c r="R126" s="220">
        <f t="shared" si="152"/>
        <v>2150</v>
      </c>
      <c r="S126" s="220">
        <f t="shared" si="152"/>
        <v>2150</v>
      </c>
      <c r="T126" s="220">
        <f t="shared" si="152"/>
        <v>2000</v>
      </c>
      <c r="U126" s="220">
        <f t="shared" si="153"/>
        <v>442</v>
      </c>
      <c r="V126" s="220">
        <f t="shared" si="153"/>
        <v>316</v>
      </c>
      <c r="W126" s="220">
        <f t="shared" si="153"/>
        <v>61</v>
      </c>
      <c r="X126" s="220">
        <f t="shared" si="153"/>
        <v>181</v>
      </c>
      <c r="Y126" s="220">
        <f t="shared" si="153"/>
        <v>370</v>
      </c>
      <c r="Z126" s="220">
        <v>0</v>
      </c>
      <c r="AA126" s="220">
        <v>0</v>
      </c>
      <c r="AB126" s="220">
        <v>0</v>
      </c>
      <c r="AC126" s="220">
        <v>0</v>
      </c>
      <c r="AD126" s="220">
        <v>0</v>
      </c>
      <c r="AE126" s="220">
        <f t="shared" si="154"/>
        <v>-207</v>
      </c>
      <c r="AF126" s="220">
        <f t="shared" si="154"/>
        <v>-286</v>
      </c>
      <c r="AG126" s="220">
        <f t="shared" si="154"/>
        <v>-506</v>
      </c>
      <c r="AH126" s="220">
        <f t="shared" si="154"/>
        <v>-301</v>
      </c>
      <c r="AI126" s="220">
        <f t="shared" si="154"/>
        <v>-189</v>
      </c>
      <c r="AJ126" s="50">
        <f t="shared" si="95"/>
        <v>1.2610000000000066</v>
      </c>
      <c r="AK126" s="257"/>
      <c r="AL126" s="257">
        <f t="shared" si="96"/>
        <v>1.2</v>
      </c>
      <c r="AM126" s="52"/>
      <c r="AN126" s="88"/>
    </row>
    <row r="127" spans="1:40" s="29" customFormat="1" ht="17.25" customHeight="1">
      <c r="A127" s="48">
        <v>117</v>
      </c>
      <c r="B127" s="49">
        <f t="shared" si="88"/>
        <v>45701</v>
      </c>
      <c r="C127" s="220">
        <f t="shared" si="89"/>
        <v>1049</v>
      </c>
      <c r="D127" s="220">
        <f t="shared" ref="D127" si="156">D126+15</f>
        <v>2407</v>
      </c>
      <c r="E127" s="220">
        <f t="shared" si="91"/>
        <v>3456</v>
      </c>
      <c r="F127" s="220">
        <f t="shared" si="83"/>
        <v>1015</v>
      </c>
      <c r="G127" s="220">
        <f t="shared" si="84"/>
        <v>990</v>
      </c>
      <c r="H127" s="220">
        <f t="shared" si="85"/>
        <v>1248</v>
      </c>
      <c r="I127" s="220">
        <f t="shared" si="86"/>
        <v>1125</v>
      </c>
      <c r="J127" s="220">
        <f t="shared" si="87"/>
        <v>1086</v>
      </c>
      <c r="K127" s="220">
        <f t="shared" si="140"/>
        <v>2441</v>
      </c>
      <c r="L127" s="220">
        <f t="shared" si="140"/>
        <v>2466</v>
      </c>
      <c r="M127" s="220">
        <f t="shared" si="140"/>
        <v>2208</v>
      </c>
      <c r="N127" s="220">
        <f t="shared" si="140"/>
        <v>2331</v>
      </c>
      <c r="O127" s="220">
        <f t="shared" si="140"/>
        <v>2370</v>
      </c>
      <c r="P127" s="220">
        <f t="shared" si="152"/>
        <v>2000</v>
      </c>
      <c r="Q127" s="220">
        <f t="shared" si="152"/>
        <v>2150</v>
      </c>
      <c r="R127" s="220">
        <f t="shared" si="152"/>
        <v>2150</v>
      </c>
      <c r="S127" s="220">
        <f t="shared" si="152"/>
        <v>2150</v>
      </c>
      <c r="T127" s="220">
        <f t="shared" si="152"/>
        <v>2000</v>
      </c>
      <c r="U127" s="220">
        <f t="shared" si="153"/>
        <v>441</v>
      </c>
      <c r="V127" s="220">
        <f t="shared" si="153"/>
        <v>316</v>
      </c>
      <c r="W127" s="220">
        <f t="shared" si="153"/>
        <v>58</v>
      </c>
      <c r="X127" s="220">
        <f t="shared" si="153"/>
        <v>181</v>
      </c>
      <c r="Y127" s="220">
        <f t="shared" si="153"/>
        <v>370</v>
      </c>
      <c r="Z127" s="220">
        <v>1</v>
      </c>
      <c r="AA127" s="220">
        <v>0</v>
      </c>
      <c r="AB127" s="220">
        <v>3</v>
      </c>
      <c r="AC127" s="220">
        <v>0</v>
      </c>
      <c r="AD127" s="220">
        <v>0</v>
      </c>
      <c r="AE127" s="220">
        <f t="shared" si="154"/>
        <v>-208</v>
      </c>
      <c r="AF127" s="220">
        <f t="shared" si="154"/>
        <v>-286</v>
      </c>
      <c r="AG127" s="220">
        <f t="shared" si="154"/>
        <v>-509</v>
      </c>
      <c r="AH127" s="220">
        <f t="shared" si="154"/>
        <v>-301</v>
      </c>
      <c r="AI127" s="220">
        <f t="shared" si="154"/>
        <v>-189</v>
      </c>
      <c r="AJ127" s="50">
        <f t="shared" si="95"/>
        <v>1.2580000000000067</v>
      </c>
      <c r="AK127" s="257"/>
      <c r="AL127" s="257">
        <f t="shared" si="96"/>
        <v>1.2</v>
      </c>
      <c r="AM127" s="52"/>
      <c r="AN127" s="88"/>
    </row>
    <row r="128" spans="1:40" s="29" customFormat="1" ht="17.25" customHeight="1">
      <c r="A128" s="48">
        <v>118</v>
      </c>
      <c r="B128" s="49">
        <f t="shared" si="88"/>
        <v>45702</v>
      </c>
      <c r="C128" s="220">
        <f t="shared" si="89"/>
        <v>1049</v>
      </c>
      <c r="D128" s="220">
        <f t="shared" ref="D128" si="157">D127+26</f>
        <v>2433</v>
      </c>
      <c r="E128" s="220">
        <f t="shared" si="91"/>
        <v>3482</v>
      </c>
      <c r="F128" s="220">
        <f t="shared" si="83"/>
        <v>1042</v>
      </c>
      <c r="G128" s="220">
        <f t="shared" si="84"/>
        <v>1019</v>
      </c>
      <c r="H128" s="220">
        <f t="shared" si="85"/>
        <v>1275</v>
      </c>
      <c r="I128" s="220">
        <f t="shared" si="86"/>
        <v>1151</v>
      </c>
      <c r="J128" s="220">
        <f t="shared" si="87"/>
        <v>1113</v>
      </c>
      <c r="K128" s="220">
        <f t="shared" si="140"/>
        <v>2440</v>
      </c>
      <c r="L128" s="220">
        <f t="shared" si="140"/>
        <v>2463</v>
      </c>
      <c r="M128" s="220">
        <f t="shared" si="140"/>
        <v>2207</v>
      </c>
      <c r="N128" s="220">
        <f t="shared" si="140"/>
        <v>2331</v>
      </c>
      <c r="O128" s="220">
        <f t="shared" si="140"/>
        <v>2369</v>
      </c>
      <c r="P128" s="220">
        <f t="shared" si="152"/>
        <v>2000</v>
      </c>
      <c r="Q128" s="220">
        <f t="shared" si="152"/>
        <v>2150</v>
      </c>
      <c r="R128" s="220">
        <f t="shared" si="152"/>
        <v>2150</v>
      </c>
      <c r="S128" s="220">
        <f t="shared" si="152"/>
        <v>2150</v>
      </c>
      <c r="T128" s="220">
        <f t="shared" si="152"/>
        <v>2000</v>
      </c>
      <c r="U128" s="220">
        <f t="shared" si="153"/>
        <v>440</v>
      </c>
      <c r="V128" s="220">
        <f t="shared" si="153"/>
        <v>313</v>
      </c>
      <c r="W128" s="220">
        <f t="shared" si="153"/>
        <v>57</v>
      </c>
      <c r="X128" s="220">
        <f t="shared" si="153"/>
        <v>181</v>
      </c>
      <c r="Y128" s="220">
        <f t="shared" si="153"/>
        <v>369</v>
      </c>
      <c r="Z128" s="220">
        <v>1</v>
      </c>
      <c r="AA128" s="220">
        <v>3</v>
      </c>
      <c r="AB128" s="220">
        <v>1</v>
      </c>
      <c r="AC128" s="220">
        <v>0</v>
      </c>
      <c r="AD128" s="220">
        <v>1</v>
      </c>
      <c r="AE128" s="220">
        <f t="shared" si="154"/>
        <v>-209</v>
      </c>
      <c r="AF128" s="220">
        <f t="shared" si="154"/>
        <v>-289</v>
      </c>
      <c r="AG128" s="220">
        <f t="shared" si="154"/>
        <v>-510</v>
      </c>
      <c r="AH128" s="220">
        <f t="shared" si="154"/>
        <v>-301</v>
      </c>
      <c r="AI128" s="220">
        <f t="shared" si="154"/>
        <v>-190</v>
      </c>
      <c r="AJ128" s="50">
        <f t="shared" si="95"/>
        <v>1.2570000000000068</v>
      </c>
      <c r="AK128" s="257"/>
      <c r="AL128" s="257">
        <f t="shared" si="96"/>
        <v>1.2</v>
      </c>
      <c r="AM128" s="52"/>
      <c r="AN128" s="88"/>
    </row>
    <row r="129" spans="1:40" s="29" customFormat="1" ht="17.25" customHeight="1">
      <c r="A129" s="48">
        <v>119</v>
      </c>
      <c r="B129" s="49">
        <f t="shared" si="88"/>
        <v>45703</v>
      </c>
      <c r="C129" s="220">
        <f t="shared" si="89"/>
        <v>1049</v>
      </c>
      <c r="D129" s="220">
        <f t="shared" ref="D129" si="158">D128+32</f>
        <v>2465</v>
      </c>
      <c r="E129" s="220">
        <f t="shared" si="91"/>
        <v>3514</v>
      </c>
      <c r="F129" s="220">
        <f t="shared" si="83"/>
        <v>1074</v>
      </c>
      <c r="G129" s="220">
        <f t="shared" si="84"/>
        <v>1051</v>
      </c>
      <c r="H129" s="220">
        <f t="shared" si="85"/>
        <v>1310</v>
      </c>
      <c r="I129" s="220">
        <f t="shared" si="86"/>
        <v>1183</v>
      </c>
      <c r="J129" s="220">
        <f t="shared" si="87"/>
        <v>1146</v>
      </c>
      <c r="K129" s="220">
        <f t="shared" si="140"/>
        <v>2440</v>
      </c>
      <c r="L129" s="220">
        <f t="shared" si="140"/>
        <v>2463</v>
      </c>
      <c r="M129" s="220">
        <f t="shared" si="140"/>
        <v>2204</v>
      </c>
      <c r="N129" s="220">
        <f t="shared" si="140"/>
        <v>2331</v>
      </c>
      <c r="O129" s="220">
        <f t="shared" si="140"/>
        <v>2368</v>
      </c>
      <c r="P129" s="220">
        <f t="shared" si="152"/>
        <v>2000</v>
      </c>
      <c r="Q129" s="220">
        <f t="shared" si="152"/>
        <v>2150</v>
      </c>
      <c r="R129" s="220">
        <f t="shared" si="152"/>
        <v>2150</v>
      </c>
      <c r="S129" s="220">
        <f t="shared" si="152"/>
        <v>2150</v>
      </c>
      <c r="T129" s="220">
        <f t="shared" si="152"/>
        <v>2000</v>
      </c>
      <c r="U129" s="220">
        <f t="shared" si="153"/>
        <v>440</v>
      </c>
      <c r="V129" s="220">
        <f t="shared" si="153"/>
        <v>313</v>
      </c>
      <c r="W129" s="220">
        <f t="shared" si="153"/>
        <v>54</v>
      </c>
      <c r="X129" s="220">
        <f t="shared" si="153"/>
        <v>181</v>
      </c>
      <c r="Y129" s="220">
        <f t="shared" si="153"/>
        <v>368</v>
      </c>
      <c r="Z129" s="220">
        <v>0</v>
      </c>
      <c r="AA129" s="220">
        <v>0</v>
      </c>
      <c r="AB129" s="220">
        <v>3</v>
      </c>
      <c r="AC129" s="220">
        <v>0</v>
      </c>
      <c r="AD129" s="220">
        <v>1</v>
      </c>
      <c r="AE129" s="220">
        <f t="shared" si="154"/>
        <v>-209</v>
      </c>
      <c r="AF129" s="220">
        <f t="shared" si="154"/>
        <v>-289</v>
      </c>
      <c r="AG129" s="220">
        <f t="shared" si="154"/>
        <v>-513</v>
      </c>
      <c r="AH129" s="220">
        <f t="shared" si="154"/>
        <v>-301</v>
      </c>
      <c r="AI129" s="220">
        <f t="shared" si="154"/>
        <v>-191</v>
      </c>
      <c r="AJ129" s="50">
        <f t="shared" si="95"/>
        <v>1.2540000000000069</v>
      </c>
      <c r="AK129" s="257"/>
      <c r="AL129" s="257">
        <f t="shared" si="96"/>
        <v>1.2</v>
      </c>
      <c r="AM129" s="52"/>
      <c r="AN129" s="88"/>
    </row>
    <row r="130" spans="1:40" s="29" customFormat="1" ht="17.25" customHeight="1">
      <c r="A130" s="48">
        <v>120</v>
      </c>
      <c r="B130" s="49">
        <f t="shared" si="88"/>
        <v>45704</v>
      </c>
      <c r="C130" s="220">
        <f t="shared" si="89"/>
        <v>1049</v>
      </c>
      <c r="D130" s="220">
        <f t="shared" ref="D130" si="159">D129-18</f>
        <v>2447</v>
      </c>
      <c r="E130" s="220">
        <f t="shared" si="91"/>
        <v>3496</v>
      </c>
      <c r="F130" s="220">
        <f t="shared" si="83"/>
        <v>1057</v>
      </c>
      <c r="G130" s="220">
        <f t="shared" si="84"/>
        <v>1033</v>
      </c>
      <c r="H130" s="220">
        <f t="shared" si="85"/>
        <v>1293</v>
      </c>
      <c r="I130" s="220">
        <f t="shared" si="86"/>
        <v>1165</v>
      </c>
      <c r="J130" s="220">
        <f t="shared" si="87"/>
        <v>1128</v>
      </c>
      <c r="K130" s="220">
        <f t="shared" si="140"/>
        <v>2439</v>
      </c>
      <c r="L130" s="220">
        <f t="shared" si="140"/>
        <v>2463</v>
      </c>
      <c r="M130" s="220">
        <f t="shared" si="140"/>
        <v>2203</v>
      </c>
      <c r="N130" s="220">
        <f t="shared" si="140"/>
        <v>2331</v>
      </c>
      <c r="O130" s="220">
        <f t="shared" si="140"/>
        <v>2368</v>
      </c>
      <c r="P130" s="220">
        <f t="shared" si="152"/>
        <v>2000</v>
      </c>
      <c r="Q130" s="220">
        <f t="shared" si="152"/>
        <v>2150</v>
      </c>
      <c r="R130" s="220">
        <f t="shared" si="152"/>
        <v>2150</v>
      </c>
      <c r="S130" s="220">
        <f t="shared" si="152"/>
        <v>2150</v>
      </c>
      <c r="T130" s="220">
        <f t="shared" si="152"/>
        <v>2000</v>
      </c>
      <c r="U130" s="220">
        <f t="shared" si="153"/>
        <v>439</v>
      </c>
      <c r="V130" s="220">
        <f t="shared" si="153"/>
        <v>313</v>
      </c>
      <c r="W130" s="220">
        <f t="shared" si="153"/>
        <v>53</v>
      </c>
      <c r="X130" s="220">
        <f t="shared" si="153"/>
        <v>181</v>
      </c>
      <c r="Y130" s="220">
        <f t="shared" si="153"/>
        <v>368</v>
      </c>
      <c r="Z130" s="220">
        <v>1</v>
      </c>
      <c r="AA130" s="220">
        <v>0</v>
      </c>
      <c r="AB130" s="220">
        <v>1</v>
      </c>
      <c r="AC130" s="220">
        <v>0</v>
      </c>
      <c r="AD130" s="220">
        <v>0</v>
      </c>
      <c r="AE130" s="220">
        <f t="shared" si="154"/>
        <v>-210</v>
      </c>
      <c r="AF130" s="220">
        <f t="shared" si="154"/>
        <v>-289</v>
      </c>
      <c r="AG130" s="220">
        <f t="shared" si="154"/>
        <v>-514</v>
      </c>
      <c r="AH130" s="220">
        <f t="shared" si="154"/>
        <v>-301</v>
      </c>
      <c r="AI130" s="220">
        <f t="shared" si="154"/>
        <v>-191</v>
      </c>
      <c r="AJ130" s="50">
        <f t="shared" si="95"/>
        <v>1.253000000000007</v>
      </c>
      <c r="AK130" s="257"/>
      <c r="AL130" s="257">
        <f t="shared" si="96"/>
        <v>1.2</v>
      </c>
      <c r="AM130" s="52"/>
      <c r="AN130" s="88"/>
    </row>
    <row r="131" spans="1:40" s="29" customFormat="1" ht="17.25" customHeight="1">
      <c r="A131" s="48">
        <v>121</v>
      </c>
      <c r="B131" s="49">
        <f t="shared" si="88"/>
        <v>45705</v>
      </c>
      <c r="C131" s="220">
        <f t="shared" si="89"/>
        <v>1049</v>
      </c>
      <c r="D131" s="220">
        <f t="shared" ref="D131" si="160">D130-26</f>
        <v>2421</v>
      </c>
      <c r="E131" s="220">
        <f t="shared" si="91"/>
        <v>3470</v>
      </c>
      <c r="F131" s="220">
        <f t="shared" si="83"/>
        <v>1031</v>
      </c>
      <c r="G131" s="220">
        <f t="shared" si="84"/>
        <v>1008</v>
      </c>
      <c r="H131" s="220">
        <f t="shared" si="85"/>
        <v>1267</v>
      </c>
      <c r="I131" s="220">
        <f t="shared" si="86"/>
        <v>1141</v>
      </c>
      <c r="J131" s="220">
        <f t="shared" si="87"/>
        <v>1102</v>
      </c>
      <c r="K131" s="220">
        <f t="shared" si="140"/>
        <v>2439</v>
      </c>
      <c r="L131" s="220">
        <f t="shared" si="140"/>
        <v>2462</v>
      </c>
      <c r="M131" s="220">
        <f t="shared" si="140"/>
        <v>2203</v>
      </c>
      <c r="N131" s="220">
        <f t="shared" si="140"/>
        <v>2329</v>
      </c>
      <c r="O131" s="220">
        <f t="shared" si="140"/>
        <v>2368</v>
      </c>
      <c r="P131" s="220">
        <f t="shared" si="152"/>
        <v>2000</v>
      </c>
      <c r="Q131" s="220">
        <f t="shared" si="152"/>
        <v>2150</v>
      </c>
      <c r="R131" s="220">
        <f t="shared" si="152"/>
        <v>2150</v>
      </c>
      <c r="S131" s="220">
        <f t="shared" si="152"/>
        <v>2150</v>
      </c>
      <c r="T131" s="220">
        <f t="shared" si="152"/>
        <v>2000</v>
      </c>
      <c r="U131" s="220">
        <f t="shared" si="153"/>
        <v>439</v>
      </c>
      <c r="V131" s="220">
        <f t="shared" si="153"/>
        <v>312</v>
      </c>
      <c r="W131" s="220">
        <f t="shared" si="153"/>
        <v>53</v>
      </c>
      <c r="X131" s="220">
        <f t="shared" si="153"/>
        <v>179</v>
      </c>
      <c r="Y131" s="220">
        <f t="shared" si="153"/>
        <v>368</v>
      </c>
      <c r="Z131" s="220">
        <v>0</v>
      </c>
      <c r="AA131" s="220">
        <v>1</v>
      </c>
      <c r="AB131" s="220">
        <v>0</v>
      </c>
      <c r="AC131" s="220">
        <v>2</v>
      </c>
      <c r="AD131" s="220">
        <v>0</v>
      </c>
      <c r="AE131" s="220">
        <f t="shared" si="154"/>
        <v>-210</v>
      </c>
      <c r="AF131" s="220">
        <f t="shared" si="154"/>
        <v>-290</v>
      </c>
      <c r="AG131" s="220">
        <f t="shared" si="154"/>
        <v>-514</v>
      </c>
      <c r="AH131" s="220">
        <f t="shared" si="154"/>
        <v>-303</v>
      </c>
      <c r="AI131" s="220">
        <f t="shared" si="154"/>
        <v>-191</v>
      </c>
      <c r="AJ131" s="50">
        <f t="shared" si="95"/>
        <v>1.253000000000007</v>
      </c>
      <c r="AK131" s="257"/>
      <c r="AL131" s="257">
        <f t="shared" si="96"/>
        <v>1.2</v>
      </c>
      <c r="AM131" s="52"/>
      <c r="AN131" s="88"/>
    </row>
    <row r="132" spans="1:40" s="29" customFormat="1" ht="17.25" customHeight="1">
      <c r="A132" s="48">
        <v>122</v>
      </c>
      <c r="B132" s="49">
        <f t="shared" si="88"/>
        <v>45706</v>
      </c>
      <c r="C132" s="220">
        <f t="shared" si="89"/>
        <v>1049</v>
      </c>
      <c r="D132" s="220">
        <f t="shared" ref="D132" si="161">D131+15</f>
        <v>2436</v>
      </c>
      <c r="E132" s="220">
        <f t="shared" si="91"/>
        <v>3485</v>
      </c>
      <c r="F132" s="220">
        <f t="shared" si="83"/>
        <v>1046</v>
      </c>
      <c r="G132" s="220">
        <f t="shared" si="84"/>
        <v>1023</v>
      </c>
      <c r="H132" s="220">
        <f t="shared" si="85"/>
        <v>1286</v>
      </c>
      <c r="I132" s="220">
        <f t="shared" si="86"/>
        <v>1156</v>
      </c>
      <c r="J132" s="220">
        <f t="shared" si="87"/>
        <v>1117</v>
      </c>
      <c r="K132" s="220">
        <f t="shared" si="140"/>
        <v>2439</v>
      </c>
      <c r="L132" s="220">
        <f t="shared" si="140"/>
        <v>2462</v>
      </c>
      <c r="M132" s="220">
        <f t="shared" si="140"/>
        <v>2199</v>
      </c>
      <c r="N132" s="220">
        <f t="shared" si="140"/>
        <v>2329</v>
      </c>
      <c r="O132" s="220">
        <f t="shared" si="140"/>
        <v>2368</v>
      </c>
      <c r="P132" s="220">
        <f t="shared" si="152"/>
        <v>2000</v>
      </c>
      <c r="Q132" s="220">
        <f t="shared" si="152"/>
        <v>2150</v>
      </c>
      <c r="R132" s="220">
        <f t="shared" si="152"/>
        <v>2150</v>
      </c>
      <c r="S132" s="220">
        <f t="shared" si="152"/>
        <v>2150</v>
      </c>
      <c r="T132" s="220">
        <f t="shared" si="152"/>
        <v>2000</v>
      </c>
      <c r="U132" s="220">
        <f t="shared" si="153"/>
        <v>439</v>
      </c>
      <c r="V132" s="220">
        <f t="shared" si="153"/>
        <v>312</v>
      </c>
      <c r="W132" s="220">
        <f t="shared" si="153"/>
        <v>49</v>
      </c>
      <c r="X132" s="220">
        <f t="shared" si="153"/>
        <v>179</v>
      </c>
      <c r="Y132" s="220">
        <f t="shared" si="153"/>
        <v>368</v>
      </c>
      <c r="Z132" s="220">
        <v>0</v>
      </c>
      <c r="AA132" s="220">
        <v>0</v>
      </c>
      <c r="AB132" s="220">
        <v>4</v>
      </c>
      <c r="AC132" s="220">
        <v>0</v>
      </c>
      <c r="AD132" s="220">
        <v>0</v>
      </c>
      <c r="AE132" s="220">
        <f t="shared" si="154"/>
        <v>-210</v>
      </c>
      <c r="AF132" s="220">
        <f t="shared" si="154"/>
        <v>-290</v>
      </c>
      <c r="AG132" s="220">
        <f t="shared" si="154"/>
        <v>-518</v>
      </c>
      <c r="AH132" s="220">
        <f t="shared" si="154"/>
        <v>-303</v>
      </c>
      <c r="AI132" s="220">
        <f t="shared" si="154"/>
        <v>-191</v>
      </c>
      <c r="AJ132" s="50">
        <f t="shared" si="95"/>
        <v>1.249000000000007</v>
      </c>
      <c r="AK132" s="257"/>
      <c r="AL132" s="257">
        <f t="shared" si="96"/>
        <v>1.2</v>
      </c>
      <c r="AM132" s="52"/>
      <c r="AN132" s="88"/>
    </row>
    <row r="133" spans="1:40" s="29" customFormat="1" ht="17.25" customHeight="1">
      <c r="A133" s="48">
        <v>123</v>
      </c>
      <c r="B133" s="49">
        <f t="shared" si="88"/>
        <v>45707</v>
      </c>
      <c r="C133" s="220">
        <f t="shared" si="89"/>
        <v>1049</v>
      </c>
      <c r="D133" s="220">
        <f t="shared" ref="D133" si="162">D132+26</f>
        <v>2462</v>
      </c>
      <c r="E133" s="220">
        <f t="shared" si="91"/>
        <v>3511</v>
      </c>
      <c r="F133" s="220">
        <f t="shared" si="83"/>
        <v>1073</v>
      </c>
      <c r="G133" s="220">
        <f t="shared" si="84"/>
        <v>1053</v>
      </c>
      <c r="H133" s="220">
        <f t="shared" si="85"/>
        <v>1313</v>
      </c>
      <c r="I133" s="220">
        <f t="shared" si="86"/>
        <v>1185</v>
      </c>
      <c r="J133" s="220">
        <f t="shared" si="87"/>
        <v>1143</v>
      </c>
      <c r="K133" s="220">
        <f t="shared" si="140"/>
        <v>2438</v>
      </c>
      <c r="L133" s="220">
        <f t="shared" si="140"/>
        <v>2458</v>
      </c>
      <c r="M133" s="220">
        <f t="shared" si="140"/>
        <v>2198</v>
      </c>
      <c r="N133" s="220">
        <f t="shared" si="140"/>
        <v>2326</v>
      </c>
      <c r="O133" s="220">
        <f t="shared" si="140"/>
        <v>2368</v>
      </c>
      <c r="P133" s="220">
        <f t="shared" si="152"/>
        <v>2000</v>
      </c>
      <c r="Q133" s="220">
        <f t="shared" si="152"/>
        <v>2150</v>
      </c>
      <c r="R133" s="220">
        <f t="shared" si="152"/>
        <v>2150</v>
      </c>
      <c r="S133" s="220">
        <f t="shared" si="152"/>
        <v>2150</v>
      </c>
      <c r="T133" s="220">
        <f t="shared" si="152"/>
        <v>2000</v>
      </c>
      <c r="U133" s="220">
        <f t="shared" si="153"/>
        <v>438</v>
      </c>
      <c r="V133" s="220">
        <f t="shared" si="153"/>
        <v>308</v>
      </c>
      <c r="W133" s="220">
        <f t="shared" si="153"/>
        <v>48</v>
      </c>
      <c r="X133" s="220">
        <f t="shared" si="153"/>
        <v>176</v>
      </c>
      <c r="Y133" s="220">
        <f t="shared" si="153"/>
        <v>368</v>
      </c>
      <c r="Z133" s="220">
        <v>1</v>
      </c>
      <c r="AA133" s="220">
        <v>4</v>
      </c>
      <c r="AB133" s="220">
        <v>1</v>
      </c>
      <c r="AC133" s="220">
        <v>3</v>
      </c>
      <c r="AD133" s="220">
        <v>0</v>
      </c>
      <c r="AE133" s="220">
        <f t="shared" si="154"/>
        <v>-211</v>
      </c>
      <c r="AF133" s="220">
        <f t="shared" si="154"/>
        <v>-294</v>
      </c>
      <c r="AG133" s="220">
        <f t="shared" si="154"/>
        <v>-519</v>
      </c>
      <c r="AH133" s="220">
        <f t="shared" si="154"/>
        <v>-306</v>
      </c>
      <c r="AI133" s="220">
        <f t="shared" si="154"/>
        <v>-191</v>
      </c>
      <c r="AJ133" s="50">
        <f t="shared" si="95"/>
        <v>1.2480000000000071</v>
      </c>
      <c r="AK133" s="257"/>
      <c r="AL133" s="257">
        <f t="shared" si="96"/>
        <v>1.2</v>
      </c>
      <c r="AM133" s="52"/>
      <c r="AN133" s="88"/>
    </row>
    <row r="134" spans="1:40" s="29" customFormat="1" ht="17.25" customHeight="1">
      <c r="A134" s="48">
        <v>124</v>
      </c>
      <c r="B134" s="49">
        <f t="shared" si="88"/>
        <v>45708</v>
      </c>
      <c r="C134" s="220">
        <f t="shared" si="89"/>
        <v>1049</v>
      </c>
      <c r="D134" s="220">
        <f t="shared" ref="D134" si="163">D133+32</f>
        <v>2494</v>
      </c>
      <c r="E134" s="220">
        <f t="shared" si="91"/>
        <v>3543</v>
      </c>
      <c r="F134" s="220">
        <f t="shared" si="83"/>
        <v>1105</v>
      </c>
      <c r="G134" s="220">
        <f t="shared" si="84"/>
        <v>1085</v>
      </c>
      <c r="H134" s="220">
        <f t="shared" si="85"/>
        <v>1345</v>
      </c>
      <c r="I134" s="220">
        <f t="shared" si="86"/>
        <v>1217</v>
      </c>
      <c r="J134" s="220">
        <f t="shared" si="87"/>
        <v>1176</v>
      </c>
      <c r="K134" s="220">
        <f t="shared" si="140"/>
        <v>2438</v>
      </c>
      <c r="L134" s="220">
        <f t="shared" si="140"/>
        <v>2458</v>
      </c>
      <c r="M134" s="220">
        <f t="shared" si="140"/>
        <v>2198</v>
      </c>
      <c r="N134" s="220">
        <f t="shared" si="140"/>
        <v>2326</v>
      </c>
      <c r="O134" s="220">
        <f t="shared" si="140"/>
        <v>2367</v>
      </c>
      <c r="P134" s="220">
        <f t="shared" si="152"/>
        <v>2000</v>
      </c>
      <c r="Q134" s="220">
        <f t="shared" si="152"/>
        <v>2150</v>
      </c>
      <c r="R134" s="220">
        <f t="shared" si="152"/>
        <v>2150</v>
      </c>
      <c r="S134" s="220">
        <f t="shared" si="152"/>
        <v>2150</v>
      </c>
      <c r="T134" s="220">
        <f t="shared" si="152"/>
        <v>2000</v>
      </c>
      <c r="U134" s="220">
        <f t="shared" si="153"/>
        <v>438</v>
      </c>
      <c r="V134" s="220">
        <f t="shared" si="153"/>
        <v>308</v>
      </c>
      <c r="W134" s="220">
        <f t="shared" si="153"/>
        <v>48</v>
      </c>
      <c r="X134" s="220">
        <f t="shared" si="153"/>
        <v>176</v>
      </c>
      <c r="Y134" s="220">
        <f t="shared" si="153"/>
        <v>367</v>
      </c>
      <c r="Z134" s="220">
        <v>0</v>
      </c>
      <c r="AA134" s="220">
        <v>0</v>
      </c>
      <c r="AB134" s="220">
        <v>0</v>
      </c>
      <c r="AC134" s="220">
        <v>0</v>
      </c>
      <c r="AD134" s="220">
        <v>1</v>
      </c>
      <c r="AE134" s="220">
        <f t="shared" si="154"/>
        <v>-211</v>
      </c>
      <c r="AF134" s="220">
        <f t="shared" si="154"/>
        <v>-294</v>
      </c>
      <c r="AG134" s="220">
        <f t="shared" si="154"/>
        <v>-519</v>
      </c>
      <c r="AH134" s="220">
        <f t="shared" si="154"/>
        <v>-306</v>
      </c>
      <c r="AI134" s="220">
        <f t="shared" si="154"/>
        <v>-192</v>
      </c>
      <c r="AJ134" s="50">
        <f t="shared" si="95"/>
        <v>1.2480000000000071</v>
      </c>
      <c r="AK134" s="257"/>
      <c r="AL134" s="257">
        <f t="shared" si="96"/>
        <v>1.2</v>
      </c>
      <c r="AM134" s="52"/>
      <c r="AN134" s="88"/>
    </row>
    <row r="135" spans="1:40" s="29" customFormat="1" ht="17.25" customHeight="1">
      <c r="A135" s="48">
        <v>125</v>
      </c>
      <c r="B135" s="49">
        <f t="shared" si="88"/>
        <v>45709</v>
      </c>
      <c r="C135" s="220">
        <f t="shared" si="89"/>
        <v>1049</v>
      </c>
      <c r="D135" s="220">
        <f t="shared" ref="D135" si="164">D134-18</f>
        <v>2476</v>
      </c>
      <c r="E135" s="220">
        <f t="shared" si="91"/>
        <v>3525</v>
      </c>
      <c r="F135" s="220">
        <f t="shared" si="83"/>
        <v>1087</v>
      </c>
      <c r="G135" s="220">
        <f t="shared" si="84"/>
        <v>1067</v>
      </c>
      <c r="H135" s="220">
        <f t="shared" si="85"/>
        <v>1330</v>
      </c>
      <c r="I135" s="220">
        <f t="shared" si="86"/>
        <v>1199</v>
      </c>
      <c r="J135" s="220">
        <f t="shared" si="87"/>
        <v>1158</v>
      </c>
      <c r="K135" s="220">
        <f t="shared" si="140"/>
        <v>2438</v>
      </c>
      <c r="L135" s="220">
        <f t="shared" si="140"/>
        <v>2458</v>
      </c>
      <c r="M135" s="220">
        <f t="shared" si="140"/>
        <v>2195</v>
      </c>
      <c r="N135" s="220">
        <f t="shared" si="140"/>
        <v>2326</v>
      </c>
      <c r="O135" s="220">
        <f t="shared" si="140"/>
        <v>2367</v>
      </c>
      <c r="P135" s="220">
        <f t="shared" si="152"/>
        <v>2000</v>
      </c>
      <c r="Q135" s="220">
        <f t="shared" si="152"/>
        <v>2150</v>
      </c>
      <c r="R135" s="220">
        <f t="shared" si="152"/>
        <v>2150</v>
      </c>
      <c r="S135" s="220">
        <f t="shared" si="152"/>
        <v>2150</v>
      </c>
      <c r="T135" s="220">
        <f t="shared" si="152"/>
        <v>2000</v>
      </c>
      <c r="U135" s="220">
        <f t="shared" si="153"/>
        <v>438</v>
      </c>
      <c r="V135" s="220">
        <f t="shared" si="153"/>
        <v>308</v>
      </c>
      <c r="W135" s="220">
        <f t="shared" si="153"/>
        <v>45</v>
      </c>
      <c r="X135" s="220">
        <f t="shared" si="153"/>
        <v>176</v>
      </c>
      <c r="Y135" s="220">
        <f t="shared" si="153"/>
        <v>367</v>
      </c>
      <c r="Z135" s="220">
        <v>0</v>
      </c>
      <c r="AA135" s="220">
        <v>0</v>
      </c>
      <c r="AB135" s="220">
        <v>3</v>
      </c>
      <c r="AC135" s="220">
        <v>0</v>
      </c>
      <c r="AD135" s="220">
        <v>0</v>
      </c>
      <c r="AE135" s="220">
        <f t="shared" si="154"/>
        <v>-211</v>
      </c>
      <c r="AF135" s="220">
        <f t="shared" si="154"/>
        <v>-294</v>
      </c>
      <c r="AG135" s="220">
        <f t="shared" si="154"/>
        <v>-522</v>
      </c>
      <c r="AH135" s="220">
        <f t="shared" si="154"/>
        <v>-306</v>
      </c>
      <c r="AI135" s="220">
        <f t="shared" si="154"/>
        <v>-192</v>
      </c>
      <c r="AJ135" s="50">
        <f t="shared" si="95"/>
        <v>1.2450000000000072</v>
      </c>
      <c r="AK135" s="257"/>
      <c r="AL135" s="257">
        <f t="shared" si="96"/>
        <v>1.2</v>
      </c>
      <c r="AM135" s="52"/>
      <c r="AN135" s="88"/>
    </row>
    <row r="136" spans="1:40" s="29" customFormat="1" ht="17.25" customHeight="1">
      <c r="A136" s="48">
        <v>126</v>
      </c>
      <c r="B136" s="49">
        <f t="shared" si="88"/>
        <v>45710</v>
      </c>
      <c r="C136" s="220">
        <f t="shared" si="89"/>
        <v>1049</v>
      </c>
      <c r="D136" s="220">
        <f t="shared" ref="D136" si="165">D135-26</f>
        <v>2450</v>
      </c>
      <c r="E136" s="220">
        <f t="shared" si="91"/>
        <v>3499</v>
      </c>
      <c r="F136" s="220">
        <f t="shared" si="83"/>
        <v>1062</v>
      </c>
      <c r="G136" s="220">
        <f t="shared" si="84"/>
        <v>1042</v>
      </c>
      <c r="H136" s="220">
        <f t="shared" si="85"/>
        <v>1305</v>
      </c>
      <c r="I136" s="220">
        <f t="shared" si="86"/>
        <v>1174</v>
      </c>
      <c r="J136" s="220">
        <f t="shared" si="87"/>
        <v>1132</v>
      </c>
      <c r="K136" s="220">
        <f t="shared" si="140"/>
        <v>2437</v>
      </c>
      <c r="L136" s="220">
        <f t="shared" si="140"/>
        <v>2457</v>
      </c>
      <c r="M136" s="220">
        <f t="shared" si="140"/>
        <v>2194</v>
      </c>
      <c r="N136" s="220">
        <f t="shared" si="140"/>
        <v>2325</v>
      </c>
      <c r="O136" s="220">
        <f t="shared" si="140"/>
        <v>2367</v>
      </c>
      <c r="P136" s="220">
        <f t="shared" si="152"/>
        <v>2000</v>
      </c>
      <c r="Q136" s="220">
        <f t="shared" si="152"/>
        <v>2150</v>
      </c>
      <c r="R136" s="220">
        <f t="shared" si="152"/>
        <v>2150</v>
      </c>
      <c r="S136" s="220">
        <f t="shared" si="152"/>
        <v>2150</v>
      </c>
      <c r="T136" s="220">
        <f t="shared" si="152"/>
        <v>2000</v>
      </c>
      <c r="U136" s="220">
        <f t="shared" si="153"/>
        <v>437</v>
      </c>
      <c r="V136" s="220">
        <f t="shared" si="153"/>
        <v>307</v>
      </c>
      <c r="W136" s="220">
        <f t="shared" si="153"/>
        <v>44</v>
      </c>
      <c r="X136" s="220">
        <f t="shared" si="153"/>
        <v>175</v>
      </c>
      <c r="Y136" s="220">
        <f t="shared" si="153"/>
        <v>367</v>
      </c>
      <c r="Z136" s="220">
        <v>1</v>
      </c>
      <c r="AA136" s="220">
        <v>1</v>
      </c>
      <c r="AB136" s="220">
        <v>1</v>
      </c>
      <c r="AC136" s="220">
        <v>1</v>
      </c>
      <c r="AD136" s="220">
        <v>0</v>
      </c>
      <c r="AE136" s="220">
        <f t="shared" si="154"/>
        <v>-212</v>
      </c>
      <c r="AF136" s="220">
        <f t="shared" si="154"/>
        <v>-295</v>
      </c>
      <c r="AG136" s="220">
        <f t="shared" si="154"/>
        <v>-523</v>
      </c>
      <c r="AH136" s="220">
        <f t="shared" si="154"/>
        <v>-307</v>
      </c>
      <c r="AI136" s="220">
        <f t="shared" si="154"/>
        <v>-192</v>
      </c>
      <c r="AJ136" s="50">
        <f t="shared" si="95"/>
        <v>1.2440000000000073</v>
      </c>
      <c r="AK136" s="257"/>
      <c r="AL136" s="257">
        <f t="shared" si="96"/>
        <v>1.2</v>
      </c>
      <c r="AM136" s="52"/>
      <c r="AN136" s="88"/>
    </row>
    <row r="137" spans="1:40" s="29" customFormat="1" ht="17.25" customHeight="1">
      <c r="A137" s="48">
        <v>127</v>
      </c>
      <c r="B137" s="49">
        <f t="shared" si="88"/>
        <v>45711</v>
      </c>
      <c r="C137" s="220">
        <f t="shared" si="89"/>
        <v>1049</v>
      </c>
      <c r="D137" s="220">
        <f t="shared" ref="D137" si="166">D136+15</f>
        <v>2465</v>
      </c>
      <c r="E137" s="220">
        <f t="shared" si="91"/>
        <v>3514</v>
      </c>
      <c r="F137" s="220">
        <f t="shared" si="83"/>
        <v>1077</v>
      </c>
      <c r="G137" s="220">
        <f t="shared" si="84"/>
        <v>1058</v>
      </c>
      <c r="H137" s="220">
        <f t="shared" si="85"/>
        <v>1320</v>
      </c>
      <c r="I137" s="220">
        <f t="shared" si="86"/>
        <v>1190</v>
      </c>
      <c r="J137" s="220">
        <f t="shared" si="87"/>
        <v>1147</v>
      </c>
      <c r="K137" s="220">
        <f t="shared" si="140"/>
        <v>2437</v>
      </c>
      <c r="L137" s="220">
        <f t="shared" si="140"/>
        <v>2456</v>
      </c>
      <c r="M137" s="220">
        <f t="shared" si="140"/>
        <v>2194</v>
      </c>
      <c r="N137" s="220">
        <f t="shared" si="140"/>
        <v>2324</v>
      </c>
      <c r="O137" s="220">
        <f t="shared" si="140"/>
        <v>2367</v>
      </c>
      <c r="P137" s="220">
        <f t="shared" si="152"/>
        <v>2000</v>
      </c>
      <c r="Q137" s="220">
        <f t="shared" si="152"/>
        <v>2150</v>
      </c>
      <c r="R137" s="220">
        <f t="shared" si="152"/>
        <v>2150</v>
      </c>
      <c r="S137" s="220">
        <f t="shared" si="152"/>
        <v>2150</v>
      </c>
      <c r="T137" s="220">
        <f t="shared" si="152"/>
        <v>2000</v>
      </c>
      <c r="U137" s="220">
        <f t="shared" si="153"/>
        <v>437</v>
      </c>
      <c r="V137" s="220">
        <f t="shared" si="153"/>
        <v>306</v>
      </c>
      <c r="W137" s="220">
        <f t="shared" si="153"/>
        <v>44</v>
      </c>
      <c r="X137" s="220">
        <f t="shared" si="153"/>
        <v>174</v>
      </c>
      <c r="Y137" s="220">
        <f t="shared" si="153"/>
        <v>367</v>
      </c>
      <c r="Z137" s="220">
        <v>0</v>
      </c>
      <c r="AA137" s="220">
        <v>1</v>
      </c>
      <c r="AB137" s="220">
        <v>0</v>
      </c>
      <c r="AC137" s="220">
        <v>1</v>
      </c>
      <c r="AD137" s="220">
        <v>0</v>
      </c>
      <c r="AE137" s="220">
        <f t="shared" si="154"/>
        <v>-212</v>
      </c>
      <c r="AF137" s="220">
        <f t="shared" si="154"/>
        <v>-296</v>
      </c>
      <c r="AG137" s="220">
        <f t="shared" si="154"/>
        <v>-523</v>
      </c>
      <c r="AH137" s="220">
        <f t="shared" si="154"/>
        <v>-308</v>
      </c>
      <c r="AI137" s="220">
        <f t="shared" si="154"/>
        <v>-192</v>
      </c>
      <c r="AJ137" s="50">
        <f t="shared" si="95"/>
        <v>1.2440000000000073</v>
      </c>
      <c r="AK137" s="257"/>
      <c r="AL137" s="257">
        <f t="shared" si="96"/>
        <v>1.2</v>
      </c>
      <c r="AM137" s="52"/>
      <c r="AN137" s="88"/>
    </row>
    <row r="138" spans="1:40" s="29" customFormat="1" ht="17.25" customHeight="1">
      <c r="A138" s="48">
        <v>128</v>
      </c>
      <c r="B138" s="49">
        <f t="shared" si="88"/>
        <v>45712</v>
      </c>
      <c r="C138" s="220">
        <f t="shared" si="89"/>
        <v>1049</v>
      </c>
      <c r="D138" s="220">
        <f t="shared" ref="D138" si="167">D137+26</f>
        <v>2491</v>
      </c>
      <c r="E138" s="220">
        <f t="shared" si="91"/>
        <v>3540</v>
      </c>
      <c r="F138" s="220">
        <f t="shared" si="83"/>
        <v>1104</v>
      </c>
      <c r="G138" s="220">
        <f t="shared" si="84"/>
        <v>1084</v>
      </c>
      <c r="H138" s="220">
        <f t="shared" si="85"/>
        <v>1349</v>
      </c>
      <c r="I138" s="220">
        <f t="shared" si="86"/>
        <v>1216</v>
      </c>
      <c r="J138" s="220">
        <f t="shared" si="87"/>
        <v>1174</v>
      </c>
      <c r="K138" s="220">
        <f t="shared" si="140"/>
        <v>2436</v>
      </c>
      <c r="L138" s="220">
        <f t="shared" si="140"/>
        <v>2456</v>
      </c>
      <c r="M138" s="220">
        <f t="shared" si="140"/>
        <v>2191</v>
      </c>
      <c r="N138" s="220">
        <f t="shared" si="140"/>
        <v>2324</v>
      </c>
      <c r="O138" s="220">
        <f t="shared" si="140"/>
        <v>2366</v>
      </c>
      <c r="P138" s="220">
        <f t="shared" si="152"/>
        <v>2000</v>
      </c>
      <c r="Q138" s="220">
        <f t="shared" si="152"/>
        <v>2150</v>
      </c>
      <c r="R138" s="220">
        <f t="shared" si="152"/>
        <v>2150</v>
      </c>
      <c r="S138" s="220">
        <f t="shared" si="152"/>
        <v>2150</v>
      </c>
      <c r="T138" s="220">
        <f t="shared" si="152"/>
        <v>2000</v>
      </c>
      <c r="U138" s="220">
        <f t="shared" si="153"/>
        <v>436</v>
      </c>
      <c r="V138" s="220">
        <f t="shared" si="153"/>
        <v>306</v>
      </c>
      <c r="W138" s="220">
        <f t="shared" si="153"/>
        <v>41</v>
      </c>
      <c r="X138" s="220">
        <f t="shared" si="153"/>
        <v>174</v>
      </c>
      <c r="Y138" s="220">
        <f t="shared" si="153"/>
        <v>366</v>
      </c>
      <c r="Z138" s="220">
        <v>1</v>
      </c>
      <c r="AA138" s="220">
        <v>0</v>
      </c>
      <c r="AB138" s="220">
        <v>3</v>
      </c>
      <c r="AC138" s="220">
        <v>0</v>
      </c>
      <c r="AD138" s="220">
        <v>1</v>
      </c>
      <c r="AE138" s="220">
        <f t="shared" si="154"/>
        <v>-213</v>
      </c>
      <c r="AF138" s="220">
        <f t="shared" si="154"/>
        <v>-296</v>
      </c>
      <c r="AG138" s="220">
        <f t="shared" si="154"/>
        <v>-526</v>
      </c>
      <c r="AH138" s="220">
        <f t="shared" si="154"/>
        <v>-308</v>
      </c>
      <c r="AI138" s="220">
        <f t="shared" si="154"/>
        <v>-193</v>
      </c>
      <c r="AJ138" s="50">
        <f t="shared" si="95"/>
        <v>1.2410000000000074</v>
      </c>
      <c r="AK138" s="257"/>
      <c r="AL138" s="257">
        <f t="shared" si="96"/>
        <v>1.2</v>
      </c>
      <c r="AM138" s="52"/>
      <c r="AN138" s="88"/>
    </row>
    <row r="139" spans="1:40" s="29" customFormat="1" ht="17.25" customHeight="1">
      <c r="A139" s="48">
        <v>129</v>
      </c>
      <c r="B139" s="49">
        <f t="shared" si="88"/>
        <v>45713</v>
      </c>
      <c r="C139" s="220">
        <f t="shared" si="89"/>
        <v>1049</v>
      </c>
      <c r="D139" s="220">
        <f t="shared" ref="D139" si="168">D138+32</f>
        <v>2523</v>
      </c>
      <c r="E139" s="220">
        <f t="shared" si="91"/>
        <v>3572</v>
      </c>
      <c r="F139" s="220">
        <f t="shared" si="83"/>
        <v>1136</v>
      </c>
      <c r="G139" s="220">
        <f t="shared" si="84"/>
        <v>1116</v>
      </c>
      <c r="H139" s="220">
        <f t="shared" si="85"/>
        <v>1381</v>
      </c>
      <c r="I139" s="220">
        <f t="shared" si="86"/>
        <v>1250</v>
      </c>
      <c r="J139" s="220">
        <f t="shared" si="87"/>
        <v>1206</v>
      </c>
      <c r="K139" s="220">
        <f t="shared" si="140"/>
        <v>2436</v>
      </c>
      <c r="L139" s="220">
        <f t="shared" si="140"/>
        <v>2456</v>
      </c>
      <c r="M139" s="220">
        <f t="shared" si="140"/>
        <v>2191</v>
      </c>
      <c r="N139" s="220">
        <f t="shared" si="140"/>
        <v>2322</v>
      </c>
      <c r="O139" s="220">
        <f t="shared" si="140"/>
        <v>2366</v>
      </c>
      <c r="P139" s="220">
        <f t="shared" si="152"/>
        <v>2000</v>
      </c>
      <c r="Q139" s="220">
        <f t="shared" si="152"/>
        <v>2150</v>
      </c>
      <c r="R139" s="220">
        <f t="shared" si="152"/>
        <v>2150</v>
      </c>
      <c r="S139" s="220">
        <f t="shared" si="152"/>
        <v>2150</v>
      </c>
      <c r="T139" s="220">
        <f t="shared" si="152"/>
        <v>2000</v>
      </c>
      <c r="U139" s="220">
        <f t="shared" si="153"/>
        <v>436</v>
      </c>
      <c r="V139" s="220">
        <f t="shared" si="153"/>
        <v>306</v>
      </c>
      <c r="W139" s="220">
        <f t="shared" si="153"/>
        <v>41</v>
      </c>
      <c r="X139" s="220">
        <f t="shared" si="153"/>
        <v>172</v>
      </c>
      <c r="Y139" s="220">
        <f t="shared" si="153"/>
        <v>366</v>
      </c>
      <c r="Z139" s="220">
        <v>0</v>
      </c>
      <c r="AA139" s="220">
        <v>0</v>
      </c>
      <c r="AB139" s="220">
        <v>0</v>
      </c>
      <c r="AC139" s="220">
        <v>2</v>
      </c>
      <c r="AD139" s="220">
        <v>0</v>
      </c>
      <c r="AE139" s="220">
        <f t="shared" si="154"/>
        <v>-213</v>
      </c>
      <c r="AF139" s="220">
        <f t="shared" si="154"/>
        <v>-296</v>
      </c>
      <c r="AG139" s="220">
        <f t="shared" si="154"/>
        <v>-526</v>
      </c>
      <c r="AH139" s="220">
        <f t="shared" si="154"/>
        <v>-310</v>
      </c>
      <c r="AI139" s="220">
        <f t="shared" si="154"/>
        <v>-193</v>
      </c>
      <c r="AJ139" s="50">
        <f t="shared" si="95"/>
        <v>1.2410000000000074</v>
      </c>
      <c r="AK139" s="257"/>
      <c r="AL139" s="257">
        <f t="shared" si="96"/>
        <v>1.2</v>
      </c>
      <c r="AM139" s="52"/>
      <c r="AN139" s="88"/>
    </row>
    <row r="140" spans="1:40" s="29" customFormat="1" ht="17.25" customHeight="1">
      <c r="A140" s="48">
        <v>130</v>
      </c>
      <c r="B140" s="49">
        <f t="shared" si="88"/>
        <v>45714</v>
      </c>
      <c r="C140" s="220">
        <f t="shared" si="89"/>
        <v>1049</v>
      </c>
      <c r="D140" s="220">
        <f t="shared" ref="D140" si="169">D139-18</f>
        <v>2505</v>
      </c>
      <c r="E140" s="220">
        <f t="shared" si="91"/>
        <v>3554</v>
      </c>
      <c r="F140" s="220">
        <f t="shared" ref="F140:F203" si="170">E140-K140</f>
        <v>1119</v>
      </c>
      <c r="G140" s="220">
        <f t="shared" ref="G140:G203" si="171">E140-L140</f>
        <v>1102</v>
      </c>
      <c r="H140" s="220">
        <f t="shared" ref="H140:H203" si="172">E140-M140</f>
        <v>1364</v>
      </c>
      <c r="I140" s="220">
        <f t="shared" ref="I140:I203" si="173">E140-N140</f>
        <v>1232</v>
      </c>
      <c r="J140" s="220">
        <f t="shared" ref="J140:J203" si="174">E140-O140</f>
        <v>1189</v>
      </c>
      <c r="K140" s="220">
        <f t="shared" si="140"/>
        <v>2435</v>
      </c>
      <c r="L140" s="220">
        <f t="shared" si="140"/>
        <v>2452</v>
      </c>
      <c r="M140" s="220">
        <f t="shared" si="140"/>
        <v>2190</v>
      </c>
      <c r="N140" s="220">
        <f t="shared" si="140"/>
        <v>2322</v>
      </c>
      <c r="O140" s="220">
        <f t="shared" si="140"/>
        <v>2365</v>
      </c>
      <c r="P140" s="220">
        <f t="shared" si="152"/>
        <v>2000</v>
      </c>
      <c r="Q140" s="220">
        <f t="shared" si="152"/>
        <v>2150</v>
      </c>
      <c r="R140" s="220">
        <f t="shared" si="152"/>
        <v>2150</v>
      </c>
      <c r="S140" s="220">
        <f t="shared" si="152"/>
        <v>2150</v>
      </c>
      <c r="T140" s="220">
        <f t="shared" si="152"/>
        <v>2000</v>
      </c>
      <c r="U140" s="220">
        <f t="shared" si="153"/>
        <v>435</v>
      </c>
      <c r="V140" s="220">
        <f t="shared" si="153"/>
        <v>302</v>
      </c>
      <c r="W140" s="220">
        <f t="shared" si="153"/>
        <v>40</v>
      </c>
      <c r="X140" s="220">
        <f t="shared" si="153"/>
        <v>172</v>
      </c>
      <c r="Y140" s="220">
        <f t="shared" si="153"/>
        <v>365</v>
      </c>
      <c r="Z140" s="220">
        <v>1</v>
      </c>
      <c r="AA140" s="220">
        <v>4</v>
      </c>
      <c r="AB140" s="220">
        <v>1</v>
      </c>
      <c r="AC140" s="220">
        <v>0</v>
      </c>
      <c r="AD140" s="220">
        <v>1</v>
      </c>
      <c r="AE140" s="220">
        <f t="shared" si="154"/>
        <v>-214</v>
      </c>
      <c r="AF140" s="220">
        <f t="shared" si="154"/>
        <v>-300</v>
      </c>
      <c r="AG140" s="220">
        <f t="shared" si="154"/>
        <v>-527</v>
      </c>
      <c r="AH140" s="220">
        <f t="shared" si="154"/>
        <v>-310</v>
      </c>
      <c r="AI140" s="220">
        <f t="shared" si="154"/>
        <v>-194</v>
      </c>
      <c r="AJ140" s="50">
        <f t="shared" si="95"/>
        <v>1.2400000000000075</v>
      </c>
      <c r="AK140" s="257"/>
      <c r="AL140" s="257">
        <f t="shared" si="96"/>
        <v>1.2</v>
      </c>
      <c r="AM140" s="52"/>
      <c r="AN140" s="88"/>
    </row>
    <row r="141" spans="1:40" s="29" customFormat="1" ht="17.25" customHeight="1">
      <c r="A141" s="48">
        <v>131</v>
      </c>
      <c r="B141" s="49">
        <f t="shared" ref="B141:B204" si="175">B140+1</f>
        <v>45715</v>
      </c>
      <c r="C141" s="220">
        <f t="shared" ref="C141:C204" si="176">+C140</f>
        <v>1049</v>
      </c>
      <c r="D141" s="220">
        <f t="shared" ref="D141" si="177">D140-26</f>
        <v>2479</v>
      </c>
      <c r="E141" s="220">
        <f t="shared" ref="E141:E204" si="178">+C141+D141</f>
        <v>3528</v>
      </c>
      <c r="F141" s="220">
        <f t="shared" si="170"/>
        <v>1093</v>
      </c>
      <c r="G141" s="220">
        <f t="shared" si="171"/>
        <v>1079</v>
      </c>
      <c r="H141" s="220">
        <f t="shared" si="172"/>
        <v>1338</v>
      </c>
      <c r="I141" s="220">
        <f t="shared" si="173"/>
        <v>1210</v>
      </c>
      <c r="J141" s="220">
        <f t="shared" si="174"/>
        <v>1164</v>
      </c>
      <c r="K141" s="220">
        <f t="shared" si="140"/>
        <v>2435</v>
      </c>
      <c r="L141" s="220">
        <f t="shared" si="140"/>
        <v>2449</v>
      </c>
      <c r="M141" s="220">
        <f t="shared" si="140"/>
        <v>2190</v>
      </c>
      <c r="N141" s="220">
        <f t="shared" si="140"/>
        <v>2318</v>
      </c>
      <c r="O141" s="220">
        <f t="shared" si="140"/>
        <v>2364</v>
      </c>
      <c r="P141" s="220">
        <f t="shared" ref="P141:T156" si="179">+P140</f>
        <v>2000</v>
      </c>
      <c r="Q141" s="220">
        <f t="shared" si="179"/>
        <v>2150</v>
      </c>
      <c r="R141" s="220">
        <f t="shared" si="179"/>
        <v>2150</v>
      </c>
      <c r="S141" s="220">
        <f t="shared" si="179"/>
        <v>2150</v>
      </c>
      <c r="T141" s="220">
        <f t="shared" si="179"/>
        <v>2000</v>
      </c>
      <c r="U141" s="220">
        <f t="shared" ref="U141:Y156" si="180">U140-Z141</f>
        <v>435</v>
      </c>
      <c r="V141" s="220">
        <f t="shared" si="180"/>
        <v>299</v>
      </c>
      <c r="W141" s="220">
        <f t="shared" si="180"/>
        <v>40</v>
      </c>
      <c r="X141" s="220">
        <f t="shared" si="180"/>
        <v>168</v>
      </c>
      <c r="Y141" s="220">
        <f t="shared" si="180"/>
        <v>364</v>
      </c>
      <c r="Z141" s="220">
        <v>0</v>
      </c>
      <c r="AA141" s="220">
        <v>3</v>
      </c>
      <c r="AB141" s="220">
        <v>0</v>
      </c>
      <c r="AC141" s="220">
        <v>4</v>
      </c>
      <c r="AD141" s="220">
        <v>1</v>
      </c>
      <c r="AE141" s="220">
        <f t="shared" ref="AE141:AI156" si="181">AE140-Z141</f>
        <v>-214</v>
      </c>
      <c r="AF141" s="220">
        <f t="shared" si="181"/>
        <v>-303</v>
      </c>
      <c r="AG141" s="220">
        <f t="shared" si="181"/>
        <v>-527</v>
      </c>
      <c r="AH141" s="220">
        <f t="shared" si="181"/>
        <v>-314</v>
      </c>
      <c r="AI141" s="220">
        <f t="shared" si="181"/>
        <v>-195</v>
      </c>
      <c r="AJ141" s="50">
        <f t="shared" ref="AJ141:AJ182" si="182">AJ140-AB141/1000+AK141</f>
        <v>1.2400000000000075</v>
      </c>
      <c r="AK141" s="257"/>
      <c r="AL141" s="257">
        <f t="shared" ref="AL141:AL204" si="183">AL140+AK141</f>
        <v>1.2</v>
      </c>
      <c r="AM141" s="52"/>
      <c r="AN141" s="88"/>
    </row>
    <row r="142" spans="1:40" s="29" customFormat="1" ht="17.25" customHeight="1">
      <c r="A142" s="48">
        <v>132</v>
      </c>
      <c r="B142" s="49">
        <f t="shared" si="175"/>
        <v>45716</v>
      </c>
      <c r="C142" s="220">
        <f t="shared" si="176"/>
        <v>1049</v>
      </c>
      <c r="D142" s="220">
        <f t="shared" ref="D142" si="184">D141+15</f>
        <v>2494</v>
      </c>
      <c r="E142" s="220">
        <f t="shared" si="178"/>
        <v>3543</v>
      </c>
      <c r="F142" s="220">
        <f t="shared" si="170"/>
        <v>1109</v>
      </c>
      <c r="G142" s="220">
        <f t="shared" si="171"/>
        <v>1094</v>
      </c>
      <c r="H142" s="220">
        <f t="shared" si="172"/>
        <v>1354</v>
      </c>
      <c r="I142" s="220">
        <f t="shared" si="173"/>
        <v>1225</v>
      </c>
      <c r="J142" s="220">
        <f t="shared" si="174"/>
        <v>1179</v>
      </c>
      <c r="K142" s="220">
        <f t="shared" si="140"/>
        <v>2434</v>
      </c>
      <c r="L142" s="220">
        <f t="shared" si="140"/>
        <v>2449</v>
      </c>
      <c r="M142" s="220">
        <f t="shared" si="140"/>
        <v>2189</v>
      </c>
      <c r="N142" s="220">
        <f t="shared" si="140"/>
        <v>2318</v>
      </c>
      <c r="O142" s="220">
        <f t="shared" si="140"/>
        <v>2364</v>
      </c>
      <c r="P142" s="220">
        <f t="shared" si="179"/>
        <v>2000</v>
      </c>
      <c r="Q142" s="220">
        <f t="shared" si="179"/>
        <v>2150</v>
      </c>
      <c r="R142" s="220">
        <f t="shared" si="179"/>
        <v>2150</v>
      </c>
      <c r="S142" s="220">
        <f t="shared" si="179"/>
        <v>2150</v>
      </c>
      <c r="T142" s="220">
        <f t="shared" si="179"/>
        <v>2000</v>
      </c>
      <c r="U142" s="220">
        <f t="shared" si="180"/>
        <v>434</v>
      </c>
      <c r="V142" s="220">
        <f t="shared" si="180"/>
        <v>299</v>
      </c>
      <c r="W142" s="220">
        <f t="shared" si="180"/>
        <v>39</v>
      </c>
      <c r="X142" s="220">
        <f t="shared" si="180"/>
        <v>168</v>
      </c>
      <c r="Y142" s="220">
        <f t="shared" si="180"/>
        <v>364</v>
      </c>
      <c r="Z142" s="220">
        <v>1</v>
      </c>
      <c r="AA142" s="220">
        <v>0</v>
      </c>
      <c r="AB142" s="220">
        <v>1</v>
      </c>
      <c r="AC142" s="220">
        <v>0</v>
      </c>
      <c r="AD142" s="220">
        <v>0</v>
      </c>
      <c r="AE142" s="220">
        <f t="shared" si="181"/>
        <v>-215</v>
      </c>
      <c r="AF142" s="220">
        <f t="shared" si="181"/>
        <v>-303</v>
      </c>
      <c r="AG142" s="220">
        <f t="shared" si="181"/>
        <v>-528</v>
      </c>
      <c r="AH142" s="220">
        <f t="shared" si="181"/>
        <v>-314</v>
      </c>
      <c r="AI142" s="220">
        <f t="shared" si="181"/>
        <v>-195</v>
      </c>
      <c r="AJ142" s="50">
        <f t="shared" si="182"/>
        <v>1.2390000000000077</v>
      </c>
      <c r="AK142" s="257"/>
      <c r="AL142" s="257">
        <f t="shared" si="183"/>
        <v>1.2</v>
      </c>
      <c r="AM142" s="52"/>
      <c r="AN142" s="88"/>
    </row>
    <row r="143" spans="1:40" s="29" customFormat="1" ht="17.25" customHeight="1">
      <c r="A143" s="48">
        <v>133</v>
      </c>
      <c r="B143" s="49">
        <f t="shared" si="175"/>
        <v>45717</v>
      </c>
      <c r="C143" s="220">
        <f t="shared" si="176"/>
        <v>1049</v>
      </c>
      <c r="D143" s="220">
        <f t="shared" ref="D143" si="185">D142+26</f>
        <v>2520</v>
      </c>
      <c r="E143" s="220">
        <f t="shared" si="178"/>
        <v>3569</v>
      </c>
      <c r="F143" s="220">
        <f t="shared" si="170"/>
        <v>1135</v>
      </c>
      <c r="G143" s="220">
        <f t="shared" si="171"/>
        <v>1120</v>
      </c>
      <c r="H143" s="220">
        <f t="shared" si="172"/>
        <v>1380</v>
      </c>
      <c r="I143" s="220">
        <f t="shared" si="173"/>
        <v>1251</v>
      </c>
      <c r="J143" s="220">
        <f t="shared" si="174"/>
        <v>1205</v>
      </c>
      <c r="K143" s="220">
        <f t="shared" si="140"/>
        <v>2434</v>
      </c>
      <c r="L143" s="220">
        <f t="shared" si="140"/>
        <v>2449</v>
      </c>
      <c r="M143" s="220">
        <f t="shared" si="140"/>
        <v>2189</v>
      </c>
      <c r="N143" s="220">
        <f t="shared" si="140"/>
        <v>2318</v>
      </c>
      <c r="O143" s="220">
        <f t="shared" si="140"/>
        <v>2364</v>
      </c>
      <c r="P143" s="220">
        <f t="shared" si="179"/>
        <v>2000</v>
      </c>
      <c r="Q143" s="220">
        <f t="shared" si="179"/>
        <v>2150</v>
      </c>
      <c r="R143" s="220">
        <f t="shared" si="179"/>
        <v>2150</v>
      </c>
      <c r="S143" s="220">
        <f t="shared" si="179"/>
        <v>2150</v>
      </c>
      <c r="T143" s="220">
        <f t="shared" si="179"/>
        <v>2000</v>
      </c>
      <c r="U143" s="220">
        <f t="shared" si="180"/>
        <v>434</v>
      </c>
      <c r="V143" s="220">
        <f t="shared" si="180"/>
        <v>299</v>
      </c>
      <c r="W143" s="220">
        <f t="shared" si="180"/>
        <v>39</v>
      </c>
      <c r="X143" s="220">
        <f t="shared" si="180"/>
        <v>168</v>
      </c>
      <c r="Y143" s="220">
        <f t="shared" si="180"/>
        <v>364</v>
      </c>
      <c r="Z143" s="220">
        <v>0</v>
      </c>
      <c r="AA143" s="220">
        <v>0</v>
      </c>
      <c r="AB143" s="220">
        <v>0</v>
      </c>
      <c r="AC143" s="220">
        <v>0</v>
      </c>
      <c r="AD143" s="220">
        <v>0</v>
      </c>
      <c r="AE143" s="220">
        <f t="shared" si="181"/>
        <v>-215</v>
      </c>
      <c r="AF143" s="220">
        <f t="shared" si="181"/>
        <v>-303</v>
      </c>
      <c r="AG143" s="220">
        <f t="shared" si="181"/>
        <v>-528</v>
      </c>
      <c r="AH143" s="220">
        <f t="shared" si="181"/>
        <v>-314</v>
      </c>
      <c r="AI143" s="220">
        <f t="shared" si="181"/>
        <v>-195</v>
      </c>
      <c r="AJ143" s="50">
        <f t="shared" si="182"/>
        <v>1.2390000000000077</v>
      </c>
      <c r="AK143" s="257"/>
      <c r="AL143" s="257">
        <f t="shared" si="183"/>
        <v>1.2</v>
      </c>
      <c r="AM143" s="52"/>
      <c r="AN143" s="88"/>
    </row>
    <row r="144" spans="1:40" s="29" customFormat="1" ht="17.25" customHeight="1">
      <c r="A144" s="48">
        <v>134</v>
      </c>
      <c r="B144" s="49">
        <f t="shared" si="175"/>
        <v>45718</v>
      </c>
      <c r="C144" s="220">
        <f t="shared" si="176"/>
        <v>1049</v>
      </c>
      <c r="D144" s="220">
        <f t="shared" ref="D144" si="186">D143+32</f>
        <v>2552</v>
      </c>
      <c r="E144" s="220">
        <f t="shared" si="178"/>
        <v>3601</v>
      </c>
      <c r="F144" s="220">
        <f t="shared" si="170"/>
        <v>1168</v>
      </c>
      <c r="G144" s="220">
        <f t="shared" si="171"/>
        <v>1152</v>
      </c>
      <c r="H144" s="220">
        <f t="shared" si="172"/>
        <v>1413</v>
      </c>
      <c r="I144" s="220">
        <f t="shared" si="173"/>
        <v>1283</v>
      </c>
      <c r="J144" s="220">
        <f t="shared" si="174"/>
        <v>1239</v>
      </c>
      <c r="K144" s="220">
        <f t="shared" si="140"/>
        <v>2433</v>
      </c>
      <c r="L144" s="220">
        <f t="shared" si="140"/>
        <v>2449</v>
      </c>
      <c r="M144" s="220">
        <f t="shared" si="140"/>
        <v>2188</v>
      </c>
      <c r="N144" s="220">
        <f t="shared" si="140"/>
        <v>2318</v>
      </c>
      <c r="O144" s="220">
        <f t="shared" si="140"/>
        <v>2362</v>
      </c>
      <c r="P144" s="220">
        <f t="shared" si="179"/>
        <v>2000</v>
      </c>
      <c r="Q144" s="220">
        <f t="shared" si="179"/>
        <v>2150</v>
      </c>
      <c r="R144" s="220">
        <f t="shared" si="179"/>
        <v>2150</v>
      </c>
      <c r="S144" s="220">
        <f t="shared" si="179"/>
        <v>2150</v>
      </c>
      <c r="T144" s="220">
        <f t="shared" si="179"/>
        <v>2000</v>
      </c>
      <c r="U144" s="220">
        <f t="shared" si="180"/>
        <v>433</v>
      </c>
      <c r="V144" s="220">
        <f t="shared" si="180"/>
        <v>299</v>
      </c>
      <c r="W144" s="220">
        <f t="shared" si="180"/>
        <v>38</v>
      </c>
      <c r="X144" s="220">
        <f t="shared" si="180"/>
        <v>168</v>
      </c>
      <c r="Y144" s="220">
        <f t="shared" si="180"/>
        <v>362</v>
      </c>
      <c r="Z144" s="220">
        <v>1</v>
      </c>
      <c r="AA144" s="220">
        <v>0</v>
      </c>
      <c r="AB144" s="220">
        <v>1</v>
      </c>
      <c r="AC144" s="220">
        <v>0</v>
      </c>
      <c r="AD144" s="220">
        <v>2</v>
      </c>
      <c r="AE144" s="220">
        <f t="shared" si="181"/>
        <v>-216</v>
      </c>
      <c r="AF144" s="220">
        <f t="shared" si="181"/>
        <v>-303</v>
      </c>
      <c r="AG144" s="220">
        <f t="shared" si="181"/>
        <v>-529</v>
      </c>
      <c r="AH144" s="220">
        <f t="shared" si="181"/>
        <v>-314</v>
      </c>
      <c r="AI144" s="220">
        <f t="shared" si="181"/>
        <v>-197</v>
      </c>
      <c r="AJ144" s="50">
        <f t="shared" si="182"/>
        <v>1.2380000000000078</v>
      </c>
      <c r="AK144" s="257"/>
      <c r="AL144" s="257">
        <f t="shared" si="183"/>
        <v>1.2</v>
      </c>
      <c r="AM144" s="52"/>
      <c r="AN144" s="88"/>
    </row>
    <row r="145" spans="1:40" s="29" customFormat="1" ht="17.25" customHeight="1">
      <c r="A145" s="48">
        <v>135</v>
      </c>
      <c r="B145" s="49">
        <f t="shared" si="175"/>
        <v>45719</v>
      </c>
      <c r="C145" s="220">
        <f t="shared" si="176"/>
        <v>1049</v>
      </c>
      <c r="D145" s="220">
        <f t="shared" ref="D145" si="187">D144-18</f>
        <v>2534</v>
      </c>
      <c r="E145" s="220">
        <f t="shared" si="178"/>
        <v>3583</v>
      </c>
      <c r="F145" s="220">
        <f t="shared" si="170"/>
        <v>1150</v>
      </c>
      <c r="G145" s="220">
        <f t="shared" si="171"/>
        <v>1137</v>
      </c>
      <c r="H145" s="220">
        <f t="shared" si="172"/>
        <v>1395</v>
      </c>
      <c r="I145" s="220">
        <f t="shared" si="173"/>
        <v>1267</v>
      </c>
      <c r="J145" s="220">
        <f t="shared" si="174"/>
        <v>1221</v>
      </c>
      <c r="K145" s="220">
        <f t="shared" si="140"/>
        <v>2433</v>
      </c>
      <c r="L145" s="220">
        <f t="shared" si="140"/>
        <v>2446</v>
      </c>
      <c r="M145" s="220">
        <f t="shared" si="140"/>
        <v>2188</v>
      </c>
      <c r="N145" s="220">
        <f t="shared" si="140"/>
        <v>2316</v>
      </c>
      <c r="O145" s="220">
        <f t="shared" si="140"/>
        <v>2362</v>
      </c>
      <c r="P145" s="220">
        <f t="shared" si="179"/>
        <v>2000</v>
      </c>
      <c r="Q145" s="220">
        <f t="shared" si="179"/>
        <v>2150</v>
      </c>
      <c r="R145" s="220">
        <f t="shared" si="179"/>
        <v>2150</v>
      </c>
      <c r="S145" s="220">
        <f t="shared" si="179"/>
        <v>2150</v>
      </c>
      <c r="T145" s="220">
        <f t="shared" si="179"/>
        <v>2000</v>
      </c>
      <c r="U145" s="220">
        <f t="shared" si="180"/>
        <v>433</v>
      </c>
      <c r="V145" s="220">
        <f t="shared" si="180"/>
        <v>296</v>
      </c>
      <c r="W145" s="220">
        <f t="shared" si="180"/>
        <v>38</v>
      </c>
      <c r="X145" s="220">
        <f t="shared" si="180"/>
        <v>166</v>
      </c>
      <c r="Y145" s="220">
        <f t="shared" si="180"/>
        <v>362</v>
      </c>
      <c r="Z145" s="220">
        <v>0</v>
      </c>
      <c r="AA145" s="220">
        <v>3</v>
      </c>
      <c r="AB145" s="220">
        <v>0</v>
      </c>
      <c r="AC145" s="220">
        <v>2</v>
      </c>
      <c r="AD145" s="220">
        <v>0</v>
      </c>
      <c r="AE145" s="220">
        <f t="shared" si="181"/>
        <v>-216</v>
      </c>
      <c r="AF145" s="220">
        <f t="shared" si="181"/>
        <v>-306</v>
      </c>
      <c r="AG145" s="220">
        <f t="shared" si="181"/>
        <v>-529</v>
      </c>
      <c r="AH145" s="220">
        <f t="shared" si="181"/>
        <v>-316</v>
      </c>
      <c r="AI145" s="220">
        <f t="shared" si="181"/>
        <v>-197</v>
      </c>
      <c r="AJ145" s="50">
        <f t="shared" si="182"/>
        <v>1.2380000000000078</v>
      </c>
      <c r="AK145" s="257"/>
      <c r="AL145" s="257">
        <f t="shared" si="183"/>
        <v>1.2</v>
      </c>
      <c r="AM145" s="52"/>
      <c r="AN145" s="88"/>
    </row>
    <row r="146" spans="1:40" s="29" customFormat="1" ht="17.25" customHeight="1">
      <c r="A146" s="48">
        <v>136</v>
      </c>
      <c r="B146" s="49">
        <f t="shared" si="175"/>
        <v>45720</v>
      </c>
      <c r="C146" s="220">
        <f t="shared" si="176"/>
        <v>1049</v>
      </c>
      <c r="D146" s="220">
        <f t="shared" ref="D146" si="188">D145-26</f>
        <v>2508</v>
      </c>
      <c r="E146" s="220">
        <f t="shared" si="178"/>
        <v>3557</v>
      </c>
      <c r="F146" s="220">
        <f t="shared" si="170"/>
        <v>1124</v>
      </c>
      <c r="G146" s="220">
        <f t="shared" si="171"/>
        <v>1111</v>
      </c>
      <c r="H146" s="220">
        <f t="shared" si="172"/>
        <v>1372</v>
      </c>
      <c r="I146" s="220">
        <f t="shared" si="173"/>
        <v>1241</v>
      </c>
      <c r="J146" s="220">
        <f t="shared" si="174"/>
        <v>1195</v>
      </c>
      <c r="K146" s="220">
        <f t="shared" si="140"/>
        <v>2433</v>
      </c>
      <c r="L146" s="220">
        <f t="shared" si="140"/>
        <v>2446</v>
      </c>
      <c r="M146" s="220">
        <f t="shared" si="140"/>
        <v>2185</v>
      </c>
      <c r="N146" s="220">
        <f t="shared" si="140"/>
        <v>2316</v>
      </c>
      <c r="O146" s="220">
        <f t="shared" si="140"/>
        <v>2362</v>
      </c>
      <c r="P146" s="220">
        <f t="shared" si="179"/>
        <v>2000</v>
      </c>
      <c r="Q146" s="220">
        <f t="shared" si="179"/>
        <v>2150</v>
      </c>
      <c r="R146" s="220">
        <f t="shared" si="179"/>
        <v>2150</v>
      </c>
      <c r="S146" s="220">
        <f t="shared" si="179"/>
        <v>2150</v>
      </c>
      <c r="T146" s="220">
        <f t="shared" si="179"/>
        <v>2000</v>
      </c>
      <c r="U146" s="220">
        <f t="shared" si="180"/>
        <v>433</v>
      </c>
      <c r="V146" s="220">
        <f t="shared" si="180"/>
        <v>296</v>
      </c>
      <c r="W146" s="220">
        <f t="shared" si="180"/>
        <v>35</v>
      </c>
      <c r="X146" s="220">
        <f t="shared" si="180"/>
        <v>166</v>
      </c>
      <c r="Y146" s="220">
        <f t="shared" si="180"/>
        <v>362</v>
      </c>
      <c r="Z146" s="220">
        <v>0</v>
      </c>
      <c r="AA146" s="220">
        <v>0</v>
      </c>
      <c r="AB146" s="220">
        <v>3</v>
      </c>
      <c r="AC146" s="220">
        <v>0</v>
      </c>
      <c r="AD146" s="220">
        <v>0</v>
      </c>
      <c r="AE146" s="220">
        <f t="shared" si="181"/>
        <v>-216</v>
      </c>
      <c r="AF146" s="220">
        <f t="shared" si="181"/>
        <v>-306</v>
      </c>
      <c r="AG146" s="220">
        <f t="shared" si="181"/>
        <v>-532</v>
      </c>
      <c r="AH146" s="220">
        <f t="shared" si="181"/>
        <v>-316</v>
      </c>
      <c r="AI146" s="220">
        <f t="shared" si="181"/>
        <v>-197</v>
      </c>
      <c r="AJ146" s="50">
        <f t="shared" si="182"/>
        <v>1.2350000000000079</v>
      </c>
      <c r="AK146" s="257"/>
      <c r="AL146" s="257">
        <f t="shared" si="183"/>
        <v>1.2</v>
      </c>
      <c r="AM146" s="52"/>
      <c r="AN146" s="88"/>
    </row>
    <row r="147" spans="1:40" s="29" customFormat="1" ht="17.25" customHeight="1">
      <c r="A147" s="48">
        <v>137</v>
      </c>
      <c r="B147" s="49">
        <f t="shared" si="175"/>
        <v>45721</v>
      </c>
      <c r="C147" s="220">
        <f t="shared" si="176"/>
        <v>1049</v>
      </c>
      <c r="D147" s="220">
        <f t="shared" ref="D147" si="189">D146+15</f>
        <v>2523</v>
      </c>
      <c r="E147" s="220">
        <f t="shared" si="178"/>
        <v>3572</v>
      </c>
      <c r="F147" s="220">
        <f t="shared" si="170"/>
        <v>1139</v>
      </c>
      <c r="G147" s="220">
        <f t="shared" si="171"/>
        <v>1126</v>
      </c>
      <c r="H147" s="220">
        <f t="shared" si="172"/>
        <v>1387</v>
      </c>
      <c r="I147" s="220">
        <f t="shared" si="173"/>
        <v>1256</v>
      </c>
      <c r="J147" s="220">
        <f t="shared" si="174"/>
        <v>1210</v>
      </c>
      <c r="K147" s="220">
        <f t="shared" si="140"/>
        <v>2433</v>
      </c>
      <c r="L147" s="220">
        <f t="shared" si="140"/>
        <v>2446</v>
      </c>
      <c r="M147" s="220">
        <f t="shared" si="140"/>
        <v>2185</v>
      </c>
      <c r="N147" s="220">
        <f t="shared" si="140"/>
        <v>2316</v>
      </c>
      <c r="O147" s="220">
        <f t="shared" si="140"/>
        <v>2362</v>
      </c>
      <c r="P147" s="220">
        <f t="shared" si="179"/>
        <v>2000</v>
      </c>
      <c r="Q147" s="220">
        <f t="shared" si="179"/>
        <v>2150</v>
      </c>
      <c r="R147" s="220">
        <f t="shared" si="179"/>
        <v>2150</v>
      </c>
      <c r="S147" s="220">
        <f t="shared" si="179"/>
        <v>2150</v>
      </c>
      <c r="T147" s="220">
        <f t="shared" si="179"/>
        <v>2000</v>
      </c>
      <c r="U147" s="220">
        <f t="shared" si="180"/>
        <v>433</v>
      </c>
      <c r="V147" s="220">
        <f t="shared" si="180"/>
        <v>296</v>
      </c>
      <c r="W147" s="220">
        <f t="shared" si="180"/>
        <v>35</v>
      </c>
      <c r="X147" s="220">
        <f t="shared" si="180"/>
        <v>166</v>
      </c>
      <c r="Y147" s="220">
        <f t="shared" si="180"/>
        <v>362</v>
      </c>
      <c r="Z147" s="220">
        <v>0</v>
      </c>
      <c r="AA147" s="220">
        <v>0</v>
      </c>
      <c r="AB147" s="220">
        <v>0</v>
      </c>
      <c r="AC147" s="220">
        <v>0</v>
      </c>
      <c r="AD147" s="220">
        <v>0</v>
      </c>
      <c r="AE147" s="220">
        <f t="shared" si="181"/>
        <v>-216</v>
      </c>
      <c r="AF147" s="220">
        <f t="shared" si="181"/>
        <v>-306</v>
      </c>
      <c r="AG147" s="220">
        <f t="shared" si="181"/>
        <v>-532</v>
      </c>
      <c r="AH147" s="220">
        <f t="shared" si="181"/>
        <v>-316</v>
      </c>
      <c r="AI147" s="220">
        <f t="shared" si="181"/>
        <v>-197</v>
      </c>
      <c r="AJ147" s="50">
        <f t="shared" si="182"/>
        <v>1.2350000000000079</v>
      </c>
      <c r="AK147" s="257"/>
      <c r="AL147" s="257">
        <f t="shared" si="183"/>
        <v>1.2</v>
      </c>
      <c r="AM147" s="52"/>
      <c r="AN147" s="88"/>
    </row>
    <row r="148" spans="1:40" s="29" customFormat="1" ht="17.25" customHeight="1">
      <c r="A148" s="48">
        <v>138</v>
      </c>
      <c r="B148" s="49">
        <f t="shared" si="175"/>
        <v>45722</v>
      </c>
      <c r="C148" s="220">
        <f t="shared" si="176"/>
        <v>1049</v>
      </c>
      <c r="D148" s="220">
        <f t="shared" ref="D148" si="190">D147+26</f>
        <v>2549</v>
      </c>
      <c r="E148" s="220">
        <f t="shared" si="178"/>
        <v>3598</v>
      </c>
      <c r="F148" s="220">
        <f t="shared" si="170"/>
        <v>1165</v>
      </c>
      <c r="G148" s="220">
        <f t="shared" si="171"/>
        <v>1155</v>
      </c>
      <c r="H148" s="220">
        <f t="shared" si="172"/>
        <v>1416</v>
      </c>
      <c r="I148" s="220">
        <f t="shared" si="173"/>
        <v>1282</v>
      </c>
      <c r="J148" s="220">
        <f t="shared" si="174"/>
        <v>1237</v>
      </c>
      <c r="K148" s="220">
        <f t="shared" si="140"/>
        <v>2433</v>
      </c>
      <c r="L148" s="220">
        <f t="shared" si="140"/>
        <v>2443</v>
      </c>
      <c r="M148" s="220">
        <f t="shared" si="140"/>
        <v>2182</v>
      </c>
      <c r="N148" s="220">
        <f t="shared" si="140"/>
        <v>2316</v>
      </c>
      <c r="O148" s="220">
        <f t="shared" si="140"/>
        <v>2361</v>
      </c>
      <c r="P148" s="220">
        <f t="shared" si="179"/>
        <v>2000</v>
      </c>
      <c r="Q148" s="220">
        <f t="shared" si="179"/>
        <v>2150</v>
      </c>
      <c r="R148" s="220">
        <f t="shared" si="179"/>
        <v>2150</v>
      </c>
      <c r="S148" s="220">
        <f t="shared" si="179"/>
        <v>2150</v>
      </c>
      <c r="T148" s="220">
        <f t="shared" si="179"/>
        <v>2000</v>
      </c>
      <c r="U148" s="220">
        <f t="shared" si="180"/>
        <v>433</v>
      </c>
      <c r="V148" s="220">
        <f t="shared" si="180"/>
        <v>293</v>
      </c>
      <c r="W148" s="220">
        <f t="shared" si="180"/>
        <v>32</v>
      </c>
      <c r="X148" s="220">
        <f t="shared" si="180"/>
        <v>166</v>
      </c>
      <c r="Y148" s="220">
        <f t="shared" si="180"/>
        <v>361</v>
      </c>
      <c r="Z148" s="220">
        <v>0</v>
      </c>
      <c r="AA148" s="220">
        <v>3</v>
      </c>
      <c r="AB148" s="220">
        <v>3</v>
      </c>
      <c r="AC148" s="220">
        <v>0</v>
      </c>
      <c r="AD148" s="220">
        <v>1</v>
      </c>
      <c r="AE148" s="220">
        <f t="shared" si="181"/>
        <v>-216</v>
      </c>
      <c r="AF148" s="220">
        <f t="shared" si="181"/>
        <v>-309</v>
      </c>
      <c r="AG148" s="220">
        <f t="shared" si="181"/>
        <v>-535</v>
      </c>
      <c r="AH148" s="220">
        <f t="shared" si="181"/>
        <v>-316</v>
      </c>
      <c r="AI148" s="220">
        <f t="shared" si="181"/>
        <v>-198</v>
      </c>
      <c r="AJ148" s="50">
        <f t="shared" si="182"/>
        <v>1.232000000000008</v>
      </c>
      <c r="AK148" s="257"/>
      <c r="AL148" s="257">
        <f t="shared" si="183"/>
        <v>1.2</v>
      </c>
      <c r="AM148" s="52"/>
      <c r="AN148" s="88"/>
    </row>
    <row r="149" spans="1:40" s="29" customFormat="1" ht="17.25" customHeight="1">
      <c r="A149" s="48">
        <v>139</v>
      </c>
      <c r="B149" s="49">
        <f t="shared" si="175"/>
        <v>45723</v>
      </c>
      <c r="C149" s="220">
        <f t="shared" si="176"/>
        <v>1049</v>
      </c>
      <c r="D149" s="220">
        <f t="shared" ref="D149" si="191">D148+32</f>
        <v>2581</v>
      </c>
      <c r="E149" s="220">
        <f t="shared" si="178"/>
        <v>3630</v>
      </c>
      <c r="F149" s="220">
        <f t="shared" si="170"/>
        <v>1198</v>
      </c>
      <c r="G149" s="220">
        <f t="shared" si="171"/>
        <v>1187</v>
      </c>
      <c r="H149" s="220">
        <f t="shared" si="172"/>
        <v>1449</v>
      </c>
      <c r="I149" s="220">
        <f t="shared" si="173"/>
        <v>1314</v>
      </c>
      <c r="J149" s="220">
        <f t="shared" si="174"/>
        <v>1269</v>
      </c>
      <c r="K149" s="220">
        <f t="shared" si="140"/>
        <v>2432</v>
      </c>
      <c r="L149" s="220">
        <f t="shared" si="140"/>
        <v>2443</v>
      </c>
      <c r="M149" s="220">
        <f t="shared" si="140"/>
        <v>2181</v>
      </c>
      <c r="N149" s="220">
        <f t="shared" si="140"/>
        <v>2316</v>
      </c>
      <c r="O149" s="220">
        <f t="shared" si="140"/>
        <v>2361</v>
      </c>
      <c r="P149" s="220">
        <f t="shared" si="179"/>
        <v>2000</v>
      </c>
      <c r="Q149" s="220">
        <f t="shared" si="179"/>
        <v>2150</v>
      </c>
      <c r="R149" s="220">
        <f t="shared" si="179"/>
        <v>2150</v>
      </c>
      <c r="S149" s="220">
        <f t="shared" si="179"/>
        <v>2150</v>
      </c>
      <c r="T149" s="220">
        <f t="shared" si="179"/>
        <v>2000</v>
      </c>
      <c r="U149" s="220">
        <f t="shared" si="180"/>
        <v>432</v>
      </c>
      <c r="V149" s="220">
        <f t="shared" si="180"/>
        <v>293</v>
      </c>
      <c r="W149" s="220">
        <f t="shared" si="180"/>
        <v>31</v>
      </c>
      <c r="X149" s="220">
        <f t="shared" si="180"/>
        <v>166</v>
      </c>
      <c r="Y149" s="220">
        <f t="shared" si="180"/>
        <v>361</v>
      </c>
      <c r="Z149" s="220">
        <v>1</v>
      </c>
      <c r="AA149" s="220">
        <v>0</v>
      </c>
      <c r="AB149" s="220">
        <v>1</v>
      </c>
      <c r="AC149" s="220">
        <v>0</v>
      </c>
      <c r="AD149" s="220">
        <v>0</v>
      </c>
      <c r="AE149" s="220">
        <f t="shared" si="181"/>
        <v>-217</v>
      </c>
      <c r="AF149" s="220">
        <f t="shared" si="181"/>
        <v>-309</v>
      </c>
      <c r="AG149" s="220">
        <f t="shared" si="181"/>
        <v>-536</v>
      </c>
      <c r="AH149" s="220">
        <f t="shared" si="181"/>
        <v>-316</v>
      </c>
      <c r="AI149" s="220">
        <f t="shared" si="181"/>
        <v>-198</v>
      </c>
      <c r="AJ149" s="50">
        <f t="shared" si="182"/>
        <v>1.2310000000000081</v>
      </c>
      <c r="AK149" s="257"/>
      <c r="AL149" s="257">
        <f t="shared" si="183"/>
        <v>1.2</v>
      </c>
      <c r="AM149" s="52"/>
      <c r="AN149" s="88"/>
    </row>
    <row r="150" spans="1:40" s="29" customFormat="1" ht="17.25" customHeight="1">
      <c r="A150" s="48">
        <v>140</v>
      </c>
      <c r="B150" s="49">
        <f t="shared" si="175"/>
        <v>45724</v>
      </c>
      <c r="C150" s="220">
        <f t="shared" si="176"/>
        <v>1049</v>
      </c>
      <c r="D150" s="220">
        <f t="shared" ref="D150" si="192">D149-18</f>
        <v>2563</v>
      </c>
      <c r="E150" s="220">
        <f t="shared" si="178"/>
        <v>3612</v>
      </c>
      <c r="F150" s="220">
        <f t="shared" si="170"/>
        <v>1180</v>
      </c>
      <c r="G150" s="220">
        <f t="shared" si="171"/>
        <v>1171</v>
      </c>
      <c r="H150" s="220">
        <f t="shared" si="172"/>
        <v>1431</v>
      </c>
      <c r="I150" s="220">
        <f t="shared" si="173"/>
        <v>1298</v>
      </c>
      <c r="J150" s="220">
        <f t="shared" si="174"/>
        <v>1251</v>
      </c>
      <c r="K150" s="220">
        <f t="shared" si="140"/>
        <v>2432</v>
      </c>
      <c r="L150" s="220">
        <f t="shared" si="140"/>
        <v>2441</v>
      </c>
      <c r="M150" s="220">
        <f t="shared" si="140"/>
        <v>2181</v>
      </c>
      <c r="N150" s="220">
        <f t="shared" si="140"/>
        <v>2314</v>
      </c>
      <c r="O150" s="220">
        <f t="shared" si="140"/>
        <v>2361</v>
      </c>
      <c r="P150" s="220">
        <f t="shared" si="179"/>
        <v>2000</v>
      </c>
      <c r="Q150" s="220">
        <f t="shared" si="179"/>
        <v>2150</v>
      </c>
      <c r="R150" s="220">
        <f t="shared" si="179"/>
        <v>2150</v>
      </c>
      <c r="S150" s="220">
        <f t="shared" si="179"/>
        <v>2150</v>
      </c>
      <c r="T150" s="220">
        <f t="shared" si="179"/>
        <v>2000</v>
      </c>
      <c r="U150" s="220">
        <f t="shared" si="180"/>
        <v>432</v>
      </c>
      <c r="V150" s="220">
        <f t="shared" si="180"/>
        <v>291</v>
      </c>
      <c r="W150" s="220">
        <f t="shared" si="180"/>
        <v>31</v>
      </c>
      <c r="X150" s="220">
        <f t="shared" si="180"/>
        <v>164</v>
      </c>
      <c r="Y150" s="220">
        <f t="shared" si="180"/>
        <v>361</v>
      </c>
      <c r="Z150" s="220">
        <v>0</v>
      </c>
      <c r="AA150" s="220">
        <v>2</v>
      </c>
      <c r="AB150" s="220">
        <v>0</v>
      </c>
      <c r="AC150" s="220">
        <v>2</v>
      </c>
      <c r="AD150" s="220">
        <v>0</v>
      </c>
      <c r="AE150" s="220">
        <f t="shared" si="181"/>
        <v>-217</v>
      </c>
      <c r="AF150" s="220">
        <f t="shared" si="181"/>
        <v>-311</v>
      </c>
      <c r="AG150" s="220">
        <f t="shared" si="181"/>
        <v>-536</v>
      </c>
      <c r="AH150" s="220">
        <f t="shared" si="181"/>
        <v>-318</v>
      </c>
      <c r="AI150" s="220">
        <f t="shared" si="181"/>
        <v>-198</v>
      </c>
      <c r="AJ150" s="50">
        <f t="shared" si="182"/>
        <v>1.2310000000000081</v>
      </c>
      <c r="AK150" s="257"/>
      <c r="AL150" s="257">
        <f t="shared" si="183"/>
        <v>1.2</v>
      </c>
      <c r="AM150" s="52"/>
      <c r="AN150" s="88"/>
    </row>
    <row r="151" spans="1:40" s="29" customFormat="1" ht="17.25" customHeight="1">
      <c r="A151" s="48">
        <v>141</v>
      </c>
      <c r="B151" s="49">
        <f t="shared" si="175"/>
        <v>45725</v>
      </c>
      <c r="C151" s="220">
        <f t="shared" si="176"/>
        <v>1049</v>
      </c>
      <c r="D151" s="220">
        <f t="shared" ref="D151" si="193">D150-26</f>
        <v>2537</v>
      </c>
      <c r="E151" s="220">
        <f t="shared" si="178"/>
        <v>3586</v>
      </c>
      <c r="F151" s="220">
        <f t="shared" si="170"/>
        <v>1154</v>
      </c>
      <c r="G151" s="220">
        <f t="shared" si="171"/>
        <v>1145</v>
      </c>
      <c r="H151" s="220">
        <f t="shared" si="172"/>
        <v>1405</v>
      </c>
      <c r="I151" s="220">
        <f t="shared" si="173"/>
        <v>1272</v>
      </c>
      <c r="J151" s="220">
        <f t="shared" si="174"/>
        <v>1225</v>
      </c>
      <c r="K151" s="220">
        <f t="shared" si="140"/>
        <v>2432</v>
      </c>
      <c r="L151" s="220">
        <f t="shared" si="140"/>
        <v>2441</v>
      </c>
      <c r="M151" s="220">
        <f t="shared" si="140"/>
        <v>2181</v>
      </c>
      <c r="N151" s="220">
        <f t="shared" si="140"/>
        <v>2314</v>
      </c>
      <c r="O151" s="220">
        <f t="shared" si="140"/>
        <v>2361</v>
      </c>
      <c r="P151" s="220">
        <f t="shared" si="179"/>
        <v>2000</v>
      </c>
      <c r="Q151" s="220">
        <f t="shared" si="179"/>
        <v>2150</v>
      </c>
      <c r="R151" s="220">
        <f t="shared" si="179"/>
        <v>2150</v>
      </c>
      <c r="S151" s="220">
        <f t="shared" si="179"/>
        <v>2150</v>
      </c>
      <c r="T151" s="220">
        <f t="shared" si="179"/>
        <v>2000</v>
      </c>
      <c r="U151" s="220">
        <f t="shared" si="180"/>
        <v>432</v>
      </c>
      <c r="V151" s="220">
        <f t="shared" si="180"/>
        <v>291</v>
      </c>
      <c r="W151" s="220">
        <f t="shared" si="180"/>
        <v>31</v>
      </c>
      <c r="X151" s="220">
        <f t="shared" si="180"/>
        <v>164</v>
      </c>
      <c r="Y151" s="220">
        <f t="shared" si="180"/>
        <v>361</v>
      </c>
      <c r="Z151" s="220">
        <v>0</v>
      </c>
      <c r="AA151" s="220">
        <v>0</v>
      </c>
      <c r="AB151" s="220">
        <v>0</v>
      </c>
      <c r="AC151" s="220">
        <v>0</v>
      </c>
      <c r="AD151" s="220">
        <v>0</v>
      </c>
      <c r="AE151" s="220">
        <f t="shared" si="181"/>
        <v>-217</v>
      </c>
      <c r="AF151" s="220">
        <f t="shared" si="181"/>
        <v>-311</v>
      </c>
      <c r="AG151" s="220">
        <f t="shared" si="181"/>
        <v>-536</v>
      </c>
      <c r="AH151" s="220">
        <f t="shared" si="181"/>
        <v>-318</v>
      </c>
      <c r="AI151" s="220">
        <f t="shared" si="181"/>
        <v>-198</v>
      </c>
      <c r="AJ151" s="50">
        <f t="shared" si="182"/>
        <v>1.2310000000000081</v>
      </c>
      <c r="AK151" s="257"/>
      <c r="AL151" s="257">
        <f t="shared" si="183"/>
        <v>1.2</v>
      </c>
      <c r="AM151" s="52"/>
      <c r="AN151" s="88"/>
    </row>
    <row r="152" spans="1:40" s="29" customFormat="1" ht="17.25" customHeight="1">
      <c r="A152" s="48">
        <v>142</v>
      </c>
      <c r="B152" s="49">
        <f t="shared" si="175"/>
        <v>45726</v>
      </c>
      <c r="C152" s="220">
        <f t="shared" si="176"/>
        <v>1049</v>
      </c>
      <c r="D152" s="220">
        <f t="shared" ref="D152" si="194">D151+15</f>
        <v>2552</v>
      </c>
      <c r="E152" s="220">
        <f t="shared" si="178"/>
        <v>3601</v>
      </c>
      <c r="F152" s="220">
        <f t="shared" si="170"/>
        <v>1169</v>
      </c>
      <c r="G152" s="220">
        <f t="shared" si="171"/>
        <v>1164</v>
      </c>
      <c r="H152" s="220">
        <f t="shared" si="172"/>
        <v>1420</v>
      </c>
      <c r="I152" s="220">
        <f t="shared" si="173"/>
        <v>1287</v>
      </c>
      <c r="J152" s="220">
        <f t="shared" si="174"/>
        <v>1240</v>
      </c>
      <c r="K152" s="220">
        <f t="shared" si="140"/>
        <v>2432</v>
      </c>
      <c r="L152" s="220">
        <f t="shared" si="140"/>
        <v>2437</v>
      </c>
      <c r="M152" s="220">
        <f t="shared" si="140"/>
        <v>2181</v>
      </c>
      <c r="N152" s="220">
        <f t="shared" si="140"/>
        <v>2314</v>
      </c>
      <c r="O152" s="220">
        <f t="shared" si="140"/>
        <v>2361</v>
      </c>
      <c r="P152" s="220">
        <f t="shared" si="179"/>
        <v>2000</v>
      </c>
      <c r="Q152" s="220">
        <f t="shared" si="179"/>
        <v>2150</v>
      </c>
      <c r="R152" s="220">
        <f t="shared" si="179"/>
        <v>2150</v>
      </c>
      <c r="S152" s="220">
        <f t="shared" si="179"/>
        <v>2150</v>
      </c>
      <c r="T152" s="220">
        <f t="shared" si="179"/>
        <v>2000</v>
      </c>
      <c r="U152" s="220">
        <f t="shared" si="180"/>
        <v>432</v>
      </c>
      <c r="V152" s="220">
        <f t="shared" si="180"/>
        <v>287</v>
      </c>
      <c r="W152" s="220">
        <f t="shared" si="180"/>
        <v>31</v>
      </c>
      <c r="X152" s="220">
        <f t="shared" si="180"/>
        <v>164</v>
      </c>
      <c r="Y152" s="220">
        <f t="shared" si="180"/>
        <v>361</v>
      </c>
      <c r="Z152" s="220">
        <v>0</v>
      </c>
      <c r="AA152" s="220">
        <v>4</v>
      </c>
      <c r="AB152" s="220">
        <v>0</v>
      </c>
      <c r="AC152" s="220">
        <v>0</v>
      </c>
      <c r="AD152" s="220">
        <v>0</v>
      </c>
      <c r="AE152" s="220">
        <f t="shared" si="181"/>
        <v>-217</v>
      </c>
      <c r="AF152" s="220">
        <f t="shared" si="181"/>
        <v>-315</v>
      </c>
      <c r="AG152" s="220">
        <f t="shared" si="181"/>
        <v>-536</v>
      </c>
      <c r="AH152" s="220">
        <f t="shared" si="181"/>
        <v>-318</v>
      </c>
      <c r="AI152" s="220">
        <f t="shared" si="181"/>
        <v>-198</v>
      </c>
      <c r="AJ152" s="50">
        <f t="shared" si="182"/>
        <v>1.2310000000000081</v>
      </c>
      <c r="AK152" s="257"/>
      <c r="AL152" s="257">
        <f t="shared" si="183"/>
        <v>1.2</v>
      </c>
      <c r="AM152" s="52"/>
      <c r="AN152" s="88"/>
    </row>
    <row r="153" spans="1:40" s="29" customFormat="1" ht="17.25" customHeight="1">
      <c r="A153" s="48">
        <v>143</v>
      </c>
      <c r="B153" s="49">
        <f t="shared" si="175"/>
        <v>45727</v>
      </c>
      <c r="C153" s="220">
        <f t="shared" si="176"/>
        <v>1049</v>
      </c>
      <c r="D153" s="220">
        <f t="shared" ref="D153" si="195">D152+26</f>
        <v>2578</v>
      </c>
      <c r="E153" s="220">
        <f t="shared" si="178"/>
        <v>3627</v>
      </c>
      <c r="F153" s="220">
        <f t="shared" si="170"/>
        <v>1196</v>
      </c>
      <c r="G153" s="220">
        <f t="shared" si="171"/>
        <v>1190</v>
      </c>
      <c r="H153" s="220">
        <f t="shared" si="172"/>
        <v>1446</v>
      </c>
      <c r="I153" s="220">
        <f t="shared" si="173"/>
        <v>1313</v>
      </c>
      <c r="J153" s="220">
        <f t="shared" si="174"/>
        <v>1266</v>
      </c>
      <c r="K153" s="220">
        <f t="shared" si="140"/>
        <v>2431</v>
      </c>
      <c r="L153" s="220">
        <f t="shared" si="140"/>
        <v>2437</v>
      </c>
      <c r="M153" s="220">
        <f t="shared" si="140"/>
        <v>2181</v>
      </c>
      <c r="N153" s="220">
        <f t="shared" si="140"/>
        <v>2314</v>
      </c>
      <c r="O153" s="220">
        <f t="shared" si="140"/>
        <v>2361</v>
      </c>
      <c r="P153" s="220">
        <f t="shared" si="179"/>
        <v>2000</v>
      </c>
      <c r="Q153" s="220">
        <f t="shared" si="179"/>
        <v>2150</v>
      </c>
      <c r="R153" s="220">
        <f t="shared" si="179"/>
        <v>2150</v>
      </c>
      <c r="S153" s="220">
        <f t="shared" si="179"/>
        <v>2150</v>
      </c>
      <c r="T153" s="220">
        <f t="shared" si="179"/>
        <v>2000</v>
      </c>
      <c r="U153" s="220">
        <f t="shared" si="180"/>
        <v>431</v>
      </c>
      <c r="V153" s="220">
        <f t="shared" si="180"/>
        <v>287</v>
      </c>
      <c r="W153" s="220">
        <f t="shared" si="180"/>
        <v>31</v>
      </c>
      <c r="X153" s="220">
        <f t="shared" si="180"/>
        <v>164</v>
      </c>
      <c r="Y153" s="220">
        <f t="shared" si="180"/>
        <v>361</v>
      </c>
      <c r="Z153" s="220">
        <v>1</v>
      </c>
      <c r="AA153" s="220">
        <v>0</v>
      </c>
      <c r="AB153" s="220">
        <v>0</v>
      </c>
      <c r="AC153" s="220">
        <v>0</v>
      </c>
      <c r="AD153" s="220">
        <v>0</v>
      </c>
      <c r="AE153" s="220">
        <f t="shared" si="181"/>
        <v>-218</v>
      </c>
      <c r="AF153" s="220">
        <f t="shared" si="181"/>
        <v>-315</v>
      </c>
      <c r="AG153" s="220">
        <f t="shared" si="181"/>
        <v>-536</v>
      </c>
      <c r="AH153" s="220">
        <f t="shared" si="181"/>
        <v>-318</v>
      </c>
      <c r="AI153" s="220">
        <f t="shared" si="181"/>
        <v>-198</v>
      </c>
      <c r="AJ153" s="50">
        <f t="shared" si="182"/>
        <v>1.2310000000000081</v>
      </c>
      <c r="AK153" s="257"/>
      <c r="AL153" s="257">
        <f t="shared" si="183"/>
        <v>1.2</v>
      </c>
      <c r="AM153" s="52"/>
      <c r="AN153" s="88"/>
    </row>
    <row r="154" spans="1:40" s="29" customFormat="1" ht="17.25" customHeight="1">
      <c r="A154" s="48">
        <v>144</v>
      </c>
      <c r="B154" s="49">
        <f t="shared" si="175"/>
        <v>45728</v>
      </c>
      <c r="C154" s="220">
        <f t="shared" si="176"/>
        <v>1049</v>
      </c>
      <c r="D154" s="220">
        <f t="shared" ref="D154" si="196">D153+32</f>
        <v>2610</v>
      </c>
      <c r="E154" s="220">
        <f t="shared" si="178"/>
        <v>3659</v>
      </c>
      <c r="F154" s="220">
        <f t="shared" si="170"/>
        <v>1228</v>
      </c>
      <c r="G154" s="220">
        <f t="shared" si="171"/>
        <v>1222</v>
      </c>
      <c r="H154" s="220">
        <f t="shared" si="172"/>
        <v>1480</v>
      </c>
      <c r="I154" s="220">
        <f t="shared" si="173"/>
        <v>1345</v>
      </c>
      <c r="J154" s="220">
        <f t="shared" si="174"/>
        <v>1298</v>
      </c>
      <c r="K154" s="220">
        <f t="shared" si="140"/>
        <v>2431</v>
      </c>
      <c r="L154" s="220">
        <f t="shared" si="140"/>
        <v>2437</v>
      </c>
      <c r="M154" s="220">
        <f t="shared" si="140"/>
        <v>2179</v>
      </c>
      <c r="N154" s="220">
        <f t="shared" si="140"/>
        <v>2314</v>
      </c>
      <c r="O154" s="220">
        <f t="shared" si="140"/>
        <v>2361</v>
      </c>
      <c r="P154" s="220">
        <f t="shared" si="179"/>
        <v>2000</v>
      </c>
      <c r="Q154" s="220">
        <f t="shared" si="179"/>
        <v>2150</v>
      </c>
      <c r="R154" s="220">
        <f t="shared" si="179"/>
        <v>2150</v>
      </c>
      <c r="S154" s="220">
        <f t="shared" si="179"/>
        <v>2150</v>
      </c>
      <c r="T154" s="220">
        <f t="shared" si="179"/>
        <v>2000</v>
      </c>
      <c r="U154" s="220">
        <f t="shared" si="180"/>
        <v>431</v>
      </c>
      <c r="V154" s="220">
        <f t="shared" si="180"/>
        <v>287</v>
      </c>
      <c r="W154" s="220">
        <f t="shared" si="180"/>
        <v>29</v>
      </c>
      <c r="X154" s="220">
        <f t="shared" si="180"/>
        <v>164</v>
      </c>
      <c r="Y154" s="220">
        <f t="shared" si="180"/>
        <v>361</v>
      </c>
      <c r="Z154" s="220">
        <v>0</v>
      </c>
      <c r="AA154" s="220">
        <v>0</v>
      </c>
      <c r="AB154" s="220">
        <v>2</v>
      </c>
      <c r="AC154" s="220">
        <v>0</v>
      </c>
      <c r="AD154" s="220">
        <v>0</v>
      </c>
      <c r="AE154" s="220">
        <f t="shared" si="181"/>
        <v>-218</v>
      </c>
      <c r="AF154" s="220">
        <f t="shared" si="181"/>
        <v>-315</v>
      </c>
      <c r="AG154" s="220">
        <f t="shared" si="181"/>
        <v>-538</v>
      </c>
      <c r="AH154" s="220">
        <f t="shared" si="181"/>
        <v>-318</v>
      </c>
      <c r="AI154" s="220">
        <f t="shared" si="181"/>
        <v>-198</v>
      </c>
      <c r="AJ154" s="50">
        <f t="shared" si="182"/>
        <v>1.2290000000000081</v>
      </c>
      <c r="AK154" s="257"/>
      <c r="AL154" s="257">
        <f t="shared" si="183"/>
        <v>1.2</v>
      </c>
      <c r="AM154" s="52"/>
      <c r="AN154" s="88"/>
    </row>
    <row r="155" spans="1:40" s="29" customFormat="1" ht="17.25" customHeight="1">
      <c r="A155" s="48">
        <v>145</v>
      </c>
      <c r="B155" s="49">
        <f t="shared" si="175"/>
        <v>45729</v>
      </c>
      <c r="C155" s="220">
        <f t="shared" si="176"/>
        <v>1049</v>
      </c>
      <c r="D155" s="220">
        <f t="shared" ref="D155" si="197">D154-18</f>
        <v>2592</v>
      </c>
      <c r="E155" s="220">
        <f t="shared" si="178"/>
        <v>3641</v>
      </c>
      <c r="F155" s="220">
        <f t="shared" si="170"/>
        <v>1211</v>
      </c>
      <c r="G155" s="220">
        <f t="shared" si="171"/>
        <v>1208</v>
      </c>
      <c r="H155" s="220">
        <f t="shared" si="172"/>
        <v>1462</v>
      </c>
      <c r="I155" s="220">
        <f t="shared" si="173"/>
        <v>1330</v>
      </c>
      <c r="J155" s="220">
        <f t="shared" si="174"/>
        <v>1280</v>
      </c>
      <c r="K155" s="220">
        <f t="shared" si="140"/>
        <v>2430</v>
      </c>
      <c r="L155" s="220">
        <f t="shared" si="140"/>
        <v>2433</v>
      </c>
      <c r="M155" s="220">
        <f t="shared" si="140"/>
        <v>2179</v>
      </c>
      <c r="N155" s="220">
        <f t="shared" si="140"/>
        <v>2311</v>
      </c>
      <c r="O155" s="220">
        <f t="shared" si="140"/>
        <v>2361</v>
      </c>
      <c r="P155" s="220">
        <f t="shared" si="179"/>
        <v>2000</v>
      </c>
      <c r="Q155" s="220">
        <f t="shared" si="179"/>
        <v>2150</v>
      </c>
      <c r="R155" s="220">
        <f t="shared" si="179"/>
        <v>2150</v>
      </c>
      <c r="S155" s="220">
        <f t="shared" si="179"/>
        <v>2150</v>
      </c>
      <c r="T155" s="220">
        <f t="shared" si="179"/>
        <v>2000</v>
      </c>
      <c r="U155" s="220">
        <f t="shared" si="180"/>
        <v>430</v>
      </c>
      <c r="V155" s="220">
        <f t="shared" si="180"/>
        <v>283</v>
      </c>
      <c r="W155" s="220">
        <f t="shared" si="180"/>
        <v>29</v>
      </c>
      <c r="X155" s="220">
        <f t="shared" si="180"/>
        <v>161</v>
      </c>
      <c r="Y155" s="220">
        <f t="shared" si="180"/>
        <v>361</v>
      </c>
      <c r="Z155" s="220">
        <v>1</v>
      </c>
      <c r="AA155" s="220">
        <v>4</v>
      </c>
      <c r="AB155" s="220">
        <v>0</v>
      </c>
      <c r="AC155" s="220">
        <v>3</v>
      </c>
      <c r="AD155" s="220">
        <v>0</v>
      </c>
      <c r="AE155" s="220">
        <f t="shared" si="181"/>
        <v>-219</v>
      </c>
      <c r="AF155" s="220">
        <f t="shared" si="181"/>
        <v>-319</v>
      </c>
      <c r="AG155" s="220">
        <f t="shared" si="181"/>
        <v>-538</v>
      </c>
      <c r="AH155" s="220">
        <f t="shared" si="181"/>
        <v>-321</v>
      </c>
      <c r="AI155" s="220">
        <f t="shared" si="181"/>
        <v>-198</v>
      </c>
      <c r="AJ155" s="50">
        <f t="shared" si="182"/>
        <v>1.2290000000000081</v>
      </c>
      <c r="AK155" s="257"/>
      <c r="AL155" s="257">
        <f t="shared" si="183"/>
        <v>1.2</v>
      </c>
      <c r="AM155" s="52"/>
      <c r="AN155" s="88"/>
    </row>
    <row r="156" spans="1:40" s="29" customFormat="1" ht="17.25" customHeight="1">
      <c r="A156" s="48">
        <v>146</v>
      </c>
      <c r="B156" s="49">
        <f t="shared" si="175"/>
        <v>45730</v>
      </c>
      <c r="C156" s="220">
        <f t="shared" si="176"/>
        <v>1049</v>
      </c>
      <c r="D156" s="220">
        <f t="shared" ref="D156" si="198">D155-26</f>
        <v>2566</v>
      </c>
      <c r="E156" s="220">
        <f t="shared" si="178"/>
        <v>3615</v>
      </c>
      <c r="F156" s="220">
        <f t="shared" si="170"/>
        <v>1186</v>
      </c>
      <c r="G156" s="220">
        <f t="shared" si="171"/>
        <v>1182</v>
      </c>
      <c r="H156" s="220">
        <f t="shared" si="172"/>
        <v>1439</v>
      </c>
      <c r="I156" s="220">
        <f t="shared" si="173"/>
        <v>1304</v>
      </c>
      <c r="J156" s="220">
        <f t="shared" si="174"/>
        <v>1254</v>
      </c>
      <c r="K156" s="220">
        <f t="shared" si="140"/>
        <v>2429</v>
      </c>
      <c r="L156" s="220">
        <f t="shared" si="140"/>
        <v>2433</v>
      </c>
      <c r="M156" s="220">
        <f t="shared" si="140"/>
        <v>2176</v>
      </c>
      <c r="N156" s="220">
        <f t="shared" si="140"/>
        <v>2311</v>
      </c>
      <c r="O156" s="220">
        <f t="shared" si="140"/>
        <v>2361</v>
      </c>
      <c r="P156" s="220">
        <f t="shared" si="179"/>
        <v>2000</v>
      </c>
      <c r="Q156" s="220">
        <f t="shared" si="179"/>
        <v>2150</v>
      </c>
      <c r="R156" s="220">
        <f t="shared" si="179"/>
        <v>2150</v>
      </c>
      <c r="S156" s="220">
        <f t="shared" si="179"/>
        <v>2150</v>
      </c>
      <c r="T156" s="220">
        <f t="shared" si="179"/>
        <v>2000</v>
      </c>
      <c r="U156" s="220">
        <f t="shared" si="180"/>
        <v>429</v>
      </c>
      <c r="V156" s="220">
        <f t="shared" si="180"/>
        <v>283</v>
      </c>
      <c r="W156" s="220">
        <f t="shared" si="180"/>
        <v>26</v>
      </c>
      <c r="X156" s="220">
        <f t="shared" si="180"/>
        <v>161</v>
      </c>
      <c r="Y156" s="220">
        <f t="shared" si="180"/>
        <v>361</v>
      </c>
      <c r="Z156" s="220">
        <v>1</v>
      </c>
      <c r="AA156" s="220">
        <v>0</v>
      </c>
      <c r="AB156" s="220">
        <v>3</v>
      </c>
      <c r="AC156" s="220">
        <v>0</v>
      </c>
      <c r="AD156" s="220">
        <v>0</v>
      </c>
      <c r="AE156" s="220">
        <f t="shared" si="181"/>
        <v>-220</v>
      </c>
      <c r="AF156" s="220">
        <f t="shared" si="181"/>
        <v>-319</v>
      </c>
      <c r="AG156" s="220">
        <f t="shared" si="181"/>
        <v>-541</v>
      </c>
      <c r="AH156" s="220">
        <f t="shared" si="181"/>
        <v>-321</v>
      </c>
      <c r="AI156" s="220">
        <f t="shared" si="181"/>
        <v>-198</v>
      </c>
      <c r="AJ156" s="50">
        <f t="shared" si="182"/>
        <v>1.2260000000000082</v>
      </c>
      <c r="AK156" s="257"/>
      <c r="AL156" s="257">
        <f t="shared" si="183"/>
        <v>1.2</v>
      </c>
      <c r="AM156" s="52"/>
      <c r="AN156" s="88"/>
    </row>
    <row r="157" spans="1:40" s="29" customFormat="1" ht="17.25" customHeight="1">
      <c r="A157" s="48">
        <v>147</v>
      </c>
      <c r="B157" s="49">
        <f t="shared" si="175"/>
        <v>45731</v>
      </c>
      <c r="C157" s="220">
        <f t="shared" si="176"/>
        <v>1049</v>
      </c>
      <c r="D157" s="220">
        <f t="shared" ref="D157" si="199">D156+15</f>
        <v>2581</v>
      </c>
      <c r="E157" s="220">
        <f t="shared" si="178"/>
        <v>3630</v>
      </c>
      <c r="F157" s="220">
        <f t="shared" si="170"/>
        <v>1201</v>
      </c>
      <c r="G157" s="220">
        <f t="shared" si="171"/>
        <v>1198</v>
      </c>
      <c r="H157" s="220">
        <f t="shared" si="172"/>
        <v>1454</v>
      </c>
      <c r="I157" s="220">
        <f t="shared" si="173"/>
        <v>1319</v>
      </c>
      <c r="J157" s="220">
        <f t="shared" si="174"/>
        <v>1269</v>
      </c>
      <c r="K157" s="220">
        <f t="shared" si="140"/>
        <v>2429</v>
      </c>
      <c r="L157" s="220">
        <f t="shared" si="140"/>
        <v>2432</v>
      </c>
      <c r="M157" s="220">
        <f t="shared" si="140"/>
        <v>2176</v>
      </c>
      <c r="N157" s="220">
        <f t="shared" si="140"/>
        <v>2311</v>
      </c>
      <c r="O157" s="220">
        <f t="shared" si="140"/>
        <v>2361</v>
      </c>
      <c r="P157" s="220">
        <f t="shared" ref="P157:T172" si="200">+P156</f>
        <v>2000</v>
      </c>
      <c r="Q157" s="220">
        <f t="shared" si="200"/>
        <v>2150</v>
      </c>
      <c r="R157" s="220">
        <f t="shared" si="200"/>
        <v>2150</v>
      </c>
      <c r="S157" s="220">
        <f t="shared" si="200"/>
        <v>2150</v>
      </c>
      <c r="T157" s="220">
        <f t="shared" si="200"/>
        <v>2000</v>
      </c>
      <c r="U157" s="220">
        <f t="shared" ref="U157:Y172" si="201">U156-Z157</f>
        <v>429</v>
      </c>
      <c r="V157" s="220">
        <f t="shared" si="201"/>
        <v>282</v>
      </c>
      <c r="W157" s="220">
        <f t="shared" si="201"/>
        <v>26</v>
      </c>
      <c r="X157" s="220">
        <f t="shared" si="201"/>
        <v>161</v>
      </c>
      <c r="Y157" s="220">
        <f t="shared" si="201"/>
        <v>361</v>
      </c>
      <c r="Z157" s="220">
        <v>0</v>
      </c>
      <c r="AA157" s="220">
        <v>1</v>
      </c>
      <c r="AB157" s="220">
        <v>0</v>
      </c>
      <c r="AC157" s="220">
        <v>0</v>
      </c>
      <c r="AD157" s="220">
        <v>0</v>
      </c>
      <c r="AE157" s="220">
        <f t="shared" ref="AE157:AI172" si="202">AE156-Z157</f>
        <v>-220</v>
      </c>
      <c r="AF157" s="220">
        <f t="shared" si="202"/>
        <v>-320</v>
      </c>
      <c r="AG157" s="220">
        <f t="shared" si="202"/>
        <v>-541</v>
      </c>
      <c r="AH157" s="220">
        <f t="shared" si="202"/>
        <v>-321</v>
      </c>
      <c r="AI157" s="220">
        <f t="shared" si="202"/>
        <v>-198</v>
      </c>
      <c r="AJ157" s="50">
        <f t="shared" si="182"/>
        <v>1.2260000000000082</v>
      </c>
      <c r="AK157" s="257"/>
      <c r="AL157" s="257">
        <f t="shared" si="183"/>
        <v>1.2</v>
      </c>
      <c r="AM157" s="52"/>
      <c r="AN157" s="88"/>
    </row>
    <row r="158" spans="1:40" s="29" customFormat="1" ht="17.25" customHeight="1">
      <c r="A158" s="48">
        <v>148</v>
      </c>
      <c r="B158" s="49">
        <f t="shared" si="175"/>
        <v>45732</v>
      </c>
      <c r="C158" s="220">
        <f t="shared" si="176"/>
        <v>1049</v>
      </c>
      <c r="D158" s="220">
        <f t="shared" ref="D158" si="203">D157+26</f>
        <v>2607</v>
      </c>
      <c r="E158" s="220">
        <f t="shared" si="178"/>
        <v>3656</v>
      </c>
      <c r="F158" s="220">
        <f t="shared" si="170"/>
        <v>1228</v>
      </c>
      <c r="G158" s="220">
        <f t="shared" si="171"/>
        <v>1225</v>
      </c>
      <c r="H158" s="220">
        <f t="shared" si="172"/>
        <v>1481</v>
      </c>
      <c r="I158" s="220">
        <f t="shared" si="173"/>
        <v>1345</v>
      </c>
      <c r="J158" s="220">
        <f t="shared" si="174"/>
        <v>1295</v>
      </c>
      <c r="K158" s="220">
        <f t="shared" si="140"/>
        <v>2428</v>
      </c>
      <c r="L158" s="220">
        <f t="shared" si="140"/>
        <v>2431</v>
      </c>
      <c r="M158" s="220">
        <f t="shared" si="140"/>
        <v>2175</v>
      </c>
      <c r="N158" s="220">
        <f t="shared" si="140"/>
        <v>2311</v>
      </c>
      <c r="O158" s="220">
        <f t="shared" si="140"/>
        <v>2361</v>
      </c>
      <c r="P158" s="220">
        <f t="shared" si="200"/>
        <v>2000</v>
      </c>
      <c r="Q158" s="220">
        <f t="shared" si="200"/>
        <v>2150</v>
      </c>
      <c r="R158" s="220">
        <f t="shared" si="200"/>
        <v>2150</v>
      </c>
      <c r="S158" s="220">
        <f t="shared" si="200"/>
        <v>2150</v>
      </c>
      <c r="T158" s="220">
        <f t="shared" si="200"/>
        <v>2000</v>
      </c>
      <c r="U158" s="220">
        <f t="shared" si="201"/>
        <v>428</v>
      </c>
      <c r="V158" s="220">
        <f t="shared" si="201"/>
        <v>281</v>
      </c>
      <c r="W158" s="220">
        <f t="shared" si="201"/>
        <v>25</v>
      </c>
      <c r="X158" s="220">
        <f t="shared" si="201"/>
        <v>161</v>
      </c>
      <c r="Y158" s="220">
        <f t="shared" si="201"/>
        <v>361</v>
      </c>
      <c r="Z158" s="220">
        <v>1</v>
      </c>
      <c r="AA158" s="220">
        <v>1</v>
      </c>
      <c r="AB158" s="220">
        <v>1</v>
      </c>
      <c r="AC158" s="220">
        <v>0</v>
      </c>
      <c r="AD158" s="220">
        <v>0</v>
      </c>
      <c r="AE158" s="220">
        <f t="shared" si="202"/>
        <v>-221</v>
      </c>
      <c r="AF158" s="220">
        <f t="shared" si="202"/>
        <v>-321</v>
      </c>
      <c r="AG158" s="220">
        <f t="shared" si="202"/>
        <v>-542</v>
      </c>
      <c r="AH158" s="220">
        <f t="shared" si="202"/>
        <v>-321</v>
      </c>
      <c r="AI158" s="220">
        <f t="shared" si="202"/>
        <v>-198</v>
      </c>
      <c r="AJ158" s="50">
        <f t="shared" si="182"/>
        <v>1.2250000000000083</v>
      </c>
      <c r="AK158" s="257"/>
      <c r="AL158" s="257">
        <f t="shared" si="183"/>
        <v>1.2</v>
      </c>
      <c r="AM158" s="52"/>
      <c r="AN158" s="88"/>
    </row>
    <row r="159" spans="1:40" s="29" customFormat="1" ht="17.25" customHeight="1">
      <c r="A159" s="48">
        <v>149</v>
      </c>
      <c r="B159" s="49">
        <f t="shared" si="175"/>
        <v>45733</v>
      </c>
      <c r="C159" s="220">
        <f t="shared" si="176"/>
        <v>1049</v>
      </c>
      <c r="D159" s="220">
        <f t="shared" ref="D159" si="204">D158+32</f>
        <v>2639</v>
      </c>
      <c r="E159" s="220">
        <f t="shared" si="178"/>
        <v>3688</v>
      </c>
      <c r="F159" s="220">
        <f t="shared" si="170"/>
        <v>1260</v>
      </c>
      <c r="G159" s="220">
        <f t="shared" si="171"/>
        <v>1257</v>
      </c>
      <c r="H159" s="220">
        <f t="shared" si="172"/>
        <v>1516</v>
      </c>
      <c r="I159" s="220">
        <f t="shared" si="173"/>
        <v>1377</v>
      </c>
      <c r="J159" s="220">
        <f t="shared" si="174"/>
        <v>1329</v>
      </c>
      <c r="K159" s="220">
        <f t="shared" si="140"/>
        <v>2428</v>
      </c>
      <c r="L159" s="220">
        <f t="shared" si="140"/>
        <v>2431</v>
      </c>
      <c r="M159" s="220">
        <f t="shared" si="140"/>
        <v>2172</v>
      </c>
      <c r="N159" s="220">
        <f t="shared" si="140"/>
        <v>2311</v>
      </c>
      <c r="O159" s="220">
        <f t="shared" si="140"/>
        <v>2359</v>
      </c>
      <c r="P159" s="220">
        <f t="shared" si="200"/>
        <v>2000</v>
      </c>
      <c r="Q159" s="220">
        <f t="shared" si="200"/>
        <v>2150</v>
      </c>
      <c r="R159" s="220">
        <f t="shared" si="200"/>
        <v>2150</v>
      </c>
      <c r="S159" s="220">
        <f t="shared" si="200"/>
        <v>2150</v>
      </c>
      <c r="T159" s="220">
        <f t="shared" si="200"/>
        <v>2000</v>
      </c>
      <c r="U159" s="220">
        <f t="shared" si="201"/>
        <v>428</v>
      </c>
      <c r="V159" s="220">
        <f t="shared" si="201"/>
        <v>281</v>
      </c>
      <c r="W159" s="220">
        <f t="shared" si="201"/>
        <v>22</v>
      </c>
      <c r="X159" s="220">
        <f t="shared" si="201"/>
        <v>161</v>
      </c>
      <c r="Y159" s="220">
        <f t="shared" si="201"/>
        <v>359</v>
      </c>
      <c r="Z159" s="220">
        <v>0</v>
      </c>
      <c r="AA159" s="220">
        <v>0</v>
      </c>
      <c r="AB159" s="220">
        <v>3</v>
      </c>
      <c r="AC159" s="220">
        <v>0</v>
      </c>
      <c r="AD159" s="220">
        <v>2</v>
      </c>
      <c r="AE159" s="220">
        <f t="shared" si="202"/>
        <v>-221</v>
      </c>
      <c r="AF159" s="220">
        <f t="shared" si="202"/>
        <v>-321</v>
      </c>
      <c r="AG159" s="220">
        <f t="shared" si="202"/>
        <v>-545</v>
      </c>
      <c r="AH159" s="220">
        <f t="shared" si="202"/>
        <v>-321</v>
      </c>
      <c r="AI159" s="220">
        <f t="shared" si="202"/>
        <v>-200</v>
      </c>
      <c r="AJ159" s="50">
        <f t="shared" si="182"/>
        <v>1.2220000000000084</v>
      </c>
      <c r="AK159" s="257"/>
      <c r="AL159" s="257">
        <f t="shared" si="183"/>
        <v>1.2</v>
      </c>
      <c r="AM159" s="52"/>
      <c r="AN159" s="88"/>
    </row>
    <row r="160" spans="1:40" s="29" customFormat="1" ht="17.25" customHeight="1">
      <c r="A160" s="48">
        <v>150</v>
      </c>
      <c r="B160" s="49">
        <f t="shared" si="175"/>
        <v>45734</v>
      </c>
      <c r="C160" s="220">
        <f t="shared" si="176"/>
        <v>1049</v>
      </c>
      <c r="D160" s="220">
        <v>1986</v>
      </c>
      <c r="E160" s="220">
        <f t="shared" si="178"/>
        <v>3035</v>
      </c>
      <c r="F160" s="220">
        <f t="shared" si="170"/>
        <v>607</v>
      </c>
      <c r="G160" s="220">
        <f t="shared" si="171"/>
        <v>606</v>
      </c>
      <c r="H160" s="220">
        <f t="shared" si="172"/>
        <v>864</v>
      </c>
      <c r="I160" s="220">
        <f t="shared" si="173"/>
        <v>726</v>
      </c>
      <c r="J160" s="220">
        <f t="shared" si="174"/>
        <v>676</v>
      </c>
      <c r="K160" s="220">
        <f t="shared" si="140"/>
        <v>2428</v>
      </c>
      <c r="L160" s="220">
        <f t="shared" si="140"/>
        <v>2429</v>
      </c>
      <c r="M160" s="220">
        <f t="shared" si="140"/>
        <v>2171</v>
      </c>
      <c r="N160" s="220">
        <f t="shared" si="140"/>
        <v>2309</v>
      </c>
      <c r="O160" s="220">
        <f t="shared" si="140"/>
        <v>2359</v>
      </c>
      <c r="P160" s="220">
        <f t="shared" si="200"/>
        <v>2000</v>
      </c>
      <c r="Q160" s="220">
        <f t="shared" si="200"/>
        <v>2150</v>
      </c>
      <c r="R160" s="220">
        <f t="shared" si="200"/>
        <v>2150</v>
      </c>
      <c r="S160" s="220">
        <f t="shared" si="200"/>
        <v>2150</v>
      </c>
      <c r="T160" s="220">
        <f t="shared" si="200"/>
        <v>2000</v>
      </c>
      <c r="U160" s="220">
        <f t="shared" si="201"/>
        <v>428</v>
      </c>
      <c r="V160" s="220">
        <f t="shared" si="201"/>
        <v>279</v>
      </c>
      <c r="W160" s="220">
        <f t="shared" si="201"/>
        <v>21</v>
      </c>
      <c r="X160" s="220">
        <f t="shared" si="201"/>
        <v>159</v>
      </c>
      <c r="Y160" s="220">
        <f t="shared" si="201"/>
        <v>359</v>
      </c>
      <c r="Z160" s="220">
        <v>0</v>
      </c>
      <c r="AA160" s="220">
        <v>2</v>
      </c>
      <c r="AB160" s="220">
        <v>1</v>
      </c>
      <c r="AC160" s="220">
        <v>2</v>
      </c>
      <c r="AD160" s="220">
        <v>0</v>
      </c>
      <c r="AE160" s="220">
        <f t="shared" si="202"/>
        <v>-221</v>
      </c>
      <c r="AF160" s="220">
        <f t="shared" si="202"/>
        <v>-323</v>
      </c>
      <c r="AG160" s="220">
        <f t="shared" si="202"/>
        <v>-546</v>
      </c>
      <c r="AH160" s="220">
        <f t="shared" si="202"/>
        <v>-323</v>
      </c>
      <c r="AI160" s="220">
        <f t="shared" si="202"/>
        <v>-200</v>
      </c>
      <c r="AJ160" s="50">
        <f t="shared" si="182"/>
        <v>1.2210000000000085</v>
      </c>
      <c r="AK160" s="257"/>
      <c r="AL160" s="257">
        <f t="shared" si="183"/>
        <v>1.2</v>
      </c>
      <c r="AM160" s="52"/>
      <c r="AN160" s="88"/>
    </row>
    <row r="161" spans="1:40" s="29" customFormat="1" ht="17.25" customHeight="1">
      <c r="A161" s="48">
        <v>151</v>
      </c>
      <c r="B161" s="49">
        <f t="shared" si="175"/>
        <v>45735</v>
      </c>
      <c r="C161" s="220">
        <f t="shared" si="176"/>
        <v>1049</v>
      </c>
      <c r="D161" s="220">
        <f t="shared" ref="D161" si="205">D160-26</f>
        <v>1960</v>
      </c>
      <c r="E161" s="220">
        <f t="shared" si="178"/>
        <v>3009</v>
      </c>
      <c r="F161" s="220">
        <f t="shared" si="170"/>
        <v>582</v>
      </c>
      <c r="G161" s="220">
        <f t="shared" si="171"/>
        <v>580</v>
      </c>
      <c r="H161" s="220">
        <f t="shared" si="172"/>
        <v>839</v>
      </c>
      <c r="I161" s="220">
        <f t="shared" si="173"/>
        <v>700</v>
      </c>
      <c r="J161" s="220">
        <f t="shared" si="174"/>
        <v>650</v>
      </c>
      <c r="K161" s="220">
        <f t="shared" si="140"/>
        <v>2427</v>
      </c>
      <c r="L161" s="220">
        <f t="shared" si="140"/>
        <v>2429</v>
      </c>
      <c r="M161" s="220">
        <f t="shared" si="140"/>
        <v>2170</v>
      </c>
      <c r="N161" s="220">
        <f t="shared" si="140"/>
        <v>2309</v>
      </c>
      <c r="O161" s="220">
        <f t="shared" si="140"/>
        <v>2359</v>
      </c>
      <c r="P161" s="220">
        <f t="shared" si="200"/>
        <v>2000</v>
      </c>
      <c r="Q161" s="220">
        <f t="shared" si="200"/>
        <v>2150</v>
      </c>
      <c r="R161" s="220">
        <f t="shared" si="200"/>
        <v>2150</v>
      </c>
      <c r="S161" s="220">
        <f t="shared" si="200"/>
        <v>2150</v>
      </c>
      <c r="T161" s="220">
        <f t="shared" si="200"/>
        <v>2000</v>
      </c>
      <c r="U161" s="220">
        <f t="shared" si="201"/>
        <v>427</v>
      </c>
      <c r="V161" s="220">
        <f t="shared" si="201"/>
        <v>279</v>
      </c>
      <c r="W161" s="220">
        <f t="shared" si="201"/>
        <v>20</v>
      </c>
      <c r="X161" s="220">
        <f t="shared" si="201"/>
        <v>159</v>
      </c>
      <c r="Y161" s="220">
        <f t="shared" si="201"/>
        <v>359</v>
      </c>
      <c r="Z161" s="220">
        <v>1</v>
      </c>
      <c r="AA161" s="220">
        <v>0</v>
      </c>
      <c r="AB161" s="220">
        <v>1</v>
      </c>
      <c r="AC161" s="220">
        <v>0</v>
      </c>
      <c r="AD161" s="220">
        <v>0</v>
      </c>
      <c r="AE161" s="220">
        <f t="shared" si="202"/>
        <v>-222</v>
      </c>
      <c r="AF161" s="220">
        <f t="shared" si="202"/>
        <v>-323</v>
      </c>
      <c r="AG161" s="220">
        <f t="shared" si="202"/>
        <v>-547</v>
      </c>
      <c r="AH161" s="220">
        <f t="shared" si="202"/>
        <v>-323</v>
      </c>
      <c r="AI161" s="220">
        <f t="shared" si="202"/>
        <v>-200</v>
      </c>
      <c r="AJ161" s="50">
        <f t="shared" si="182"/>
        <v>1.2200000000000086</v>
      </c>
      <c r="AK161" s="257"/>
      <c r="AL161" s="257">
        <f t="shared" si="183"/>
        <v>1.2</v>
      </c>
      <c r="AM161" s="52"/>
      <c r="AN161" s="88"/>
    </row>
    <row r="162" spans="1:40" s="29" customFormat="1" ht="17.25" customHeight="1">
      <c r="A162" s="48">
        <v>152</v>
      </c>
      <c r="B162" s="49">
        <f t="shared" si="175"/>
        <v>45736</v>
      </c>
      <c r="C162" s="220">
        <f t="shared" si="176"/>
        <v>1049</v>
      </c>
      <c r="D162" s="220">
        <f t="shared" ref="D162" si="206">D161+15</f>
        <v>1975</v>
      </c>
      <c r="E162" s="220">
        <f t="shared" si="178"/>
        <v>3024</v>
      </c>
      <c r="F162" s="220">
        <f t="shared" si="170"/>
        <v>597</v>
      </c>
      <c r="G162" s="220">
        <f t="shared" si="171"/>
        <v>595</v>
      </c>
      <c r="H162" s="220">
        <f t="shared" si="172"/>
        <v>854</v>
      </c>
      <c r="I162" s="220">
        <f t="shared" si="173"/>
        <v>716</v>
      </c>
      <c r="J162" s="220">
        <f t="shared" si="174"/>
        <v>665</v>
      </c>
      <c r="K162" s="220">
        <f t="shared" si="140"/>
        <v>2427</v>
      </c>
      <c r="L162" s="220">
        <f t="shared" si="140"/>
        <v>2429</v>
      </c>
      <c r="M162" s="220">
        <f t="shared" si="140"/>
        <v>2170</v>
      </c>
      <c r="N162" s="220">
        <f t="shared" si="140"/>
        <v>2308</v>
      </c>
      <c r="O162" s="220">
        <f t="shared" si="140"/>
        <v>2359</v>
      </c>
      <c r="P162" s="220">
        <f t="shared" si="200"/>
        <v>2000</v>
      </c>
      <c r="Q162" s="220">
        <f t="shared" si="200"/>
        <v>2150</v>
      </c>
      <c r="R162" s="220">
        <f t="shared" si="200"/>
        <v>2150</v>
      </c>
      <c r="S162" s="220">
        <f t="shared" si="200"/>
        <v>2150</v>
      </c>
      <c r="T162" s="220">
        <f t="shared" si="200"/>
        <v>2000</v>
      </c>
      <c r="U162" s="220">
        <f t="shared" si="201"/>
        <v>427</v>
      </c>
      <c r="V162" s="220">
        <f t="shared" si="201"/>
        <v>279</v>
      </c>
      <c r="W162" s="220">
        <f t="shared" si="201"/>
        <v>20</v>
      </c>
      <c r="X162" s="220">
        <f t="shared" si="201"/>
        <v>158</v>
      </c>
      <c r="Y162" s="220">
        <f t="shared" si="201"/>
        <v>359</v>
      </c>
      <c r="Z162" s="220">
        <v>0</v>
      </c>
      <c r="AA162" s="220">
        <v>0</v>
      </c>
      <c r="AB162" s="220">
        <v>0</v>
      </c>
      <c r="AC162" s="220">
        <v>1</v>
      </c>
      <c r="AD162" s="220">
        <v>0</v>
      </c>
      <c r="AE162" s="220">
        <f t="shared" si="202"/>
        <v>-222</v>
      </c>
      <c r="AF162" s="220">
        <f t="shared" si="202"/>
        <v>-323</v>
      </c>
      <c r="AG162" s="220">
        <f t="shared" si="202"/>
        <v>-547</v>
      </c>
      <c r="AH162" s="220">
        <f t="shared" si="202"/>
        <v>-324</v>
      </c>
      <c r="AI162" s="220">
        <f t="shared" si="202"/>
        <v>-200</v>
      </c>
      <c r="AJ162" s="50">
        <f t="shared" si="182"/>
        <v>1.2200000000000086</v>
      </c>
      <c r="AK162" s="257"/>
      <c r="AL162" s="257">
        <f t="shared" si="183"/>
        <v>1.2</v>
      </c>
      <c r="AM162" s="52"/>
      <c r="AN162" s="88"/>
    </row>
    <row r="163" spans="1:40" s="29" customFormat="1" ht="17.25" customHeight="1">
      <c r="A163" s="48">
        <v>153</v>
      </c>
      <c r="B163" s="49">
        <f t="shared" si="175"/>
        <v>45737</v>
      </c>
      <c r="C163" s="220">
        <f t="shared" si="176"/>
        <v>1049</v>
      </c>
      <c r="D163" s="220">
        <f t="shared" ref="D163" si="207">D162+26</f>
        <v>2001</v>
      </c>
      <c r="E163" s="220">
        <f t="shared" si="178"/>
        <v>3050</v>
      </c>
      <c r="F163" s="220">
        <f t="shared" si="170"/>
        <v>623</v>
      </c>
      <c r="G163" s="220">
        <f t="shared" si="171"/>
        <v>621</v>
      </c>
      <c r="H163" s="220">
        <f t="shared" si="172"/>
        <v>881</v>
      </c>
      <c r="I163" s="220">
        <f t="shared" si="173"/>
        <v>743</v>
      </c>
      <c r="J163" s="220">
        <f t="shared" si="174"/>
        <v>691</v>
      </c>
      <c r="K163" s="220">
        <f t="shared" si="140"/>
        <v>2427</v>
      </c>
      <c r="L163" s="220">
        <f t="shared" si="140"/>
        <v>2429</v>
      </c>
      <c r="M163" s="220">
        <f t="shared" si="140"/>
        <v>2169</v>
      </c>
      <c r="N163" s="220">
        <f t="shared" si="140"/>
        <v>2307</v>
      </c>
      <c r="O163" s="220">
        <f t="shared" si="140"/>
        <v>2359</v>
      </c>
      <c r="P163" s="220">
        <f t="shared" si="200"/>
        <v>2000</v>
      </c>
      <c r="Q163" s="220">
        <f t="shared" si="200"/>
        <v>2150</v>
      </c>
      <c r="R163" s="220">
        <f t="shared" si="200"/>
        <v>2150</v>
      </c>
      <c r="S163" s="220">
        <f t="shared" si="200"/>
        <v>2150</v>
      </c>
      <c r="T163" s="220">
        <f t="shared" si="200"/>
        <v>2000</v>
      </c>
      <c r="U163" s="220">
        <f t="shared" si="201"/>
        <v>427</v>
      </c>
      <c r="V163" s="220">
        <f t="shared" si="201"/>
        <v>279</v>
      </c>
      <c r="W163" s="220">
        <f t="shared" si="201"/>
        <v>19</v>
      </c>
      <c r="X163" s="220">
        <f t="shared" si="201"/>
        <v>157</v>
      </c>
      <c r="Y163" s="220">
        <f t="shared" si="201"/>
        <v>359</v>
      </c>
      <c r="Z163" s="220">
        <v>0</v>
      </c>
      <c r="AA163" s="220">
        <v>0</v>
      </c>
      <c r="AB163" s="220">
        <v>1</v>
      </c>
      <c r="AC163" s="220">
        <v>1</v>
      </c>
      <c r="AD163" s="220">
        <v>0</v>
      </c>
      <c r="AE163" s="220">
        <f t="shared" si="202"/>
        <v>-222</v>
      </c>
      <c r="AF163" s="220">
        <f t="shared" si="202"/>
        <v>-323</v>
      </c>
      <c r="AG163" s="220">
        <f t="shared" si="202"/>
        <v>-548</v>
      </c>
      <c r="AH163" s="220">
        <f t="shared" si="202"/>
        <v>-325</v>
      </c>
      <c r="AI163" s="220">
        <f t="shared" si="202"/>
        <v>-200</v>
      </c>
      <c r="AJ163" s="50">
        <f t="shared" si="182"/>
        <v>1.2190000000000087</v>
      </c>
      <c r="AK163" s="257"/>
      <c r="AL163" s="257">
        <f t="shared" si="183"/>
        <v>1.2</v>
      </c>
      <c r="AM163" s="52"/>
      <c r="AN163" s="88"/>
    </row>
    <row r="164" spans="1:40" s="29" customFormat="1" ht="17.25" customHeight="1">
      <c r="A164" s="48">
        <v>154</v>
      </c>
      <c r="B164" s="49">
        <f t="shared" si="175"/>
        <v>45738</v>
      </c>
      <c r="C164" s="220">
        <f t="shared" si="176"/>
        <v>1049</v>
      </c>
      <c r="D164" s="220">
        <f t="shared" ref="D164" si="208">D163+32</f>
        <v>2033</v>
      </c>
      <c r="E164" s="220">
        <f t="shared" si="178"/>
        <v>3082</v>
      </c>
      <c r="F164" s="220">
        <f t="shared" si="170"/>
        <v>656</v>
      </c>
      <c r="G164" s="220">
        <f t="shared" si="171"/>
        <v>656</v>
      </c>
      <c r="H164" s="220">
        <f t="shared" si="172"/>
        <v>916</v>
      </c>
      <c r="I164" s="220">
        <f t="shared" si="173"/>
        <v>775</v>
      </c>
      <c r="J164" s="220">
        <f t="shared" si="174"/>
        <v>723</v>
      </c>
      <c r="K164" s="220">
        <f t="shared" si="140"/>
        <v>2426</v>
      </c>
      <c r="L164" s="220">
        <f t="shared" si="140"/>
        <v>2426</v>
      </c>
      <c r="M164" s="220">
        <f t="shared" si="140"/>
        <v>2166</v>
      </c>
      <c r="N164" s="220">
        <f t="shared" si="140"/>
        <v>2307</v>
      </c>
      <c r="O164" s="220">
        <f t="shared" si="140"/>
        <v>2359</v>
      </c>
      <c r="P164" s="220">
        <f t="shared" si="200"/>
        <v>2000</v>
      </c>
      <c r="Q164" s="220">
        <f t="shared" si="200"/>
        <v>2150</v>
      </c>
      <c r="R164" s="220">
        <f t="shared" si="200"/>
        <v>2150</v>
      </c>
      <c r="S164" s="220">
        <f t="shared" si="200"/>
        <v>2150</v>
      </c>
      <c r="T164" s="220">
        <f t="shared" si="200"/>
        <v>2000</v>
      </c>
      <c r="U164" s="220">
        <f t="shared" si="201"/>
        <v>426</v>
      </c>
      <c r="V164" s="220">
        <f t="shared" si="201"/>
        <v>276</v>
      </c>
      <c r="W164" s="220">
        <f t="shared" si="201"/>
        <v>16</v>
      </c>
      <c r="X164" s="220">
        <f t="shared" si="201"/>
        <v>157</v>
      </c>
      <c r="Y164" s="220">
        <f t="shared" si="201"/>
        <v>359</v>
      </c>
      <c r="Z164" s="220">
        <v>1</v>
      </c>
      <c r="AA164" s="220">
        <v>3</v>
      </c>
      <c r="AB164" s="220">
        <v>3</v>
      </c>
      <c r="AC164" s="220">
        <v>0</v>
      </c>
      <c r="AD164" s="220">
        <v>0</v>
      </c>
      <c r="AE164" s="220">
        <f t="shared" si="202"/>
        <v>-223</v>
      </c>
      <c r="AF164" s="220">
        <f t="shared" si="202"/>
        <v>-326</v>
      </c>
      <c r="AG164" s="220">
        <f t="shared" si="202"/>
        <v>-551</v>
      </c>
      <c r="AH164" s="220">
        <f t="shared" si="202"/>
        <v>-325</v>
      </c>
      <c r="AI164" s="220">
        <f t="shared" si="202"/>
        <v>-200</v>
      </c>
      <c r="AJ164" s="50">
        <f t="shared" si="182"/>
        <v>1.2160000000000089</v>
      </c>
      <c r="AK164" s="257"/>
      <c r="AL164" s="257">
        <f t="shared" si="183"/>
        <v>1.2</v>
      </c>
      <c r="AM164" s="52"/>
      <c r="AN164" s="88"/>
    </row>
    <row r="165" spans="1:40" s="29" customFormat="1" ht="17.25" customHeight="1">
      <c r="A165" s="48">
        <v>155</v>
      </c>
      <c r="B165" s="49">
        <f t="shared" si="175"/>
        <v>45739</v>
      </c>
      <c r="C165" s="220">
        <f t="shared" si="176"/>
        <v>1049</v>
      </c>
      <c r="D165" s="220">
        <f t="shared" ref="D165" si="209">D164-18</f>
        <v>2015</v>
      </c>
      <c r="E165" s="220">
        <f t="shared" si="178"/>
        <v>3064</v>
      </c>
      <c r="F165" s="220">
        <f t="shared" si="170"/>
        <v>638</v>
      </c>
      <c r="G165" s="220">
        <f t="shared" si="171"/>
        <v>638</v>
      </c>
      <c r="H165" s="220">
        <f t="shared" si="172"/>
        <v>901</v>
      </c>
      <c r="I165" s="220">
        <f t="shared" si="173"/>
        <v>759</v>
      </c>
      <c r="J165" s="220">
        <f t="shared" si="174"/>
        <v>705</v>
      </c>
      <c r="K165" s="220">
        <f t="shared" ref="K165:O215" si="210">P165+U165</f>
        <v>2426</v>
      </c>
      <c r="L165" s="220">
        <f t="shared" si="210"/>
        <v>2426</v>
      </c>
      <c r="M165" s="220">
        <f t="shared" si="210"/>
        <v>2163</v>
      </c>
      <c r="N165" s="220">
        <f t="shared" si="210"/>
        <v>2305</v>
      </c>
      <c r="O165" s="220">
        <f t="shared" si="210"/>
        <v>2359</v>
      </c>
      <c r="P165" s="220">
        <f t="shared" si="200"/>
        <v>2000</v>
      </c>
      <c r="Q165" s="220">
        <f t="shared" si="200"/>
        <v>2150</v>
      </c>
      <c r="R165" s="220">
        <f t="shared" si="200"/>
        <v>2150</v>
      </c>
      <c r="S165" s="220">
        <f t="shared" si="200"/>
        <v>2150</v>
      </c>
      <c r="T165" s="220">
        <f t="shared" si="200"/>
        <v>2000</v>
      </c>
      <c r="U165" s="220">
        <f t="shared" si="201"/>
        <v>426</v>
      </c>
      <c r="V165" s="220">
        <f t="shared" si="201"/>
        <v>276</v>
      </c>
      <c r="W165" s="220">
        <f t="shared" si="201"/>
        <v>13</v>
      </c>
      <c r="X165" s="220">
        <f t="shared" si="201"/>
        <v>155</v>
      </c>
      <c r="Y165" s="220">
        <f t="shared" si="201"/>
        <v>359</v>
      </c>
      <c r="Z165" s="220">
        <v>0</v>
      </c>
      <c r="AA165" s="220">
        <v>0</v>
      </c>
      <c r="AB165" s="220">
        <v>3</v>
      </c>
      <c r="AC165" s="220">
        <v>2</v>
      </c>
      <c r="AD165" s="220">
        <v>0</v>
      </c>
      <c r="AE165" s="220">
        <f t="shared" si="202"/>
        <v>-223</v>
      </c>
      <c r="AF165" s="220">
        <f t="shared" si="202"/>
        <v>-326</v>
      </c>
      <c r="AG165" s="220">
        <f t="shared" si="202"/>
        <v>-554</v>
      </c>
      <c r="AH165" s="220">
        <f t="shared" si="202"/>
        <v>-327</v>
      </c>
      <c r="AI165" s="220">
        <f t="shared" si="202"/>
        <v>-200</v>
      </c>
      <c r="AJ165" s="50">
        <f t="shared" si="182"/>
        <v>1.213000000000009</v>
      </c>
      <c r="AK165" s="257"/>
      <c r="AL165" s="257">
        <f t="shared" si="183"/>
        <v>1.2</v>
      </c>
      <c r="AM165" s="52"/>
      <c r="AN165" s="88"/>
    </row>
    <row r="166" spans="1:40" s="29" customFormat="1" ht="17.25" customHeight="1">
      <c r="A166" s="48">
        <v>156</v>
      </c>
      <c r="B166" s="49">
        <f t="shared" si="175"/>
        <v>45740</v>
      </c>
      <c r="C166" s="220">
        <f t="shared" si="176"/>
        <v>1049</v>
      </c>
      <c r="D166" s="220">
        <f t="shared" ref="D166" si="211">D165-26</f>
        <v>1989</v>
      </c>
      <c r="E166" s="220">
        <f t="shared" si="178"/>
        <v>3038</v>
      </c>
      <c r="F166" s="220">
        <f t="shared" si="170"/>
        <v>613</v>
      </c>
      <c r="G166" s="220">
        <f t="shared" si="171"/>
        <v>612</v>
      </c>
      <c r="H166" s="220">
        <f t="shared" si="172"/>
        <v>876</v>
      </c>
      <c r="I166" s="220">
        <f t="shared" si="173"/>
        <v>733</v>
      </c>
      <c r="J166" s="220">
        <f t="shared" si="174"/>
        <v>679</v>
      </c>
      <c r="K166" s="220">
        <f t="shared" si="210"/>
        <v>2425</v>
      </c>
      <c r="L166" s="220">
        <f t="shared" si="210"/>
        <v>2426</v>
      </c>
      <c r="M166" s="220">
        <f t="shared" si="210"/>
        <v>2162</v>
      </c>
      <c r="N166" s="220">
        <f t="shared" si="210"/>
        <v>2305</v>
      </c>
      <c r="O166" s="220">
        <f t="shared" si="210"/>
        <v>2359</v>
      </c>
      <c r="P166" s="220">
        <f t="shared" si="200"/>
        <v>2000</v>
      </c>
      <c r="Q166" s="220">
        <f t="shared" si="200"/>
        <v>2150</v>
      </c>
      <c r="R166" s="220">
        <f t="shared" si="200"/>
        <v>2150</v>
      </c>
      <c r="S166" s="220">
        <f t="shared" si="200"/>
        <v>2150</v>
      </c>
      <c r="T166" s="220">
        <f t="shared" si="200"/>
        <v>2000</v>
      </c>
      <c r="U166" s="220">
        <f t="shared" si="201"/>
        <v>425</v>
      </c>
      <c r="V166" s="220">
        <f t="shared" si="201"/>
        <v>276</v>
      </c>
      <c r="W166" s="220">
        <f t="shared" si="201"/>
        <v>12</v>
      </c>
      <c r="X166" s="220">
        <f t="shared" si="201"/>
        <v>155</v>
      </c>
      <c r="Y166" s="220">
        <f t="shared" si="201"/>
        <v>359</v>
      </c>
      <c r="Z166" s="220">
        <v>1</v>
      </c>
      <c r="AA166" s="220">
        <v>0</v>
      </c>
      <c r="AB166" s="220">
        <v>1</v>
      </c>
      <c r="AC166" s="220">
        <v>0</v>
      </c>
      <c r="AD166" s="220">
        <v>0</v>
      </c>
      <c r="AE166" s="220">
        <f t="shared" si="202"/>
        <v>-224</v>
      </c>
      <c r="AF166" s="220">
        <f t="shared" si="202"/>
        <v>-326</v>
      </c>
      <c r="AG166" s="220">
        <f t="shared" si="202"/>
        <v>-555</v>
      </c>
      <c r="AH166" s="220">
        <f t="shared" si="202"/>
        <v>-327</v>
      </c>
      <c r="AI166" s="220">
        <f t="shared" si="202"/>
        <v>-200</v>
      </c>
      <c r="AJ166" s="50">
        <f t="shared" si="182"/>
        <v>1.2120000000000091</v>
      </c>
      <c r="AK166" s="257"/>
      <c r="AL166" s="257">
        <f t="shared" si="183"/>
        <v>1.2</v>
      </c>
      <c r="AM166" s="52"/>
      <c r="AN166" s="88"/>
    </row>
    <row r="167" spans="1:40" s="29" customFormat="1" ht="17.25" customHeight="1">
      <c r="A167" s="48">
        <v>157</v>
      </c>
      <c r="B167" s="49">
        <f t="shared" si="175"/>
        <v>45741</v>
      </c>
      <c r="C167" s="220">
        <f t="shared" si="176"/>
        <v>1049</v>
      </c>
      <c r="D167" s="220">
        <f t="shared" ref="D167" si="212">D166+15</f>
        <v>2004</v>
      </c>
      <c r="E167" s="220">
        <f t="shared" si="178"/>
        <v>3053</v>
      </c>
      <c r="F167" s="220">
        <f t="shared" si="170"/>
        <v>628</v>
      </c>
      <c r="G167" s="220">
        <f t="shared" si="171"/>
        <v>631</v>
      </c>
      <c r="H167" s="220">
        <f t="shared" si="172"/>
        <v>893</v>
      </c>
      <c r="I167" s="220">
        <f t="shared" si="173"/>
        <v>748</v>
      </c>
      <c r="J167" s="220">
        <f t="shared" si="174"/>
        <v>694</v>
      </c>
      <c r="K167" s="220">
        <f t="shared" si="210"/>
        <v>2425</v>
      </c>
      <c r="L167" s="220">
        <f t="shared" si="210"/>
        <v>2422</v>
      </c>
      <c r="M167" s="220">
        <f t="shared" si="210"/>
        <v>2160</v>
      </c>
      <c r="N167" s="220">
        <f t="shared" si="210"/>
        <v>2305</v>
      </c>
      <c r="O167" s="220">
        <f t="shared" si="210"/>
        <v>2359</v>
      </c>
      <c r="P167" s="220">
        <f t="shared" si="200"/>
        <v>2000</v>
      </c>
      <c r="Q167" s="220">
        <f t="shared" si="200"/>
        <v>2150</v>
      </c>
      <c r="R167" s="220">
        <f t="shared" si="200"/>
        <v>2150</v>
      </c>
      <c r="S167" s="220">
        <f t="shared" si="200"/>
        <v>2150</v>
      </c>
      <c r="T167" s="220">
        <f t="shared" si="200"/>
        <v>2000</v>
      </c>
      <c r="U167" s="220">
        <f t="shared" si="201"/>
        <v>425</v>
      </c>
      <c r="V167" s="220">
        <f t="shared" si="201"/>
        <v>272</v>
      </c>
      <c r="W167" s="220">
        <f t="shared" si="201"/>
        <v>10</v>
      </c>
      <c r="X167" s="220">
        <f t="shared" si="201"/>
        <v>155</v>
      </c>
      <c r="Y167" s="220">
        <f t="shared" si="201"/>
        <v>359</v>
      </c>
      <c r="Z167" s="220">
        <v>0</v>
      </c>
      <c r="AA167" s="220">
        <v>4</v>
      </c>
      <c r="AB167" s="220">
        <v>2</v>
      </c>
      <c r="AC167" s="220">
        <v>0</v>
      </c>
      <c r="AD167" s="220">
        <v>0</v>
      </c>
      <c r="AE167" s="220">
        <f t="shared" si="202"/>
        <v>-224</v>
      </c>
      <c r="AF167" s="220">
        <f t="shared" si="202"/>
        <v>-330</v>
      </c>
      <c r="AG167" s="220">
        <f t="shared" si="202"/>
        <v>-557</v>
      </c>
      <c r="AH167" s="220">
        <f t="shared" si="202"/>
        <v>-327</v>
      </c>
      <c r="AI167" s="220">
        <f t="shared" si="202"/>
        <v>-200</v>
      </c>
      <c r="AJ167" s="50">
        <f t="shared" si="182"/>
        <v>1.2100000000000091</v>
      </c>
      <c r="AK167" s="257"/>
      <c r="AL167" s="257">
        <f t="shared" si="183"/>
        <v>1.2</v>
      </c>
      <c r="AM167" s="52"/>
      <c r="AN167" s="88"/>
    </row>
    <row r="168" spans="1:40" s="29" customFormat="1" ht="17.25" customHeight="1">
      <c r="A168" s="48">
        <v>158</v>
      </c>
      <c r="B168" s="49">
        <f t="shared" si="175"/>
        <v>45742</v>
      </c>
      <c r="C168" s="220">
        <f t="shared" si="176"/>
        <v>1049</v>
      </c>
      <c r="D168" s="220">
        <f t="shared" ref="D168" si="213">D167+26</f>
        <v>2030</v>
      </c>
      <c r="E168" s="220">
        <f t="shared" si="178"/>
        <v>3079</v>
      </c>
      <c r="F168" s="220">
        <f t="shared" si="170"/>
        <v>655</v>
      </c>
      <c r="G168" s="220">
        <f t="shared" si="171"/>
        <v>657</v>
      </c>
      <c r="H168" s="220">
        <f t="shared" si="172"/>
        <v>919</v>
      </c>
      <c r="I168" s="220">
        <f t="shared" si="173"/>
        <v>774</v>
      </c>
      <c r="J168" s="220">
        <f t="shared" si="174"/>
        <v>720</v>
      </c>
      <c r="K168" s="220">
        <f t="shared" si="210"/>
        <v>2424</v>
      </c>
      <c r="L168" s="220">
        <f t="shared" si="210"/>
        <v>2422</v>
      </c>
      <c r="M168" s="220">
        <f t="shared" si="210"/>
        <v>2160</v>
      </c>
      <c r="N168" s="220">
        <f t="shared" si="210"/>
        <v>2305</v>
      </c>
      <c r="O168" s="220">
        <f t="shared" si="210"/>
        <v>2359</v>
      </c>
      <c r="P168" s="220">
        <f t="shared" si="200"/>
        <v>2000</v>
      </c>
      <c r="Q168" s="220">
        <f t="shared" si="200"/>
        <v>2150</v>
      </c>
      <c r="R168" s="220">
        <f t="shared" si="200"/>
        <v>2150</v>
      </c>
      <c r="S168" s="220">
        <f t="shared" si="200"/>
        <v>2150</v>
      </c>
      <c r="T168" s="220">
        <f t="shared" si="200"/>
        <v>2000</v>
      </c>
      <c r="U168" s="220">
        <f t="shared" si="201"/>
        <v>424</v>
      </c>
      <c r="V168" s="220">
        <f t="shared" si="201"/>
        <v>272</v>
      </c>
      <c r="W168" s="220">
        <f t="shared" si="201"/>
        <v>10</v>
      </c>
      <c r="X168" s="220">
        <f t="shared" si="201"/>
        <v>155</v>
      </c>
      <c r="Y168" s="220">
        <f t="shared" si="201"/>
        <v>359</v>
      </c>
      <c r="Z168" s="220">
        <v>1</v>
      </c>
      <c r="AA168" s="220">
        <v>0</v>
      </c>
      <c r="AB168" s="220">
        <v>0</v>
      </c>
      <c r="AC168" s="220">
        <v>0</v>
      </c>
      <c r="AD168" s="220">
        <v>0</v>
      </c>
      <c r="AE168" s="220">
        <f t="shared" si="202"/>
        <v>-225</v>
      </c>
      <c r="AF168" s="220">
        <f t="shared" si="202"/>
        <v>-330</v>
      </c>
      <c r="AG168" s="220">
        <f t="shared" si="202"/>
        <v>-557</v>
      </c>
      <c r="AH168" s="220">
        <f t="shared" si="202"/>
        <v>-327</v>
      </c>
      <c r="AI168" s="220">
        <f t="shared" si="202"/>
        <v>-200</v>
      </c>
      <c r="AJ168" s="50">
        <f t="shared" si="182"/>
        <v>1.2100000000000091</v>
      </c>
      <c r="AK168" s="257"/>
      <c r="AL168" s="257">
        <f t="shared" si="183"/>
        <v>1.2</v>
      </c>
      <c r="AM168" s="52"/>
      <c r="AN168" s="88"/>
    </row>
    <row r="169" spans="1:40" s="29" customFormat="1" ht="17.25" customHeight="1">
      <c r="A169" s="48">
        <v>159</v>
      </c>
      <c r="B169" s="49">
        <f t="shared" si="175"/>
        <v>45743</v>
      </c>
      <c r="C169" s="220">
        <f t="shared" si="176"/>
        <v>1049</v>
      </c>
      <c r="D169" s="220">
        <f t="shared" ref="D169" si="214">D168+32</f>
        <v>2062</v>
      </c>
      <c r="E169" s="220">
        <f t="shared" si="178"/>
        <v>3111</v>
      </c>
      <c r="F169" s="220">
        <f t="shared" si="170"/>
        <v>687</v>
      </c>
      <c r="G169" s="220">
        <f t="shared" si="171"/>
        <v>689</v>
      </c>
      <c r="H169" s="220">
        <f t="shared" si="172"/>
        <v>952</v>
      </c>
      <c r="I169" s="220">
        <f t="shared" si="173"/>
        <v>806</v>
      </c>
      <c r="J169" s="220">
        <f t="shared" si="174"/>
        <v>754</v>
      </c>
      <c r="K169" s="220">
        <f t="shared" si="210"/>
        <v>2424</v>
      </c>
      <c r="L169" s="220">
        <f t="shared" si="210"/>
        <v>2422</v>
      </c>
      <c r="M169" s="220">
        <f t="shared" si="210"/>
        <v>2159</v>
      </c>
      <c r="N169" s="220">
        <f t="shared" si="210"/>
        <v>2305</v>
      </c>
      <c r="O169" s="220">
        <f t="shared" si="210"/>
        <v>2357</v>
      </c>
      <c r="P169" s="220">
        <f t="shared" si="200"/>
        <v>2000</v>
      </c>
      <c r="Q169" s="220">
        <f t="shared" si="200"/>
        <v>2150</v>
      </c>
      <c r="R169" s="220">
        <f t="shared" si="200"/>
        <v>2150</v>
      </c>
      <c r="S169" s="220">
        <f t="shared" si="200"/>
        <v>2150</v>
      </c>
      <c r="T169" s="220">
        <f t="shared" si="200"/>
        <v>2000</v>
      </c>
      <c r="U169" s="220">
        <f t="shared" si="201"/>
        <v>424</v>
      </c>
      <c r="V169" s="220">
        <f t="shared" si="201"/>
        <v>272</v>
      </c>
      <c r="W169" s="220">
        <f t="shared" si="201"/>
        <v>9</v>
      </c>
      <c r="X169" s="220">
        <f t="shared" si="201"/>
        <v>155</v>
      </c>
      <c r="Y169" s="220">
        <f t="shared" si="201"/>
        <v>357</v>
      </c>
      <c r="Z169" s="220">
        <v>0</v>
      </c>
      <c r="AA169" s="220">
        <v>0</v>
      </c>
      <c r="AB169" s="220">
        <v>1</v>
      </c>
      <c r="AC169" s="220">
        <v>0</v>
      </c>
      <c r="AD169" s="220">
        <v>2</v>
      </c>
      <c r="AE169" s="220">
        <f t="shared" si="202"/>
        <v>-225</v>
      </c>
      <c r="AF169" s="220">
        <f t="shared" si="202"/>
        <v>-330</v>
      </c>
      <c r="AG169" s="220">
        <f t="shared" si="202"/>
        <v>-558</v>
      </c>
      <c r="AH169" s="220">
        <f t="shared" si="202"/>
        <v>-327</v>
      </c>
      <c r="AI169" s="220">
        <f t="shared" si="202"/>
        <v>-202</v>
      </c>
      <c r="AJ169" s="50">
        <f t="shared" si="182"/>
        <v>1.2090000000000092</v>
      </c>
      <c r="AK169" s="257"/>
      <c r="AL169" s="257">
        <f t="shared" si="183"/>
        <v>1.2</v>
      </c>
      <c r="AM169" s="52"/>
      <c r="AN169" s="88"/>
    </row>
    <row r="170" spans="1:40" s="29" customFormat="1" ht="17.25" customHeight="1">
      <c r="A170" s="48">
        <v>160</v>
      </c>
      <c r="B170" s="49">
        <f t="shared" si="175"/>
        <v>45744</v>
      </c>
      <c r="C170" s="220">
        <f t="shared" si="176"/>
        <v>1049</v>
      </c>
      <c r="D170" s="220">
        <f t="shared" ref="D170" si="215">D169-18</f>
        <v>2044</v>
      </c>
      <c r="E170" s="220">
        <f t="shared" si="178"/>
        <v>3093</v>
      </c>
      <c r="F170" s="220">
        <f t="shared" si="170"/>
        <v>670</v>
      </c>
      <c r="G170" s="220">
        <f t="shared" si="171"/>
        <v>672</v>
      </c>
      <c r="H170" s="220">
        <f t="shared" si="172"/>
        <v>934</v>
      </c>
      <c r="I170" s="220">
        <f t="shared" si="173"/>
        <v>788</v>
      </c>
      <c r="J170" s="220">
        <f t="shared" si="174"/>
        <v>736</v>
      </c>
      <c r="K170" s="220">
        <f t="shared" si="210"/>
        <v>2423</v>
      </c>
      <c r="L170" s="220">
        <f t="shared" si="210"/>
        <v>2421</v>
      </c>
      <c r="M170" s="220">
        <f t="shared" si="210"/>
        <v>2159</v>
      </c>
      <c r="N170" s="220">
        <f t="shared" si="210"/>
        <v>2305</v>
      </c>
      <c r="O170" s="220">
        <f t="shared" si="210"/>
        <v>2357</v>
      </c>
      <c r="P170" s="220">
        <f t="shared" si="200"/>
        <v>2000</v>
      </c>
      <c r="Q170" s="220">
        <f t="shared" si="200"/>
        <v>2150</v>
      </c>
      <c r="R170" s="220">
        <f t="shared" si="200"/>
        <v>2150</v>
      </c>
      <c r="S170" s="220">
        <f t="shared" si="200"/>
        <v>2150</v>
      </c>
      <c r="T170" s="220">
        <f t="shared" si="200"/>
        <v>2000</v>
      </c>
      <c r="U170" s="220">
        <f t="shared" si="201"/>
        <v>423</v>
      </c>
      <c r="V170" s="220">
        <f t="shared" si="201"/>
        <v>271</v>
      </c>
      <c r="W170" s="220">
        <f t="shared" si="201"/>
        <v>9</v>
      </c>
      <c r="X170" s="220">
        <f t="shared" si="201"/>
        <v>155</v>
      </c>
      <c r="Y170" s="220">
        <f t="shared" si="201"/>
        <v>357</v>
      </c>
      <c r="Z170" s="220">
        <v>1</v>
      </c>
      <c r="AA170" s="220">
        <v>1</v>
      </c>
      <c r="AB170" s="220">
        <v>0</v>
      </c>
      <c r="AC170" s="220">
        <v>0</v>
      </c>
      <c r="AD170" s="220">
        <v>0</v>
      </c>
      <c r="AE170" s="220">
        <f t="shared" si="202"/>
        <v>-226</v>
      </c>
      <c r="AF170" s="220">
        <f t="shared" si="202"/>
        <v>-331</v>
      </c>
      <c r="AG170" s="220">
        <f t="shared" si="202"/>
        <v>-558</v>
      </c>
      <c r="AH170" s="220">
        <f t="shared" si="202"/>
        <v>-327</v>
      </c>
      <c r="AI170" s="220">
        <f t="shared" si="202"/>
        <v>-202</v>
      </c>
      <c r="AJ170" s="50">
        <f t="shared" si="182"/>
        <v>1.2090000000000092</v>
      </c>
      <c r="AK170" s="257"/>
      <c r="AL170" s="257">
        <f t="shared" si="183"/>
        <v>1.2</v>
      </c>
      <c r="AM170" s="52"/>
      <c r="AN170" s="88"/>
    </row>
    <row r="171" spans="1:40" s="29" customFormat="1" ht="17.25" customHeight="1">
      <c r="A171" s="48">
        <v>161</v>
      </c>
      <c r="B171" s="49">
        <f t="shared" si="175"/>
        <v>45745</v>
      </c>
      <c r="C171" s="220">
        <f t="shared" si="176"/>
        <v>1049</v>
      </c>
      <c r="D171" s="220">
        <f t="shared" ref="D171" si="216">D170-26</f>
        <v>2018</v>
      </c>
      <c r="E171" s="220">
        <f t="shared" si="178"/>
        <v>3067</v>
      </c>
      <c r="F171" s="220">
        <f t="shared" si="170"/>
        <v>644</v>
      </c>
      <c r="G171" s="220">
        <f t="shared" si="171"/>
        <v>647</v>
      </c>
      <c r="H171" s="220">
        <f t="shared" si="172"/>
        <v>909</v>
      </c>
      <c r="I171" s="220">
        <f t="shared" si="173"/>
        <v>762</v>
      </c>
      <c r="J171" s="220">
        <f t="shared" si="174"/>
        <v>710</v>
      </c>
      <c r="K171" s="220">
        <f t="shared" si="210"/>
        <v>2423</v>
      </c>
      <c r="L171" s="220">
        <f t="shared" si="210"/>
        <v>2420</v>
      </c>
      <c r="M171" s="220">
        <f t="shared" si="210"/>
        <v>2158</v>
      </c>
      <c r="N171" s="220">
        <f t="shared" si="210"/>
        <v>2305</v>
      </c>
      <c r="O171" s="220">
        <f t="shared" si="210"/>
        <v>2357</v>
      </c>
      <c r="P171" s="220">
        <f t="shared" si="200"/>
        <v>2000</v>
      </c>
      <c r="Q171" s="220">
        <f t="shared" si="200"/>
        <v>2150</v>
      </c>
      <c r="R171" s="220">
        <f t="shared" si="200"/>
        <v>2150</v>
      </c>
      <c r="S171" s="220">
        <f t="shared" si="200"/>
        <v>2150</v>
      </c>
      <c r="T171" s="220">
        <f t="shared" si="200"/>
        <v>2000</v>
      </c>
      <c r="U171" s="220">
        <f t="shared" si="201"/>
        <v>423</v>
      </c>
      <c r="V171" s="220">
        <f t="shared" si="201"/>
        <v>270</v>
      </c>
      <c r="W171" s="220">
        <f t="shared" si="201"/>
        <v>8</v>
      </c>
      <c r="X171" s="220">
        <f t="shared" si="201"/>
        <v>155</v>
      </c>
      <c r="Y171" s="220">
        <f t="shared" si="201"/>
        <v>357</v>
      </c>
      <c r="Z171" s="220">
        <v>0</v>
      </c>
      <c r="AA171" s="220">
        <v>1</v>
      </c>
      <c r="AB171" s="220">
        <v>1</v>
      </c>
      <c r="AC171" s="220">
        <v>0</v>
      </c>
      <c r="AD171" s="220">
        <v>0</v>
      </c>
      <c r="AE171" s="220">
        <f t="shared" si="202"/>
        <v>-226</v>
      </c>
      <c r="AF171" s="220">
        <f t="shared" si="202"/>
        <v>-332</v>
      </c>
      <c r="AG171" s="220">
        <f t="shared" si="202"/>
        <v>-559</v>
      </c>
      <c r="AH171" s="220">
        <f t="shared" si="202"/>
        <v>-327</v>
      </c>
      <c r="AI171" s="220">
        <f t="shared" si="202"/>
        <v>-202</v>
      </c>
      <c r="AJ171" s="50">
        <f t="shared" si="182"/>
        <v>1.2080000000000093</v>
      </c>
      <c r="AK171" s="257"/>
      <c r="AL171" s="257">
        <f t="shared" si="183"/>
        <v>1.2</v>
      </c>
      <c r="AM171" s="52"/>
      <c r="AN171" s="88"/>
    </row>
    <row r="172" spans="1:40" s="29" customFormat="1" ht="17.25" customHeight="1">
      <c r="A172" s="48">
        <v>162</v>
      </c>
      <c r="B172" s="49">
        <f t="shared" si="175"/>
        <v>45746</v>
      </c>
      <c r="C172" s="220">
        <f t="shared" si="176"/>
        <v>1049</v>
      </c>
      <c r="D172" s="220">
        <f t="shared" ref="D172" si="217">D171+15</f>
        <v>2033</v>
      </c>
      <c r="E172" s="220">
        <f t="shared" si="178"/>
        <v>3082</v>
      </c>
      <c r="F172" s="220">
        <f t="shared" si="170"/>
        <v>660</v>
      </c>
      <c r="G172" s="220">
        <f t="shared" si="171"/>
        <v>662</v>
      </c>
      <c r="H172" s="220">
        <f t="shared" si="172"/>
        <v>928</v>
      </c>
      <c r="I172" s="220">
        <f t="shared" si="173"/>
        <v>779</v>
      </c>
      <c r="J172" s="220">
        <f t="shared" si="174"/>
        <v>725</v>
      </c>
      <c r="K172" s="220">
        <f t="shared" si="210"/>
        <v>2422</v>
      </c>
      <c r="L172" s="220">
        <f t="shared" si="210"/>
        <v>2420</v>
      </c>
      <c r="M172" s="220">
        <f t="shared" si="210"/>
        <v>2154</v>
      </c>
      <c r="N172" s="220">
        <f t="shared" si="210"/>
        <v>2303</v>
      </c>
      <c r="O172" s="220">
        <f t="shared" si="210"/>
        <v>2357</v>
      </c>
      <c r="P172" s="220">
        <f t="shared" si="200"/>
        <v>2000</v>
      </c>
      <c r="Q172" s="220">
        <f t="shared" si="200"/>
        <v>2150</v>
      </c>
      <c r="R172" s="220">
        <f t="shared" si="200"/>
        <v>2150</v>
      </c>
      <c r="S172" s="220">
        <f t="shared" si="200"/>
        <v>2150</v>
      </c>
      <c r="T172" s="220">
        <f t="shared" si="200"/>
        <v>2000</v>
      </c>
      <c r="U172" s="220">
        <f t="shared" si="201"/>
        <v>422</v>
      </c>
      <c r="V172" s="220">
        <f t="shared" si="201"/>
        <v>270</v>
      </c>
      <c r="W172" s="220">
        <f t="shared" si="201"/>
        <v>4</v>
      </c>
      <c r="X172" s="220">
        <f t="shared" si="201"/>
        <v>153</v>
      </c>
      <c r="Y172" s="220">
        <f t="shared" si="201"/>
        <v>357</v>
      </c>
      <c r="Z172" s="220">
        <v>1</v>
      </c>
      <c r="AA172" s="220">
        <v>0</v>
      </c>
      <c r="AB172" s="220">
        <v>4</v>
      </c>
      <c r="AC172" s="220">
        <v>2</v>
      </c>
      <c r="AD172" s="220">
        <v>0</v>
      </c>
      <c r="AE172" s="220">
        <f t="shared" si="202"/>
        <v>-227</v>
      </c>
      <c r="AF172" s="220">
        <f t="shared" si="202"/>
        <v>-332</v>
      </c>
      <c r="AG172" s="220">
        <f t="shared" si="202"/>
        <v>-563</v>
      </c>
      <c r="AH172" s="220">
        <f t="shared" si="202"/>
        <v>-329</v>
      </c>
      <c r="AI172" s="220">
        <f t="shared" si="202"/>
        <v>-202</v>
      </c>
      <c r="AJ172" s="50">
        <f t="shared" si="182"/>
        <v>1.2040000000000093</v>
      </c>
      <c r="AK172" s="257"/>
      <c r="AL172" s="257">
        <f t="shared" si="183"/>
        <v>1.2</v>
      </c>
      <c r="AM172" s="52"/>
      <c r="AN172" s="88"/>
    </row>
    <row r="173" spans="1:40" s="29" customFormat="1" ht="17.25" customHeight="1">
      <c r="A173" s="48">
        <v>163</v>
      </c>
      <c r="B173" s="49">
        <f t="shared" si="175"/>
        <v>45747</v>
      </c>
      <c r="C173" s="220">
        <f t="shared" si="176"/>
        <v>1049</v>
      </c>
      <c r="D173" s="220">
        <f t="shared" ref="D173" si="218">D172+26</f>
        <v>2059</v>
      </c>
      <c r="E173" s="220">
        <f t="shared" si="178"/>
        <v>3108</v>
      </c>
      <c r="F173" s="220">
        <f t="shared" si="170"/>
        <v>687</v>
      </c>
      <c r="G173" s="220">
        <f t="shared" si="171"/>
        <v>689</v>
      </c>
      <c r="H173" s="220">
        <f t="shared" si="172"/>
        <v>955</v>
      </c>
      <c r="I173" s="220">
        <f t="shared" si="173"/>
        <v>805</v>
      </c>
      <c r="J173" s="220">
        <f t="shared" si="174"/>
        <v>751</v>
      </c>
      <c r="K173" s="220">
        <f t="shared" si="210"/>
        <v>2421</v>
      </c>
      <c r="L173" s="220">
        <f t="shared" si="210"/>
        <v>2419</v>
      </c>
      <c r="M173" s="220">
        <f t="shared" si="210"/>
        <v>2153</v>
      </c>
      <c r="N173" s="220">
        <f t="shared" si="210"/>
        <v>2303</v>
      </c>
      <c r="O173" s="220">
        <f t="shared" si="210"/>
        <v>2357</v>
      </c>
      <c r="P173" s="220">
        <f t="shared" ref="P173:T188" si="219">+P172</f>
        <v>2000</v>
      </c>
      <c r="Q173" s="220">
        <f t="shared" si="219"/>
        <v>2150</v>
      </c>
      <c r="R173" s="220">
        <f t="shared" si="219"/>
        <v>2150</v>
      </c>
      <c r="S173" s="220">
        <f t="shared" si="219"/>
        <v>2150</v>
      </c>
      <c r="T173" s="220">
        <f t="shared" si="219"/>
        <v>2000</v>
      </c>
      <c r="U173" s="220">
        <f t="shared" ref="U173:Y188" si="220">U172-Z173</f>
        <v>421</v>
      </c>
      <c r="V173" s="220">
        <f t="shared" si="220"/>
        <v>269</v>
      </c>
      <c r="W173" s="220">
        <f t="shared" si="220"/>
        <v>3</v>
      </c>
      <c r="X173" s="220">
        <f t="shared" si="220"/>
        <v>153</v>
      </c>
      <c r="Y173" s="220">
        <f t="shared" si="220"/>
        <v>357</v>
      </c>
      <c r="Z173" s="220">
        <v>1</v>
      </c>
      <c r="AA173" s="220">
        <v>1</v>
      </c>
      <c r="AB173" s="220">
        <v>1</v>
      </c>
      <c r="AC173" s="220">
        <v>0</v>
      </c>
      <c r="AD173" s="220">
        <v>0</v>
      </c>
      <c r="AE173" s="220">
        <f t="shared" ref="AE173:AI188" si="221">AE172-Z173</f>
        <v>-228</v>
      </c>
      <c r="AF173" s="220">
        <f t="shared" si="221"/>
        <v>-333</v>
      </c>
      <c r="AG173" s="220">
        <f t="shared" si="221"/>
        <v>-564</v>
      </c>
      <c r="AH173" s="220">
        <f t="shared" si="221"/>
        <v>-329</v>
      </c>
      <c r="AI173" s="220">
        <f t="shared" si="221"/>
        <v>-202</v>
      </c>
      <c r="AJ173" s="50">
        <f t="shared" si="182"/>
        <v>1.2030000000000094</v>
      </c>
      <c r="AK173" s="257"/>
      <c r="AL173" s="257">
        <f t="shared" si="183"/>
        <v>1.2</v>
      </c>
      <c r="AM173" s="52"/>
      <c r="AN173" s="88"/>
    </row>
    <row r="174" spans="1:40" s="29" customFormat="1" ht="17.25" customHeight="1">
      <c r="A174" s="48">
        <v>164</v>
      </c>
      <c r="B174" s="49">
        <f t="shared" si="175"/>
        <v>45748</v>
      </c>
      <c r="C174" s="220">
        <f t="shared" si="176"/>
        <v>1049</v>
      </c>
      <c r="D174" s="220">
        <f t="shared" ref="D174" si="222">D173+32</f>
        <v>2091</v>
      </c>
      <c r="E174" s="220">
        <f t="shared" si="178"/>
        <v>3140</v>
      </c>
      <c r="F174" s="220">
        <f t="shared" si="170"/>
        <v>719</v>
      </c>
      <c r="G174" s="220">
        <f t="shared" si="171"/>
        <v>721</v>
      </c>
      <c r="H174" s="220">
        <f t="shared" si="172"/>
        <v>987</v>
      </c>
      <c r="I174" s="220">
        <f t="shared" si="173"/>
        <v>837</v>
      </c>
      <c r="J174" s="220">
        <f t="shared" si="174"/>
        <v>783</v>
      </c>
      <c r="K174" s="220">
        <f t="shared" si="210"/>
        <v>2421</v>
      </c>
      <c r="L174" s="220">
        <f t="shared" si="210"/>
        <v>2419</v>
      </c>
      <c r="M174" s="220">
        <f t="shared" si="210"/>
        <v>2153</v>
      </c>
      <c r="N174" s="220">
        <f t="shared" si="210"/>
        <v>2303</v>
      </c>
      <c r="O174" s="220">
        <f t="shared" si="210"/>
        <v>2357</v>
      </c>
      <c r="P174" s="220">
        <f t="shared" si="219"/>
        <v>2000</v>
      </c>
      <c r="Q174" s="220">
        <f t="shared" si="219"/>
        <v>2150</v>
      </c>
      <c r="R174" s="220">
        <f t="shared" si="219"/>
        <v>2150</v>
      </c>
      <c r="S174" s="220">
        <f t="shared" si="219"/>
        <v>2150</v>
      </c>
      <c r="T174" s="220">
        <f t="shared" si="219"/>
        <v>2000</v>
      </c>
      <c r="U174" s="220">
        <f t="shared" si="220"/>
        <v>421</v>
      </c>
      <c r="V174" s="220">
        <f t="shared" si="220"/>
        <v>269</v>
      </c>
      <c r="W174" s="220">
        <f t="shared" si="220"/>
        <v>3</v>
      </c>
      <c r="X174" s="220">
        <f t="shared" si="220"/>
        <v>153</v>
      </c>
      <c r="Y174" s="220">
        <f t="shared" si="220"/>
        <v>357</v>
      </c>
      <c r="Z174" s="220">
        <v>0</v>
      </c>
      <c r="AA174" s="220">
        <v>0</v>
      </c>
      <c r="AB174" s="220">
        <v>0</v>
      </c>
      <c r="AC174" s="220">
        <v>0</v>
      </c>
      <c r="AD174" s="220">
        <v>0</v>
      </c>
      <c r="AE174" s="220">
        <f t="shared" si="221"/>
        <v>-228</v>
      </c>
      <c r="AF174" s="220">
        <f t="shared" si="221"/>
        <v>-333</v>
      </c>
      <c r="AG174" s="220">
        <f t="shared" si="221"/>
        <v>-564</v>
      </c>
      <c r="AH174" s="220">
        <f t="shared" si="221"/>
        <v>-329</v>
      </c>
      <c r="AI174" s="220">
        <f t="shared" si="221"/>
        <v>-202</v>
      </c>
      <c r="AJ174" s="50">
        <f t="shared" si="182"/>
        <v>1.2030000000000094</v>
      </c>
      <c r="AK174" s="257"/>
      <c r="AL174" s="257">
        <f t="shared" si="183"/>
        <v>1.2</v>
      </c>
      <c r="AM174" s="52"/>
      <c r="AN174" s="88"/>
    </row>
    <row r="175" spans="1:40" s="29" customFormat="1" ht="17.25" customHeight="1">
      <c r="A175" s="48">
        <v>165</v>
      </c>
      <c r="B175" s="49">
        <f t="shared" si="175"/>
        <v>45749</v>
      </c>
      <c r="C175" s="220">
        <f t="shared" si="176"/>
        <v>1049</v>
      </c>
      <c r="D175" s="220">
        <f t="shared" ref="D175" si="223">D174-18</f>
        <v>2073</v>
      </c>
      <c r="E175" s="220">
        <f t="shared" si="178"/>
        <v>3122</v>
      </c>
      <c r="F175" s="220">
        <f t="shared" si="170"/>
        <v>701</v>
      </c>
      <c r="G175" s="220">
        <f t="shared" si="171"/>
        <v>704</v>
      </c>
      <c r="H175" s="220">
        <f t="shared" si="172"/>
        <v>970</v>
      </c>
      <c r="I175" s="220">
        <f t="shared" si="173"/>
        <v>820</v>
      </c>
      <c r="J175" s="220">
        <f t="shared" si="174"/>
        <v>765</v>
      </c>
      <c r="K175" s="220">
        <f t="shared" si="210"/>
        <v>2421</v>
      </c>
      <c r="L175" s="220">
        <f t="shared" si="210"/>
        <v>2418</v>
      </c>
      <c r="M175" s="220">
        <f t="shared" si="210"/>
        <v>2152</v>
      </c>
      <c r="N175" s="220">
        <f t="shared" si="210"/>
        <v>2302</v>
      </c>
      <c r="O175" s="220">
        <f t="shared" si="210"/>
        <v>2357</v>
      </c>
      <c r="P175" s="220">
        <f t="shared" si="219"/>
        <v>2000</v>
      </c>
      <c r="Q175" s="220">
        <f t="shared" si="219"/>
        <v>2150</v>
      </c>
      <c r="R175" s="220">
        <f t="shared" si="219"/>
        <v>2150</v>
      </c>
      <c r="S175" s="220">
        <f t="shared" si="219"/>
        <v>2150</v>
      </c>
      <c r="T175" s="220">
        <f t="shared" si="219"/>
        <v>2000</v>
      </c>
      <c r="U175" s="220">
        <f t="shared" si="220"/>
        <v>421</v>
      </c>
      <c r="V175" s="220">
        <f t="shared" si="220"/>
        <v>268</v>
      </c>
      <c r="W175" s="220">
        <f t="shared" si="220"/>
        <v>2</v>
      </c>
      <c r="X175" s="220">
        <f t="shared" si="220"/>
        <v>152</v>
      </c>
      <c r="Y175" s="220">
        <f t="shared" si="220"/>
        <v>357</v>
      </c>
      <c r="Z175" s="220">
        <v>0</v>
      </c>
      <c r="AA175" s="220">
        <v>1</v>
      </c>
      <c r="AB175" s="220">
        <v>1</v>
      </c>
      <c r="AC175" s="220">
        <v>1</v>
      </c>
      <c r="AD175" s="220">
        <v>0</v>
      </c>
      <c r="AE175" s="220">
        <f t="shared" si="221"/>
        <v>-228</v>
      </c>
      <c r="AF175" s="220">
        <f t="shared" si="221"/>
        <v>-334</v>
      </c>
      <c r="AG175" s="220">
        <f t="shared" si="221"/>
        <v>-565</v>
      </c>
      <c r="AH175" s="220">
        <f t="shared" si="221"/>
        <v>-330</v>
      </c>
      <c r="AI175" s="220">
        <f t="shared" si="221"/>
        <v>-202</v>
      </c>
      <c r="AJ175" s="50">
        <f t="shared" si="182"/>
        <v>1.2020000000000095</v>
      </c>
      <c r="AK175" s="257"/>
      <c r="AL175" s="257">
        <f t="shared" si="183"/>
        <v>1.2</v>
      </c>
      <c r="AM175" s="52"/>
      <c r="AN175" s="88"/>
    </row>
    <row r="176" spans="1:40" s="29" customFormat="1" ht="17.25" customHeight="1">
      <c r="A176" s="48">
        <v>166</v>
      </c>
      <c r="B176" s="49">
        <f t="shared" si="175"/>
        <v>45750</v>
      </c>
      <c r="C176" s="220">
        <f t="shared" si="176"/>
        <v>1049</v>
      </c>
      <c r="D176" s="220">
        <f t="shared" ref="D176:D234" si="224">D175-26</f>
        <v>2047</v>
      </c>
      <c r="E176" s="220">
        <f t="shared" si="178"/>
        <v>3096</v>
      </c>
      <c r="F176" s="220">
        <f t="shared" si="170"/>
        <v>676</v>
      </c>
      <c r="G176" s="220">
        <f t="shared" si="171"/>
        <v>680</v>
      </c>
      <c r="H176" s="220">
        <f t="shared" si="172"/>
        <v>944</v>
      </c>
      <c r="I176" s="220">
        <f t="shared" si="173"/>
        <v>795</v>
      </c>
      <c r="J176" s="220">
        <f t="shared" si="174"/>
        <v>739</v>
      </c>
      <c r="K176" s="220">
        <f t="shared" si="210"/>
        <v>2420</v>
      </c>
      <c r="L176" s="220">
        <f t="shared" si="210"/>
        <v>2416</v>
      </c>
      <c r="M176" s="220">
        <f t="shared" si="210"/>
        <v>2152</v>
      </c>
      <c r="N176" s="220">
        <f t="shared" si="210"/>
        <v>2301</v>
      </c>
      <c r="O176" s="220">
        <f t="shared" si="210"/>
        <v>2357</v>
      </c>
      <c r="P176" s="220">
        <f t="shared" si="219"/>
        <v>2000</v>
      </c>
      <c r="Q176" s="220">
        <f t="shared" si="219"/>
        <v>2150</v>
      </c>
      <c r="R176" s="220">
        <f t="shared" si="219"/>
        <v>2150</v>
      </c>
      <c r="S176" s="220">
        <f t="shared" si="219"/>
        <v>2150</v>
      </c>
      <c r="T176" s="220">
        <f t="shared" si="219"/>
        <v>2000</v>
      </c>
      <c r="U176" s="220">
        <f t="shared" si="220"/>
        <v>420</v>
      </c>
      <c r="V176" s="220">
        <f t="shared" si="220"/>
        <v>266</v>
      </c>
      <c r="W176" s="220">
        <f t="shared" si="220"/>
        <v>2</v>
      </c>
      <c r="X176" s="220">
        <f t="shared" si="220"/>
        <v>151</v>
      </c>
      <c r="Y176" s="220">
        <f t="shared" si="220"/>
        <v>357</v>
      </c>
      <c r="Z176" s="220">
        <v>1</v>
      </c>
      <c r="AA176" s="220">
        <v>2</v>
      </c>
      <c r="AB176" s="220">
        <v>0</v>
      </c>
      <c r="AC176" s="220">
        <v>1</v>
      </c>
      <c r="AD176" s="220">
        <v>0</v>
      </c>
      <c r="AE176" s="220">
        <f t="shared" si="221"/>
        <v>-229</v>
      </c>
      <c r="AF176" s="220">
        <f t="shared" si="221"/>
        <v>-336</v>
      </c>
      <c r="AG176" s="220">
        <f t="shared" si="221"/>
        <v>-565</v>
      </c>
      <c r="AH176" s="220">
        <f t="shared" si="221"/>
        <v>-331</v>
      </c>
      <c r="AI176" s="220">
        <f t="shared" si="221"/>
        <v>-202</v>
      </c>
      <c r="AJ176" s="50">
        <f t="shared" si="182"/>
        <v>1.2020000000000095</v>
      </c>
      <c r="AK176" s="257"/>
      <c r="AL176" s="257">
        <f t="shared" si="183"/>
        <v>1.2</v>
      </c>
      <c r="AM176" s="52"/>
      <c r="AN176" s="88"/>
    </row>
    <row r="177" spans="1:40" s="29" customFormat="1" ht="17.25" customHeight="1">
      <c r="A177" s="48">
        <v>167</v>
      </c>
      <c r="B177" s="49">
        <f t="shared" si="175"/>
        <v>45751</v>
      </c>
      <c r="C177" s="220">
        <f t="shared" si="176"/>
        <v>1049</v>
      </c>
      <c r="D177" s="220">
        <f t="shared" ref="D177:D209" si="225">D176+15</f>
        <v>2062</v>
      </c>
      <c r="E177" s="220">
        <f t="shared" si="178"/>
        <v>3111</v>
      </c>
      <c r="F177" s="220">
        <f t="shared" si="170"/>
        <v>692</v>
      </c>
      <c r="G177" s="220">
        <f t="shared" si="171"/>
        <v>699</v>
      </c>
      <c r="H177" s="220">
        <f t="shared" si="172"/>
        <v>962</v>
      </c>
      <c r="I177" s="220">
        <f t="shared" si="173"/>
        <v>810</v>
      </c>
      <c r="J177" s="220">
        <f t="shared" si="174"/>
        <v>754</v>
      </c>
      <c r="K177" s="220">
        <f t="shared" si="210"/>
        <v>2419</v>
      </c>
      <c r="L177" s="220">
        <f t="shared" si="210"/>
        <v>2412</v>
      </c>
      <c r="M177" s="220">
        <f t="shared" si="210"/>
        <v>2149</v>
      </c>
      <c r="N177" s="220">
        <f t="shared" si="210"/>
        <v>2301</v>
      </c>
      <c r="O177" s="220">
        <f t="shared" si="210"/>
        <v>2357</v>
      </c>
      <c r="P177" s="220">
        <f t="shared" si="219"/>
        <v>2000</v>
      </c>
      <c r="Q177" s="220">
        <f t="shared" si="219"/>
        <v>2150</v>
      </c>
      <c r="R177" s="220">
        <f t="shared" si="219"/>
        <v>2150</v>
      </c>
      <c r="S177" s="220">
        <f t="shared" si="219"/>
        <v>2150</v>
      </c>
      <c r="T177" s="220">
        <f t="shared" si="219"/>
        <v>2000</v>
      </c>
      <c r="U177" s="220">
        <f t="shared" si="220"/>
        <v>419</v>
      </c>
      <c r="V177" s="220">
        <f t="shared" si="220"/>
        <v>262</v>
      </c>
      <c r="W177" s="220">
        <f t="shared" si="220"/>
        <v>-1</v>
      </c>
      <c r="X177" s="220">
        <f t="shared" si="220"/>
        <v>151</v>
      </c>
      <c r="Y177" s="220">
        <f t="shared" si="220"/>
        <v>357</v>
      </c>
      <c r="Z177" s="220">
        <v>1</v>
      </c>
      <c r="AA177" s="220">
        <v>4</v>
      </c>
      <c r="AB177" s="220">
        <v>3</v>
      </c>
      <c r="AC177" s="220">
        <v>0</v>
      </c>
      <c r="AD177" s="220">
        <v>0</v>
      </c>
      <c r="AE177" s="220">
        <f t="shared" si="221"/>
        <v>-230</v>
      </c>
      <c r="AF177" s="220">
        <f t="shared" si="221"/>
        <v>-340</v>
      </c>
      <c r="AG177" s="220">
        <f t="shared" si="221"/>
        <v>-568</v>
      </c>
      <c r="AH177" s="220">
        <f t="shared" si="221"/>
        <v>-331</v>
      </c>
      <c r="AI177" s="220">
        <f t="shared" si="221"/>
        <v>-202</v>
      </c>
      <c r="AJ177" s="50">
        <f t="shared" si="182"/>
        <v>1.1990000000000096</v>
      </c>
      <c r="AK177" s="257"/>
      <c r="AL177" s="257">
        <f t="shared" si="183"/>
        <v>1.2</v>
      </c>
      <c r="AM177" s="52"/>
      <c r="AN177" s="88"/>
    </row>
    <row r="178" spans="1:40" s="29" customFormat="1" ht="17.25" customHeight="1">
      <c r="A178" s="48">
        <v>168</v>
      </c>
      <c r="B178" s="49">
        <f t="shared" si="175"/>
        <v>45752</v>
      </c>
      <c r="C178" s="220">
        <f t="shared" si="176"/>
        <v>1049</v>
      </c>
      <c r="D178" s="220">
        <f t="shared" ref="D178" si="226">D177+26</f>
        <v>2088</v>
      </c>
      <c r="E178" s="220">
        <f t="shared" si="178"/>
        <v>3137</v>
      </c>
      <c r="F178" s="220">
        <f t="shared" si="170"/>
        <v>718</v>
      </c>
      <c r="G178" s="220">
        <f t="shared" si="171"/>
        <v>726</v>
      </c>
      <c r="H178" s="220">
        <f t="shared" si="172"/>
        <v>989</v>
      </c>
      <c r="I178" s="220">
        <f t="shared" si="173"/>
        <v>837</v>
      </c>
      <c r="J178" s="220">
        <f t="shared" si="174"/>
        <v>780</v>
      </c>
      <c r="K178" s="220">
        <f t="shared" si="210"/>
        <v>2419</v>
      </c>
      <c r="L178" s="220">
        <f t="shared" si="210"/>
        <v>2411</v>
      </c>
      <c r="M178" s="220">
        <f t="shared" si="210"/>
        <v>2148</v>
      </c>
      <c r="N178" s="220">
        <f t="shared" si="210"/>
        <v>2300</v>
      </c>
      <c r="O178" s="220">
        <f t="shared" si="210"/>
        <v>2357</v>
      </c>
      <c r="P178" s="220">
        <f t="shared" si="219"/>
        <v>2000</v>
      </c>
      <c r="Q178" s="220">
        <f t="shared" si="219"/>
        <v>2150</v>
      </c>
      <c r="R178" s="220">
        <f t="shared" si="219"/>
        <v>2150</v>
      </c>
      <c r="S178" s="220">
        <f t="shared" si="219"/>
        <v>2150</v>
      </c>
      <c r="T178" s="220">
        <f t="shared" si="219"/>
        <v>2000</v>
      </c>
      <c r="U178" s="220">
        <f t="shared" si="220"/>
        <v>419</v>
      </c>
      <c r="V178" s="220">
        <f t="shared" si="220"/>
        <v>261</v>
      </c>
      <c r="W178" s="220">
        <f t="shared" si="220"/>
        <v>-2</v>
      </c>
      <c r="X178" s="220">
        <f t="shared" si="220"/>
        <v>150</v>
      </c>
      <c r="Y178" s="220">
        <f t="shared" si="220"/>
        <v>357</v>
      </c>
      <c r="Z178" s="220">
        <v>0</v>
      </c>
      <c r="AA178" s="220">
        <v>1</v>
      </c>
      <c r="AB178" s="220">
        <v>1</v>
      </c>
      <c r="AC178" s="220">
        <v>1</v>
      </c>
      <c r="AD178" s="220">
        <v>0</v>
      </c>
      <c r="AE178" s="220">
        <f t="shared" si="221"/>
        <v>-230</v>
      </c>
      <c r="AF178" s="220">
        <f t="shared" si="221"/>
        <v>-341</v>
      </c>
      <c r="AG178" s="220">
        <f t="shared" si="221"/>
        <v>-569</v>
      </c>
      <c r="AH178" s="220">
        <f t="shared" si="221"/>
        <v>-332</v>
      </c>
      <c r="AI178" s="220">
        <f t="shared" si="221"/>
        <v>-202</v>
      </c>
      <c r="AJ178" s="50">
        <f t="shared" si="182"/>
        <v>1.1980000000000097</v>
      </c>
      <c r="AK178" s="257"/>
      <c r="AL178" s="257">
        <f t="shared" si="183"/>
        <v>1.2</v>
      </c>
      <c r="AM178" s="52"/>
      <c r="AN178" s="88"/>
    </row>
    <row r="179" spans="1:40" s="29" customFormat="1" ht="17.25" customHeight="1">
      <c r="A179" s="48">
        <v>169</v>
      </c>
      <c r="B179" s="49">
        <f t="shared" si="175"/>
        <v>45753</v>
      </c>
      <c r="C179" s="220">
        <f t="shared" si="176"/>
        <v>1049</v>
      </c>
      <c r="D179" s="220">
        <f t="shared" ref="D179" si="227">D178+32</f>
        <v>2120</v>
      </c>
      <c r="E179" s="220">
        <f t="shared" si="178"/>
        <v>3169</v>
      </c>
      <c r="F179" s="220">
        <f t="shared" si="170"/>
        <v>751</v>
      </c>
      <c r="G179" s="220">
        <f t="shared" si="171"/>
        <v>758</v>
      </c>
      <c r="H179" s="220">
        <f t="shared" si="172"/>
        <v>1021</v>
      </c>
      <c r="I179" s="220">
        <f t="shared" si="173"/>
        <v>869</v>
      </c>
      <c r="J179" s="220">
        <f t="shared" si="174"/>
        <v>813</v>
      </c>
      <c r="K179" s="220">
        <f t="shared" si="210"/>
        <v>2418</v>
      </c>
      <c r="L179" s="220">
        <f t="shared" si="210"/>
        <v>2411</v>
      </c>
      <c r="M179" s="220">
        <f t="shared" si="210"/>
        <v>2148</v>
      </c>
      <c r="N179" s="220">
        <f t="shared" si="210"/>
        <v>2300</v>
      </c>
      <c r="O179" s="220">
        <f t="shared" si="210"/>
        <v>2356</v>
      </c>
      <c r="P179" s="220">
        <f t="shared" si="219"/>
        <v>2000</v>
      </c>
      <c r="Q179" s="220">
        <f t="shared" si="219"/>
        <v>2150</v>
      </c>
      <c r="R179" s="220">
        <f t="shared" si="219"/>
        <v>2150</v>
      </c>
      <c r="S179" s="220">
        <f t="shared" si="219"/>
        <v>2150</v>
      </c>
      <c r="T179" s="220">
        <f t="shared" si="219"/>
        <v>2000</v>
      </c>
      <c r="U179" s="220">
        <f t="shared" si="220"/>
        <v>418</v>
      </c>
      <c r="V179" s="220">
        <f t="shared" si="220"/>
        <v>261</v>
      </c>
      <c r="W179" s="220">
        <f t="shared" si="220"/>
        <v>-2</v>
      </c>
      <c r="X179" s="220">
        <f t="shared" si="220"/>
        <v>150</v>
      </c>
      <c r="Y179" s="220">
        <f t="shared" si="220"/>
        <v>356</v>
      </c>
      <c r="Z179" s="220">
        <v>1</v>
      </c>
      <c r="AA179" s="220">
        <v>0</v>
      </c>
      <c r="AB179" s="220">
        <v>0</v>
      </c>
      <c r="AC179" s="220">
        <v>0</v>
      </c>
      <c r="AD179" s="220">
        <v>1</v>
      </c>
      <c r="AE179" s="220">
        <f t="shared" si="221"/>
        <v>-231</v>
      </c>
      <c r="AF179" s="220">
        <f t="shared" si="221"/>
        <v>-341</v>
      </c>
      <c r="AG179" s="220">
        <f t="shared" si="221"/>
        <v>-569</v>
      </c>
      <c r="AH179" s="220">
        <f t="shared" si="221"/>
        <v>-332</v>
      </c>
      <c r="AI179" s="220">
        <f t="shared" si="221"/>
        <v>-203</v>
      </c>
      <c r="AJ179" s="50">
        <f t="shared" si="182"/>
        <v>1.1980000000000097</v>
      </c>
      <c r="AK179" s="257"/>
      <c r="AL179" s="257">
        <f t="shared" si="183"/>
        <v>1.2</v>
      </c>
      <c r="AM179" s="52"/>
      <c r="AN179" s="88"/>
    </row>
    <row r="180" spans="1:40" s="29" customFormat="1" ht="17.25" customHeight="1">
      <c r="A180" s="48">
        <v>170</v>
      </c>
      <c r="B180" s="49">
        <f t="shared" si="175"/>
        <v>45754</v>
      </c>
      <c r="C180" s="220">
        <f t="shared" si="176"/>
        <v>1049</v>
      </c>
      <c r="D180" s="220">
        <f t="shared" ref="D180" si="228">D179-18</f>
        <v>2102</v>
      </c>
      <c r="E180" s="220">
        <f t="shared" si="178"/>
        <v>3151</v>
      </c>
      <c r="F180" s="220">
        <f t="shared" si="170"/>
        <v>733</v>
      </c>
      <c r="G180" s="220">
        <f t="shared" si="171"/>
        <v>740</v>
      </c>
      <c r="H180" s="220">
        <f t="shared" si="172"/>
        <v>1003</v>
      </c>
      <c r="I180" s="220">
        <f t="shared" si="173"/>
        <v>852</v>
      </c>
      <c r="J180" s="220">
        <f t="shared" si="174"/>
        <v>795</v>
      </c>
      <c r="K180" s="220">
        <f t="shared" si="210"/>
        <v>2418</v>
      </c>
      <c r="L180" s="220">
        <f t="shared" si="210"/>
        <v>2411</v>
      </c>
      <c r="M180" s="220">
        <f t="shared" si="210"/>
        <v>2148</v>
      </c>
      <c r="N180" s="220">
        <f t="shared" si="210"/>
        <v>2299</v>
      </c>
      <c r="O180" s="220">
        <f t="shared" si="210"/>
        <v>2356</v>
      </c>
      <c r="P180" s="220">
        <f t="shared" si="219"/>
        <v>2000</v>
      </c>
      <c r="Q180" s="220">
        <f t="shared" si="219"/>
        <v>2150</v>
      </c>
      <c r="R180" s="220">
        <f t="shared" si="219"/>
        <v>2150</v>
      </c>
      <c r="S180" s="220">
        <f t="shared" si="219"/>
        <v>2150</v>
      </c>
      <c r="T180" s="220">
        <f t="shared" si="219"/>
        <v>2000</v>
      </c>
      <c r="U180" s="220">
        <f t="shared" si="220"/>
        <v>418</v>
      </c>
      <c r="V180" s="220">
        <f t="shared" si="220"/>
        <v>261</v>
      </c>
      <c r="W180" s="220">
        <f t="shared" si="220"/>
        <v>-2</v>
      </c>
      <c r="X180" s="220">
        <f t="shared" si="220"/>
        <v>149</v>
      </c>
      <c r="Y180" s="220">
        <f t="shared" si="220"/>
        <v>356</v>
      </c>
      <c r="Z180" s="220">
        <v>0</v>
      </c>
      <c r="AA180" s="220">
        <v>0</v>
      </c>
      <c r="AB180" s="220">
        <v>0</v>
      </c>
      <c r="AC180" s="220">
        <v>1</v>
      </c>
      <c r="AD180" s="220">
        <v>0</v>
      </c>
      <c r="AE180" s="220">
        <f t="shared" si="221"/>
        <v>-231</v>
      </c>
      <c r="AF180" s="220">
        <f t="shared" si="221"/>
        <v>-341</v>
      </c>
      <c r="AG180" s="220">
        <f t="shared" si="221"/>
        <v>-569</v>
      </c>
      <c r="AH180" s="220">
        <f t="shared" si="221"/>
        <v>-333</v>
      </c>
      <c r="AI180" s="220">
        <f t="shared" si="221"/>
        <v>-203</v>
      </c>
      <c r="AJ180" s="50">
        <f t="shared" si="182"/>
        <v>1.1980000000000097</v>
      </c>
      <c r="AK180" s="257"/>
      <c r="AL180" s="257">
        <f t="shared" si="183"/>
        <v>1.2</v>
      </c>
      <c r="AM180" s="52"/>
      <c r="AN180" s="88"/>
    </row>
    <row r="181" spans="1:40" s="29" customFormat="1" ht="17.25" customHeight="1">
      <c r="A181" s="48">
        <v>171</v>
      </c>
      <c r="B181" s="49">
        <f t="shared" si="175"/>
        <v>45755</v>
      </c>
      <c r="C181" s="220">
        <f t="shared" si="176"/>
        <v>1049</v>
      </c>
      <c r="D181" s="220">
        <f t="shared" ref="D181" si="229">D180-26</f>
        <v>2076</v>
      </c>
      <c r="E181" s="220">
        <f t="shared" si="178"/>
        <v>3125</v>
      </c>
      <c r="F181" s="220">
        <f t="shared" si="170"/>
        <v>708</v>
      </c>
      <c r="G181" s="220">
        <f t="shared" si="171"/>
        <v>717</v>
      </c>
      <c r="H181" s="220">
        <f t="shared" si="172"/>
        <v>979</v>
      </c>
      <c r="I181" s="220">
        <f t="shared" si="173"/>
        <v>828</v>
      </c>
      <c r="J181" s="220">
        <f t="shared" si="174"/>
        <v>769</v>
      </c>
      <c r="K181" s="220">
        <f t="shared" si="210"/>
        <v>2417</v>
      </c>
      <c r="L181" s="220">
        <f t="shared" si="210"/>
        <v>2408</v>
      </c>
      <c r="M181" s="220">
        <f t="shared" si="210"/>
        <v>2146</v>
      </c>
      <c r="N181" s="220">
        <f t="shared" si="210"/>
        <v>2297</v>
      </c>
      <c r="O181" s="220">
        <f t="shared" si="210"/>
        <v>2356</v>
      </c>
      <c r="P181" s="220">
        <f t="shared" si="219"/>
        <v>2000</v>
      </c>
      <c r="Q181" s="220">
        <f t="shared" si="219"/>
        <v>2150</v>
      </c>
      <c r="R181" s="220">
        <f t="shared" si="219"/>
        <v>2150</v>
      </c>
      <c r="S181" s="220">
        <f t="shared" si="219"/>
        <v>2150</v>
      </c>
      <c r="T181" s="220">
        <f t="shared" si="219"/>
        <v>2000</v>
      </c>
      <c r="U181" s="220">
        <f t="shared" si="220"/>
        <v>417</v>
      </c>
      <c r="V181" s="220">
        <f t="shared" si="220"/>
        <v>258</v>
      </c>
      <c r="W181" s="220">
        <f t="shared" si="220"/>
        <v>-4</v>
      </c>
      <c r="X181" s="220">
        <f t="shared" si="220"/>
        <v>147</v>
      </c>
      <c r="Y181" s="220">
        <f t="shared" si="220"/>
        <v>356</v>
      </c>
      <c r="Z181" s="220">
        <v>1</v>
      </c>
      <c r="AA181" s="220">
        <v>3</v>
      </c>
      <c r="AB181" s="220">
        <v>2</v>
      </c>
      <c r="AC181" s="220">
        <v>2</v>
      </c>
      <c r="AD181" s="220">
        <v>0</v>
      </c>
      <c r="AE181" s="220">
        <f t="shared" si="221"/>
        <v>-232</v>
      </c>
      <c r="AF181" s="220">
        <f t="shared" si="221"/>
        <v>-344</v>
      </c>
      <c r="AG181" s="220">
        <f t="shared" si="221"/>
        <v>-571</v>
      </c>
      <c r="AH181" s="220">
        <f t="shared" si="221"/>
        <v>-335</v>
      </c>
      <c r="AI181" s="220">
        <f t="shared" si="221"/>
        <v>-203</v>
      </c>
      <c r="AJ181" s="50">
        <f t="shared" si="182"/>
        <v>1.1960000000000097</v>
      </c>
      <c r="AK181" s="257"/>
      <c r="AL181" s="257">
        <f t="shared" si="183"/>
        <v>1.2</v>
      </c>
      <c r="AM181" s="52"/>
      <c r="AN181" s="88"/>
    </row>
    <row r="182" spans="1:40" s="29" customFormat="1" ht="17.25" customHeight="1">
      <c r="A182" s="48">
        <v>172</v>
      </c>
      <c r="B182" s="49">
        <f t="shared" si="175"/>
        <v>45756</v>
      </c>
      <c r="C182" s="220">
        <f t="shared" si="176"/>
        <v>1049</v>
      </c>
      <c r="D182" s="220">
        <f t="shared" ref="D182" si="230">D181+15</f>
        <v>2091</v>
      </c>
      <c r="E182" s="220">
        <f t="shared" si="178"/>
        <v>3140</v>
      </c>
      <c r="F182" s="220">
        <f t="shared" si="170"/>
        <v>724</v>
      </c>
      <c r="G182" s="220">
        <f t="shared" si="171"/>
        <v>732</v>
      </c>
      <c r="H182" s="220">
        <f t="shared" si="172"/>
        <v>996</v>
      </c>
      <c r="I182" s="220">
        <f t="shared" si="173"/>
        <v>845</v>
      </c>
      <c r="J182" s="220">
        <f t="shared" si="174"/>
        <v>785</v>
      </c>
      <c r="K182" s="220">
        <f t="shared" si="210"/>
        <v>2416</v>
      </c>
      <c r="L182" s="220">
        <f t="shared" si="210"/>
        <v>2408</v>
      </c>
      <c r="M182" s="220">
        <f t="shared" si="210"/>
        <v>2144</v>
      </c>
      <c r="N182" s="220">
        <f t="shared" si="210"/>
        <v>2295</v>
      </c>
      <c r="O182" s="220">
        <f t="shared" si="210"/>
        <v>2355</v>
      </c>
      <c r="P182" s="220">
        <f t="shared" si="219"/>
        <v>2000</v>
      </c>
      <c r="Q182" s="220">
        <f t="shared" si="219"/>
        <v>2150</v>
      </c>
      <c r="R182" s="220">
        <f t="shared" si="219"/>
        <v>2150</v>
      </c>
      <c r="S182" s="220">
        <f t="shared" si="219"/>
        <v>2150</v>
      </c>
      <c r="T182" s="220">
        <f t="shared" si="219"/>
        <v>2000</v>
      </c>
      <c r="U182" s="220">
        <f t="shared" si="220"/>
        <v>416</v>
      </c>
      <c r="V182" s="220">
        <f t="shared" si="220"/>
        <v>258</v>
      </c>
      <c r="W182" s="220">
        <f t="shared" si="220"/>
        <v>-6</v>
      </c>
      <c r="X182" s="220">
        <f t="shared" si="220"/>
        <v>145</v>
      </c>
      <c r="Y182" s="220">
        <f t="shared" si="220"/>
        <v>355</v>
      </c>
      <c r="Z182" s="220">
        <v>1</v>
      </c>
      <c r="AA182" s="220">
        <v>0</v>
      </c>
      <c r="AB182" s="220">
        <v>2</v>
      </c>
      <c r="AC182" s="220">
        <v>2</v>
      </c>
      <c r="AD182" s="220">
        <v>1</v>
      </c>
      <c r="AE182" s="220">
        <f t="shared" si="221"/>
        <v>-233</v>
      </c>
      <c r="AF182" s="220">
        <f t="shared" si="221"/>
        <v>-344</v>
      </c>
      <c r="AG182" s="220">
        <f t="shared" si="221"/>
        <v>-573</v>
      </c>
      <c r="AH182" s="220">
        <f t="shared" si="221"/>
        <v>-337</v>
      </c>
      <c r="AI182" s="220">
        <f t="shared" si="221"/>
        <v>-204</v>
      </c>
      <c r="AJ182" s="50">
        <f t="shared" si="182"/>
        <v>1.1940000000000097</v>
      </c>
      <c r="AK182" s="257"/>
      <c r="AL182" s="257">
        <f t="shared" si="183"/>
        <v>1.2</v>
      </c>
      <c r="AM182" s="52"/>
      <c r="AN182" s="88"/>
    </row>
    <row r="183" spans="1:40" s="261" customFormat="1" ht="17.25" customHeight="1">
      <c r="A183" s="76">
        <v>182</v>
      </c>
      <c r="B183" s="77">
        <f t="shared" si="175"/>
        <v>45757</v>
      </c>
      <c r="C183" s="213">
        <v>1069</v>
      </c>
      <c r="D183" s="213">
        <v>2135</v>
      </c>
      <c r="E183" s="213">
        <v>3204</v>
      </c>
      <c r="F183" s="213">
        <v>792</v>
      </c>
      <c r="G183" s="213">
        <v>994</v>
      </c>
      <c r="H183" s="213">
        <v>986</v>
      </c>
      <c r="I183" s="213">
        <v>1018</v>
      </c>
      <c r="J183" s="213">
        <v>852</v>
      </c>
      <c r="K183" s="213">
        <v>2412</v>
      </c>
      <c r="L183" s="213">
        <v>2210</v>
      </c>
      <c r="M183" s="213">
        <v>2218</v>
      </c>
      <c r="N183" s="213">
        <v>2186</v>
      </c>
      <c r="O183" s="213">
        <v>2352</v>
      </c>
      <c r="P183" s="213">
        <v>2000</v>
      </c>
      <c r="Q183" s="213">
        <v>2000</v>
      </c>
      <c r="R183" s="213">
        <v>2000</v>
      </c>
      <c r="S183" s="213">
        <v>2000</v>
      </c>
      <c r="T183" s="213">
        <v>2000</v>
      </c>
      <c r="U183" s="213">
        <v>412</v>
      </c>
      <c r="V183" s="213">
        <v>210</v>
      </c>
      <c r="W183" s="213">
        <v>218</v>
      </c>
      <c r="X183" s="213">
        <v>186</v>
      </c>
      <c r="Y183" s="213">
        <v>352</v>
      </c>
      <c r="Z183" s="213">
        <v>0</v>
      </c>
      <c r="AA183" s="213">
        <v>9</v>
      </c>
      <c r="AB183" s="213">
        <v>9</v>
      </c>
      <c r="AC183" s="213">
        <v>9</v>
      </c>
      <c r="AD183" s="213">
        <v>0</v>
      </c>
      <c r="AE183" s="213">
        <v>-237</v>
      </c>
      <c r="AF183" s="213">
        <f t="shared" ref="AF183:AF216" si="231">AF182-AA183</f>
        <v>-353</v>
      </c>
      <c r="AG183" s="213">
        <f t="shared" ref="AG183:AG216" si="232">AG182-AB183</f>
        <v>-582</v>
      </c>
      <c r="AH183" s="213">
        <f t="shared" ref="AH183:AH216" si="233">AH182-AC183</f>
        <v>-346</v>
      </c>
      <c r="AI183" s="213">
        <f t="shared" ref="AI183:AI216" si="234">AI182-AD183</f>
        <v>-204</v>
      </c>
      <c r="AJ183" s="78">
        <f t="shared" ref="AJ183:AJ216" si="235">AJ182-AB183/1000+AK183</f>
        <v>1.1850000000000098</v>
      </c>
      <c r="AK183" s="259"/>
      <c r="AL183" s="259">
        <v>1.2</v>
      </c>
      <c r="AM183" s="81"/>
      <c r="AN183" s="260"/>
    </row>
    <row r="184" spans="1:40" s="29" customFormat="1" ht="17.25" customHeight="1">
      <c r="A184" s="48">
        <v>174</v>
      </c>
      <c r="B184" s="49">
        <f t="shared" si="175"/>
        <v>45758</v>
      </c>
      <c r="C184" s="220">
        <f t="shared" si="176"/>
        <v>1069</v>
      </c>
      <c r="D184" s="220">
        <f t="shared" si="224"/>
        <v>2109</v>
      </c>
      <c r="E184" s="220">
        <f t="shared" si="178"/>
        <v>3178</v>
      </c>
      <c r="F184" s="220">
        <f t="shared" si="170"/>
        <v>767</v>
      </c>
      <c r="G184" s="220">
        <f t="shared" si="171"/>
        <v>976</v>
      </c>
      <c r="H184" s="220">
        <f t="shared" si="172"/>
        <v>969</v>
      </c>
      <c r="I184" s="220">
        <f t="shared" si="173"/>
        <v>1001</v>
      </c>
      <c r="J184" s="220">
        <f t="shared" si="174"/>
        <v>826</v>
      </c>
      <c r="K184" s="220">
        <f t="shared" si="210"/>
        <v>2411</v>
      </c>
      <c r="L184" s="220">
        <f t="shared" si="210"/>
        <v>2202</v>
      </c>
      <c r="M184" s="220">
        <f t="shared" si="210"/>
        <v>2209</v>
      </c>
      <c r="N184" s="220">
        <f t="shared" si="210"/>
        <v>2177</v>
      </c>
      <c r="O184" s="220">
        <f t="shared" si="210"/>
        <v>2352</v>
      </c>
      <c r="P184" s="220">
        <f t="shared" si="219"/>
        <v>2000</v>
      </c>
      <c r="Q184" s="220">
        <f t="shared" si="219"/>
        <v>2000</v>
      </c>
      <c r="R184" s="220">
        <f t="shared" si="219"/>
        <v>2000</v>
      </c>
      <c r="S184" s="220">
        <f t="shared" si="219"/>
        <v>2000</v>
      </c>
      <c r="T184" s="220">
        <f t="shared" si="219"/>
        <v>2000</v>
      </c>
      <c r="U184" s="220">
        <f t="shared" si="220"/>
        <v>411</v>
      </c>
      <c r="V184" s="220">
        <f t="shared" si="220"/>
        <v>202</v>
      </c>
      <c r="W184" s="220">
        <f t="shared" si="220"/>
        <v>209</v>
      </c>
      <c r="X184" s="220">
        <f t="shared" si="220"/>
        <v>177</v>
      </c>
      <c r="Y184" s="220">
        <f t="shared" si="220"/>
        <v>352</v>
      </c>
      <c r="Z184" s="220">
        <v>1</v>
      </c>
      <c r="AA184" s="220">
        <v>8</v>
      </c>
      <c r="AB184" s="220">
        <v>9</v>
      </c>
      <c r="AC184" s="220">
        <v>9</v>
      </c>
      <c r="AD184" s="220">
        <v>0</v>
      </c>
      <c r="AE184" s="220">
        <f t="shared" si="221"/>
        <v>-238</v>
      </c>
      <c r="AF184" s="220">
        <f t="shared" si="231"/>
        <v>-361</v>
      </c>
      <c r="AG184" s="220">
        <f t="shared" si="232"/>
        <v>-591</v>
      </c>
      <c r="AH184" s="220">
        <f t="shared" si="233"/>
        <v>-355</v>
      </c>
      <c r="AI184" s="220">
        <f t="shared" si="234"/>
        <v>-204</v>
      </c>
      <c r="AJ184" s="50">
        <f t="shared" si="235"/>
        <v>1.1760000000000099</v>
      </c>
      <c r="AK184" s="257"/>
      <c r="AL184" s="257">
        <f t="shared" si="183"/>
        <v>1.2</v>
      </c>
      <c r="AM184" s="52"/>
      <c r="AN184" s="88"/>
    </row>
    <row r="185" spans="1:40" s="29" customFormat="1" ht="17.25" customHeight="1">
      <c r="A185" s="48">
        <v>175</v>
      </c>
      <c r="B185" s="49">
        <f t="shared" si="175"/>
        <v>45759</v>
      </c>
      <c r="C185" s="220">
        <f t="shared" si="176"/>
        <v>1069</v>
      </c>
      <c r="D185" s="220">
        <f t="shared" si="225"/>
        <v>2124</v>
      </c>
      <c r="E185" s="220">
        <f t="shared" si="178"/>
        <v>3193</v>
      </c>
      <c r="F185" s="220">
        <f t="shared" si="170"/>
        <v>783</v>
      </c>
      <c r="G185" s="220">
        <f t="shared" si="171"/>
        <v>1000</v>
      </c>
      <c r="H185" s="220">
        <f t="shared" si="172"/>
        <v>993</v>
      </c>
      <c r="I185" s="220">
        <f t="shared" si="173"/>
        <v>1025</v>
      </c>
      <c r="J185" s="220">
        <f t="shared" si="174"/>
        <v>841</v>
      </c>
      <c r="K185" s="220">
        <f t="shared" si="210"/>
        <v>2410</v>
      </c>
      <c r="L185" s="220">
        <f t="shared" si="210"/>
        <v>2193</v>
      </c>
      <c r="M185" s="220">
        <f t="shared" si="210"/>
        <v>2200</v>
      </c>
      <c r="N185" s="220">
        <f t="shared" si="210"/>
        <v>2168</v>
      </c>
      <c r="O185" s="220">
        <f t="shared" si="210"/>
        <v>2352</v>
      </c>
      <c r="P185" s="220">
        <f t="shared" si="219"/>
        <v>2000</v>
      </c>
      <c r="Q185" s="220">
        <f t="shared" si="219"/>
        <v>2000</v>
      </c>
      <c r="R185" s="220">
        <f t="shared" si="219"/>
        <v>2000</v>
      </c>
      <c r="S185" s="220">
        <f t="shared" si="219"/>
        <v>2000</v>
      </c>
      <c r="T185" s="220">
        <f t="shared" si="219"/>
        <v>2000</v>
      </c>
      <c r="U185" s="220">
        <f t="shared" si="220"/>
        <v>410</v>
      </c>
      <c r="V185" s="220">
        <f t="shared" si="220"/>
        <v>193</v>
      </c>
      <c r="W185" s="220">
        <f t="shared" si="220"/>
        <v>200</v>
      </c>
      <c r="X185" s="220">
        <f t="shared" si="220"/>
        <v>168</v>
      </c>
      <c r="Y185" s="220">
        <f t="shared" si="220"/>
        <v>352</v>
      </c>
      <c r="Z185" s="220">
        <v>1</v>
      </c>
      <c r="AA185" s="220">
        <v>9</v>
      </c>
      <c r="AB185" s="220">
        <v>9</v>
      </c>
      <c r="AC185" s="220">
        <v>9</v>
      </c>
      <c r="AD185" s="220">
        <v>0</v>
      </c>
      <c r="AE185" s="220">
        <f t="shared" si="221"/>
        <v>-239</v>
      </c>
      <c r="AF185" s="220">
        <f t="shared" si="231"/>
        <v>-370</v>
      </c>
      <c r="AG185" s="220">
        <f t="shared" si="232"/>
        <v>-600</v>
      </c>
      <c r="AH185" s="220">
        <f t="shared" si="233"/>
        <v>-364</v>
      </c>
      <c r="AI185" s="220">
        <f t="shared" si="234"/>
        <v>-204</v>
      </c>
      <c r="AJ185" s="50">
        <f t="shared" si="235"/>
        <v>1.16700000000001</v>
      </c>
      <c r="AK185" s="257"/>
      <c r="AL185" s="257">
        <f t="shared" si="183"/>
        <v>1.2</v>
      </c>
      <c r="AM185" s="52"/>
      <c r="AN185" s="88"/>
    </row>
    <row r="186" spans="1:40" s="29" customFormat="1" ht="17.25" customHeight="1">
      <c r="A186" s="48">
        <v>176</v>
      </c>
      <c r="B186" s="49">
        <f t="shared" si="175"/>
        <v>45760</v>
      </c>
      <c r="C186" s="220">
        <f t="shared" si="176"/>
        <v>1069</v>
      </c>
      <c r="D186" s="220">
        <f t="shared" ref="D186:D210" si="236">D185+26</f>
        <v>2150</v>
      </c>
      <c r="E186" s="220">
        <f t="shared" si="178"/>
        <v>3219</v>
      </c>
      <c r="F186" s="220">
        <f t="shared" si="170"/>
        <v>809</v>
      </c>
      <c r="G186" s="220">
        <f t="shared" si="171"/>
        <v>1035</v>
      </c>
      <c r="H186" s="220">
        <f t="shared" si="172"/>
        <v>1028</v>
      </c>
      <c r="I186" s="220">
        <f t="shared" si="173"/>
        <v>1060</v>
      </c>
      <c r="J186" s="220">
        <f t="shared" si="174"/>
        <v>867</v>
      </c>
      <c r="K186" s="220">
        <f t="shared" si="210"/>
        <v>2410</v>
      </c>
      <c r="L186" s="220">
        <f t="shared" si="210"/>
        <v>2184</v>
      </c>
      <c r="M186" s="220">
        <f t="shared" si="210"/>
        <v>2191</v>
      </c>
      <c r="N186" s="220">
        <f t="shared" si="210"/>
        <v>2159</v>
      </c>
      <c r="O186" s="220">
        <f t="shared" si="210"/>
        <v>2352</v>
      </c>
      <c r="P186" s="220">
        <f t="shared" si="219"/>
        <v>2000</v>
      </c>
      <c r="Q186" s="220">
        <f t="shared" si="219"/>
        <v>2000</v>
      </c>
      <c r="R186" s="220">
        <f t="shared" si="219"/>
        <v>2000</v>
      </c>
      <c r="S186" s="220">
        <f t="shared" si="219"/>
        <v>2000</v>
      </c>
      <c r="T186" s="220">
        <f t="shared" si="219"/>
        <v>2000</v>
      </c>
      <c r="U186" s="220">
        <f t="shared" si="220"/>
        <v>410</v>
      </c>
      <c r="V186" s="220">
        <f t="shared" si="220"/>
        <v>184</v>
      </c>
      <c r="W186" s="220">
        <f t="shared" si="220"/>
        <v>191</v>
      </c>
      <c r="X186" s="220">
        <f t="shared" si="220"/>
        <v>159</v>
      </c>
      <c r="Y186" s="220">
        <f t="shared" si="220"/>
        <v>352</v>
      </c>
      <c r="Z186" s="220">
        <v>0</v>
      </c>
      <c r="AA186" s="220">
        <v>9</v>
      </c>
      <c r="AB186" s="220">
        <v>9</v>
      </c>
      <c r="AC186" s="220">
        <v>9</v>
      </c>
      <c r="AD186" s="220">
        <v>0</v>
      </c>
      <c r="AE186" s="220">
        <f t="shared" si="221"/>
        <v>-239</v>
      </c>
      <c r="AF186" s="220">
        <f t="shared" si="231"/>
        <v>-379</v>
      </c>
      <c r="AG186" s="220">
        <f t="shared" si="232"/>
        <v>-609</v>
      </c>
      <c r="AH186" s="220">
        <f t="shared" si="233"/>
        <v>-373</v>
      </c>
      <c r="AI186" s="220">
        <f t="shared" si="234"/>
        <v>-204</v>
      </c>
      <c r="AJ186" s="50">
        <f t="shared" si="235"/>
        <v>1.1580000000000101</v>
      </c>
      <c r="AK186" s="257"/>
      <c r="AL186" s="257">
        <f t="shared" si="183"/>
        <v>1.2</v>
      </c>
      <c r="AM186" s="52"/>
      <c r="AN186" s="88"/>
    </row>
    <row r="187" spans="1:40" s="29" customFormat="1" ht="17.25" customHeight="1">
      <c r="A187" s="48">
        <v>177</v>
      </c>
      <c r="B187" s="49">
        <f t="shared" si="175"/>
        <v>45761</v>
      </c>
      <c r="C187" s="220">
        <f t="shared" si="176"/>
        <v>1069</v>
      </c>
      <c r="D187" s="220">
        <f t="shared" ref="D187:D211" si="237">D186+32</f>
        <v>2182</v>
      </c>
      <c r="E187" s="220">
        <f t="shared" si="178"/>
        <v>3251</v>
      </c>
      <c r="F187" s="220">
        <f t="shared" si="170"/>
        <v>842</v>
      </c>
      <c r="G187" s="220">
        <f t="shared" si="171"/>
        <v>1075</v>
      </c>
      <c r="H187" s="220">
        <f t="shared" si="172"/>
        <v>1068</v>
      </c>
      <c r="I187" s="220">
        <f t="shared" si="173"/>
        <v>1100</v>
      </c>
      <c r="J187" s="220">
        <f t="shared" si="174"/>
        <v>899</v>
      </c>
      <c r="K187" s="220">
        <f t="shared" si="210"/>
        <v>2409</v>
      </c>
      <c r="L187" s="220">
        <f t="shared" si="210"/>
        <v>2176</v>
      </c>
      <c r="M187" s="220">
        <f t="shared" si="210"/>
        <v>2183</v>
      </c>
      <c r="N187" s="220">
        <f t="shared" si="210"/>
        <v>2151</v>
      </c>
      <c r="O187" s="220">
        <f t="shared" si="210"/>
        <v>2352</v>
      </c>
      <c r="P187" s="220">
        <f t="shared" si="219"/>
        <v>2000</v>
      </c>
      <c r="Q187" s="220">
        <f t="shared" si="219"/>
        <v>2000</v>
      </c>
      <c r="R187" s="220">
        <f t="shared" si="219"/>
        <v>2000</v>
      </c>
      <c r="S187" s="220">
        <f t="shared" si="219"/>
        <v>2000</v>
      </c>
      <c r="T187" s="220">
        <f t="shared" si="219"/>
        <v>2000</v>
      </c>
      <c r="U187" s="220">
        <f t="shared" si="220"/>
        <v>409</v>
      </c>
      <c r="V187" s="220">
        <f t="shared" si="220"/>
        <v>176</v>
      </c>
      <c r="W187" s="220">
        <f t="shared" si="220"/>
        <v>183</v>
      </c>
      <c r="X187" s="220">
        <f t="shared" si="220"/>
        <v>151</v>
      </c>
      <c r="Y187" s="220">
        <f t="shared" si="220"/>
        <v>352</v>
      </c>
      <c r="Z187" s="220">
        <v>1</v>
      </c>
      <c r="AA187" s="220">
        <v>8</v>
      </c>
      <c r="AB187" s="220">
        <v>8</v>
      </c>
      <c r="AC187" s="220">
        <v>8</v>
      </c>
      <c r="AD187" s="220">
        <v>0</v>
      </c>
      <c r="AE187" s="220">
        <f t="shared" si="221"/>
        <v>-240</v>
      </c>
      <c r="AF187" s="220">
        <f t="shared" si="231"/>
        <v>-387</v>
      </c>
      <c r="AG187" s="220">
        <f t="shared" si="232"/>
        <v>-617</v>
      </c>
      <c r="AH187" s="220">
        <f t="shared" si="233"/>
        <v>-381</v>
      </c>
      <c r="AI187" s="220">
        <f t="shared" si="234"/>
        <v>-204</v>
      </c>
      <c r="AJ187" s="50">
        <f t="shared" si="235"/>
        <v>1.1500000000000101</v>
      </c>
      <c r="AK187" s="257"/>
      <c r="AL187" s="257">
        <f t="shared" si="183"/>
        <v>1.2</v>
      </c>
      <c r="AM187" s="52"/>
      <c r="AN187" s="88"/>
    </row>
    <row r="188" spans="1:40" s="29" customFormat="1" ht="17.25" customHeight="1">
      <c r="A188" s="48">
        <v>178</v>
      </c>
      <c r="B188" s="49">
        <f t="shared" si="175"/>
        <v>45762</v>
      </c>
      <c r="C188" s="220">
        <f t="shared" si="176"/>
        <v>1069</v>
      </c>
      <c r="D188" s="220">
        <f t="shared" ref="D188:D212" si="238">D187-18</f>
        <v>2164</v>
      </c>
      <c r="E188" s="220">
        <f t="shared" si="178"/>
        <v>3233</v>
      </c>
      <c r="F188" s="220">
        <f t="shared" si="170"/>
        <v>824</v>
      </c>
      <c r="G188" s="220">
        <f t="shared" si="171"/>
        <v>1066</v>
      </c>
      <c r="H188" s="220">
        <f t="shared" si="172"/>
        <v>1059</v>
      </c>
      <c r="I188" s="220">
        <f t="shared" si="173"/>
        <v>1091</v>
      </c>
      <c r="J188" s="220">
        <f t="shared" si="174"/>
        <v>882</v>
      </c>
      <c r="K188" s="220">
        <f t="shared" si="210"/>
        <v>2409</v>
      </c>
      <c r="L188" s="220">
        <f t="shared" si="210"/>
        <v>2167</v>
      </c>
      <c r="M188" s="220">
        <f t="shared" si="210"/>
        <v>2174</v>
      </c>
      <c r="N188" s="220">
        <f t="shared" si="210"/>
        <v>2142</v>
      </c>
      <c r="O188" s="220">
        <f t="shared" si="210"/>
        <v>2351</v>
      </c>
      <c r="P188" s="220">
        <f t="shared" si="219"/>
        <v>2000</v>
      </c>
      <c r="Q188" s="220">
        <f t="shared" si="219"/>
        <v>2000</v>
      </c>
      <c r="R188" s="220">
        <f t="shared" si="219"/>
        <v>2000</v>
      </c>
      <c r="S188" s="220">
        <f t="shared" si="219"/>
        <v>2000</v>
      </c>
      <c r="T188" s="220">
        <f t="shared" si="219"/>
        <v>2000</v>
      </c>
      <c r="U188" s="220">
        <f t="shared" si="220"/>
        <v>409</v>
      </c>
      <c r="V188" s="220">
        <f t="shared" si="220"/>
        <v>167</v>
      </c>
      <c r="W188" s="220">
        <f t="shared" si="220"/>
        <v>174</v>
      </c>
      <c r="X188" s="220">
        <f t="shared" si="220"/>
        <v>142</v>
      </c>
      <c r="Y188" s="220">
        <f t="shared" si="220"/>
        <v>351</v>
      </c>
      <c r="Z188" s="220">
        <v>0</v>
      </c>
      <c r="AA188" s="220">
        <v>9</v>
      </c>
      <c r="AB188" s="220">
        <v>9</v>
      </c>
      <c r="AC188" s="220">
        <v>9</v>
      </c>
      <c r="AD188" s="220">
        <v>1</v>
      </c>
      <c r="AE188" s="220">
        <f t="shared" si="221"/>
        <v>-240</v>
      </c>
      <c r="AF188" s="220">
        <f t="shared" si="231"/>
        <v>-396</v>
      </c>
      <c r="AG188" s="220">
        <f t="shared" si="232"/>
        <v>-626</v>
      </c>
      <c r="AH188" s="220">
        <f t="shared" si="233"/>
        <v>-390</v>
      </c>
      <c r="AI188" s="220">
        <f t="shared" si="234"/>
        <v>-205</v>
      </c>
      <c r="AJ188" s="50">
        <f t="shared" si="235"/>
        <v>1.1410000000000102</v>
      </c>
      <c r="AK188" s="257"/>
      <c r="AL188" s="257">
        <f t="shared" si="183"/>
        <v>1.2</v>
      </c>
      <c r="AM188" s="52"/>
      <c r="AN188" s="88"/>
    </row>
    <row r="189" spans="1:40" s="29" customFormat="1" ht="17.25" customHeight="1">
      <c r="A189" s="48">
        <v>179</v>
      </c>
      <c r="B189" s="49">
        <f t="shared" si="175"/>
        <v>45763</v>
      </c>
      <c r="C189" s="220">
        <f t="shared" si="176"/>
        <v>1069</v>
      </c>
      <c r="D189" s="220">
        <f t="shared" ref="D189:D213" si="239">D188-26</f>
        <v>2138</v>
      </c>
      <c r="E189" s="220">
        <f t="shared" si="178"/>
        <v>3207</v>
      </c>
      <c r="F189" s="220">
        <f t="shared" si="170"/>
        <v>798</v>
      </c>
      <c r="G189" s="220">
        <f t="shared" si="171"/>
        <v>1048</v>
      </c>
      <c r="H189" s="220">
        <f t="shared" si="172"/>
        <v>1041</v>
      </c>
      <c r="I189" s="220">
        <f t="shared" si="173"/>
        <v>1073</v>
      </c>
      <c r="J189" s="220">
        <f t="shared" si="174"/>
        <v>856</v>
      </c>
      <c r="K189" s="220">
        <f t="shared" si="210"/>
        <v>2409</v>
      </c>
      <c r="L189" s="220">
        <f t="shared" si="210"/>
        <v>2159</v>
      </c>
      <c r="M189" s="220">
        <f t="shared" si="210"/>
        <v>2166</v>
      </c>
      <c r="N189" s="220">
        <f t="shared" si="210"/>
        <v>2134</v>
      </c>
      <c r="O189" s="220">
        <f t="shared" si="210"/>
        <v>2351</v>
      </c>
      <c r="P189" s="220">
        <f t="shared" ref="P189:T204" si="240">+P188</f>
        <v>2000</v>
      </c>
      <c r="Q189" s="220">
        <f t="shared" si="240"/>
        <v>2000</v>
      </c>
      <c r="R189" s="220">
        <f t="shared" si="240"/>
        <v>2000</v>
      </c>
      <c r="S189" s="220">
        <f t="shared" si="240"/>
        <v>2000</v>
      </c>
      <c r="T189" s="220">
        <f t="shared" si="240"/>
        <v>2000</v>
      </c>
      <c r="U189" s="220">
        <f t="shared" ref="U189:Y204" si="241">U188-Z189</f>
        <v>409</v>
      </c>
      <c r="V189" s="220">
        <f t="shared" si="241"/>
        <v>159</v>
      </c>
      <c r="W189" s="220">
        <f t="shared" si="241"/>
        <v>166</v>
      </c>
      <c r="X189" s="220">
        <f t="shared" si="241"/>
        <v>134</v>
      </c>
      <c r="Y189" s="220">
        <f t="shared" si="241"/>
        <v>351</v>
      </c>
      <c r="Z189" s="220">
        <v>0</v>
      </c>
      <c r="AA189" s="220">
        <v>8</v>
      </c>
      <c r="AB189" s="220">
        <v>8</v>
      </c>
      <c r="AC189" s="220">
        <v>8</v>
      </c>
      <c r="AD189" s="220">
        <v>0</v>
      </c>
      <c r="AE189" s="220">
        <f t="shared" ref="AE189:AE204" si="242">AE188-Z189</f>
        <v>-240</v>
      </c>
      <c r="AF189" s="220">
        <f t="shared" si="231"/>
        <v>-404</v>
      </c>
      <c r="AG189" s="220">
        <f t="shared" si="232"/>
        <v>-634</v>
      </c>
      <c r="AH189" s="220">
        <f t="shared" si="233"/>
        <v>-398</v>
      </c>
      <c r="AI189" s="220">
        <f t="shared" si="234"/>
        <v>-205</v>
      </c>
      <c r="AJ189" s="50">
        <f t="shared" si="235"/>
        <v>1.1330000000000102</v>
      </c>
      <c r="AK189" s="257"/>
      <c r="AL189" s="257">
        <f t="shared" si="183"/>
        <v>1.2</v>
      </c>
      <c r="AM189" s="52"/>
      <c r="AN189" s="88"/>
    </row>
    <row r="190" spans="1:40" s="29" customFormat="1" ht="17.25" customHeight="1">
      <c r="A190" s="48">
        <v>180</v>
      </c>
      <c r="B190" s="49">
        <f t="shared" si="175"/>
        <v>45764</v>
      </c>
      <c r="C190" s="220">
        <f t="shared" si="176"/>
        <v>1069</v>
      </c>
      <c r="D190" s="220">
        <f t="shared" ref="D190:D214" si="243">D189+15</f>
        <v>2153</v>
      </c>
      <c r="E190" s="220">
        <f t="shared" si="178"/>
        <v>3222</v>
      </c>
      <c r="F190" s="220">
        <f t="shared" si="170"/>
        <v>814</v>
      </c>
      <c r="G190" s="220">
        <f t="shared" si="171"/>
        <v>1071</v>
      </c>
      <c r="H190" s="220">
        <f t="shared" si="172"/>
        <v>1065</v>
      </c>
      <c r="I190" s="220">
        <f t="shared" si="173"/>
        <v>1096</v>
      </c>
      <c r="J190" s="220">
        <f t="shared" si="174"/>
        <v>873</v>
      </c>
      <c r="K190" s="220">
        <f t="shared" si="210"/>
        <v>2408</v>
      </c>
      <c r="L190" s="220">
        <f t="shared" si="210"/>
        <v>2151</v>
      </c>
      <c r="M190" s="220">
        <f t="shared" si="210"/>
        <v>2157</v>
      </c>
      <c r="N190" s="220">
        <f t="shared" si="210"/>
        <v>2126</v>
      </c>
      <c r="O190" s="220">
        <f t="shared" si="210"/>
        <v>2349</v>
      </c>
      <c r="P190" s="220">
        <f t="shared" si="240"/>
        <v>2000</v>
      </c>
      <c r="Q190" s="220">
        <f t="shared" si="240"/>
        <v>2000</v>
      </c>
      <c r="R190" s="220">
        <f t="shared" si="240"/>
        <v>2000</v>
      </c>
      <c r="S190" s="220">
        <f t="shared" si="240"/>
        <v>2000</v>
      </c>
      <c r="T190" s="220">
        <f t="shared" si="240"/>
        <v>2000</v>
      </c>
      <c r="U190" s="220">
        <f t="shared" si="241"/>
        <v>408</v>
      </c>
      <c r="V190" s="220">
        <f t="shared" si="241"/>
        <v>151</v>
      </c>
      <c r="W190" s="220">
        <f t="shared" si="241"/>
        <v>157</v>
      </c>
      <c r="X190" s="220">
        <f t="shared" si="241"/>
        <v>126</v>
      </c>
      <c r="Y190" s="220">
        <f t="shared" si="241"/>
        <v>349</v>
      </c>
      <c r="Z190" s="220">
        <v>1</v>
      </c>
      <c r="AA190" s="220">
        <v>8</v>
      </c>
      <c r="AB190" s="220">
        <v>9</v>
      </c>
      <c r="AC190" s="220">
        <v>8</v>
      </c>
      <c r="AD190" s="220">
        <v>2</v>
      </c>
      <c r="AE190" s="220">
        <f t="shared" si="242"/>
        <v>-241</v>
      </c>
      <c r="AF190" s="220">
        <f t="shared" si="231"/>
        <v>-412</v>
      </c>
      <c r="AG190" s="220">
        <f t="shared" si="232"/>
        <v>-643</v>
      </c>
      <c r="AH190" s="220">
        <f t="shared" si="233"/>
        <v>-406</v>
      </c>
      <c r="AI190" s="220">
        <f t="shared" si="234"/>
        <v>-207</v>
      </c>
      <c r="AJ190" s="50">
        <f t="shared" si="235"/>
        <v>1.1240000000000103</v>
      </c>
      <c r="AK190" s="257"/>
      <c r="AL190" s="257">
        <f t="shared" si="183"/>
        <v>1.2</v>
      </c>
      <c r="AM190" s="52"/>
      <c r="AN190" s="88"/>
    </row>
    <row r="191" spans="1:40" s="29" customFormat="1" ht="17.25" customHeight="1">
      <c r="A191" s="48">
        <v>181</v>
      </c>
      <c r="B191" s="49">
        <f t="shared" si="175"/>
        <v>45765</v>
      </c>
      <c r="C191" s="220">
        <f t="shared" si="176"/>
        <v>1069</v>
      </c>
      <c r="D191" s="220">
        <f t="shared" ref="D191:D215" si="244">D190+26</f>
        <v>2179</v>
      </c>
      <c r="E191" s="220">
        <f t="shared" si="178"/>
        <v>3248</v>
      </c>
      <c r="F191" s="220">
        <f t="shared" si="170"/>
        <v>840</v>
      </c>
      <c r="G191" s="220">
        <f t="shared" si="171"/>
        <v>1105</v>
      </c>
      <c r="H191" s="220">
        <f t="shared" si="172"/>
        <v>1100</v>
      </c>
      <c r="I191" s="220">
        <f t="shared" si="173"/>
        <v>1131</v>
      </c>
      <c r="J191" s="220">
        <f t="shared" si="174"/>
        <v>899</v>
      </c>
      <c r="K191" s="220">
        <f t="shared" si="210"/>
        <v>2408</v>
      </c>
      <c r="L191" s="220">
        <f t="shared" si="210"/>
        <v>2143</v>
      </c>
      <c r="M191" s="220">
        <f t="shared" si="210"/>
        <v>2148</v>
      </c>
      <c r="N191" s="220">
        <f t="shared" si="210"/>
        <v>2117</v>
      </c>
      <c r="O191" s="220">
        <f t="shared" si="210"/>
        <v>2349</v>
      </c>
      <c r="P191" s="220">
        <f t="shared" si="240"/>
        <v>2000</v>
      </c>
      <c r="Q191" s="220">
        <f t="shared" si="240"/>
        <v>2000</v>
      </c>
      <c r="R191" s="220">
        <f t="shared" si="240"/>
        <v>2000</v>
      </c>
      <c r="S191" s="220">
        <f t="shared" si="240"/>
        <v>2000</v>
      </c>
      <c r="T191" s="220">
        <f t="shared" si="240"/>
        <v>2000</v>
      </c>
      <c r="U191" s="220">
        <f t="shared" si="241"/>
        <v>408</v>
      </c>
      <c r="V191" s="220">
        <f t="shared" si="241"/>
        <v>143</v>
      </c>
      <c r="W191" s="220">
        <f t="shared" si="241"/>
        <v>148</v>
      </c>
      <c r="X191" s="220">
        <f t="shared" si="241"/>
        <v>117</v>
      </c>
      <c r="Y191" s="220">
        <f t="shared" si="241"/>
        <v>349</v>
      </c>
      <c r="Z191" s="220">
        <v>0</v>
      </c>
      <c r="AA191" s="220">
        <v>8</v>
      </c>
      <c r="AB191" s="220">
        <v>9</v>
      </c>
      <c r="AC191" s="220">
        <v>9</v>
      </c>
      <c r="AD191" s="220">
        <v>0</v>
      </c>
      <c r="AE191" s="220">
        <f t="shared" si="242"/>
        <v>-241</v>
      </c>
      <c r="AF191" s="220">
        <f t="shared" si="231"/>
        <v>-420</v>
      </c>
      <c r="AG191" s="220">
        <f t="shared" si="232"/>
        <v>-652</v>
      </c>
      <c r="AH191" s="220">
        <f t="shared" si="233"/>
        <v>-415</v>
      </c>
      <c r="AI191" s="220">
        <f t="shared" si="234"/>
        <v>-207</v>
      </c>
      <c r="AJ191" s="50">
        <f t="shared" si="235"/>
        <v>1.1150000000000104</v>
      </c>
      <c r="AK191" s="257"/>
      <c r="AL191" s="257">
        <f t="shared" si="183"/>
        <v>1.2</v>
      </c>
      <c r="AM191" s="52"/>
      <c r="AN191" s="88"/>
    </row>
    <row r="192" spans="1:40" s="68" customFormat="1" ht="17.25" customHeight="1">
      <c r="A192" s="105">
        <v>182</v>
      </c>
      <c r="B192" s="104">
        <f t="shared" si="175"/>
        <v>45766</v>
      </c>
      <c r="C192" s="192">
        <f t="shared" si="176"/>
        <v>1069</v>
      </c>
      <c r="D192" s="192">
        <f t="shared" si="224"/>
        <v>2153</v>
      </c>
      <c r="E192" s="192">
        <f t="shared" si="178"/>
        <v>3222</v>
      </c>
      <c r="F192" s="192">
        <f t="shared" si="170"/>
        <v>814</v>
      </c>
      <c r="G192" s="192">
        <f t="shared" si="171"/>
        <v>1087</v>
      </c>
      <c r="H192" s="192">
        <f t="shared" si="172"/>
        <v>1083</v>
      </c>
      <c r="I192" s="192">
        <f t="shared" si="173"/>
        <v>1113</v>
      </c>
      <c r="J192" s="192">
        <f t="shared" si="174"/>
        <v>873</v>
      </c>
      <c r="K192" s="192">
        <f t="shared" si="210"/>
        <v>2408</v>
      </c>
      <c r="L192" s="192">
        <f t="shared" si="210"/>
        <v>2135</v>
      </c>
      <c r="M192" s="192">
        <f t="shared" si="210"/>
        <v>2139</v>
      </c>
      <c r="N192" s="192">
        <f t="shared" si="210"/>
        <v>2109</v>
      </c>
      <c r="O192" s="192">
        <f t="shared" si="210"/>
        <v>2349</v>
      </c>
      <c r="P192" s="192">
        <f t="shared" si="240"/>
        <v>2000</v>
      </c>
      <c r="Q192" s="192">
        <f t="shared" si="240"/>
        <v>2000</v>
      </c>
      <c r="R192" s="192">
        <f t="shared" si="240"/>
        <v>2000</v>
      </c>
      <c r="S192" s="192">
        <f t="shared" si="240"/>
        <v>2000</v>
      </c>
      <c r="T192" s="192">
        <f t="shared" si="240"/>
        <v>2000</v>
      </c>
      <c r="U192" s="192">
        <f t="shared" si="241"/>
        <v>408</v>
      </c>
      <c r="V192" s="192">
        <f t="shared" si="241"/>
        <v>135</v>
      </c>
      <c r="W192" s="192">
        <f t="shared" si="241"/>
        <v>139</v>
      </c>
      <c r="X192" s="192">
        <f t="shared" si="241"/>
        <v>109</v>
      </c>
      <c r="Y192" s="192">
        <f t="shared" si="241"/>
        <v>349</v>
      </c>
      <c r="Z192" s="192">
        <v>0</v>
      </c>
      <c r="AA192" s="192">
        <v>8</v>
      </c>
      <c r="AB192" s="192">
        <v>9</v>
      </c>
      <c r="AC192" s="192">
        <v>8</v>
      </c>
      <c r="AD192" s="192">
        <v>0</v>
      </c>
      <c r="AE192" s="192">
        <f t="shared" si="242"/>
        <v>-241</v>
      </c>
      <c r="AF192" s="220">
        <f t="shared" si="231"/>
        <v>-428</v>
      </c>
      <c r="AG192" s="220">
        <f t="shared" si="232"/>
        <v>-661</v>
      </c>
      <c r="AH192" s="220">
        <f t="shared" si="233"/>
        <v>-423</v>
      </c>
      <c r="AI192" s="220">
        <f t="shared" si="234"/>
        <v>-207</v>
      </c>
      <c r="AJ192" s="50">
        <f t="shared" si="235"/>
        <v>1.1060000000000105</v>
      </c>
      <c r="AK192" s="203"/>
      <c r="AL192" s="203">
        <f t="shared" si="183"/>
        <v>1.2</v>
      </c>
      <c r="AM192" s="262"/>
      <c r="AN192" s="263"/>
    </row>
    <row r="193" spans="1:40" s="29" customFormat="1" ht="17.25" customHeight="1">
      <c r="A193" s="48">
        <v>183</v>
      </c>
      <c r="B193" s="49">
        <f t="shared" si="175"/>
        <v>45767</v>
      </c>
      <c r="C193" s="220">
        <f t="shared" si="176"/>
        <v>1069</v>
      </c>
      <c r="D193" s="220">
        <f t="shared" si="225"/>
        <v>2168</v>
      </c>
      <c r="E193" s="220">
        <f t="shared" si="178"/>
        <v>3237</v>
      </c>
      <c r="F193" s="220">
        <f t="shared" si="170"/>
        <v>830</v>
      </c>
      <c r="G193" s="220">
        <f t="shared" si="171"/>
        <v>1110</v>
      </c>
      <c r="H193" s="220">
        <f t="shared" si="172"/>
        <v>1106</v>
      </c>
      <c r="I193" s="220">
        <f t="shared" si="173"/>
        <v>1136</v>
      </c>
      <c r="J193" s="220">
        <f t="shared" si="174"/>
        <v>888</v>
      </c>
      <c r="K193" s="220">
        <f t="shared" si="210"/>
        <v>2407</v>
      </c>
      <c r="L193" s="220">
        <f t="shared" si="210"/>
        <v>2127</v>
      </c>
      <c r="M193" s="220">
        <f t="shared" si="210"/>
        <v>2131</v>
      </c>
      <c r="N193" s="220">
        <f t="shared" si="210"/>
        <v>2101</v>
      </c>
      <c r="O193" s="220">
        <f t="shared" si="210"/>
        <v>2349</v>
      </c>
      <c r="P193" s="220">
        <f t="shared" si="240"/>
        <v>2000</v>
      </c>
      <c r="Q193" s="220">
        <f t="shared" si="240"/>
        <v>2000</v>
      </c>
      <c r="R193" s="220">
        <f t="shared" si="240"/>
        <v>2000</v>
      </c>
      <c r="S193" s="220">
        <f t="shared" si="240"/>
        <v>2000</v>
      </c>
      <c r="T193" s="220">
        <f t="shared" si="240"/>
        <v>2000</v>
      </c>
      <c r="U193" s="220">
        <f t="shared" si="241"/>
        <v>407</v>
      </c>
      <c r="V193" s="220">
        <f t="shared" si="241"/>
        <v>127</v>
      </c>
      <c r="W193" s="220">
        <f t="shared" si="241"/>
        <v>131</v>
      </c>
      <c r="X193" s="220">
        <f t="shared" si="241"/>
        <v>101</v>
      </c>
      <c r="Y193" s="220">
        <f t="shared" si="241"/>
        <v>349</v>
      </c>
      <c r="Z193" s="220">
        <v>1</v>
      </c>
      <c r="AA193" s="192">
        <v>8</v>
      </c>
      <c r="AB193" s="192">
        <v>8</v>
      </c>
      <c r="AC193" s="220">
        <v>8</v>
      </c>
      <c r="AD193" s="220">
        <v>0</v>
      </c>
      <c r="AE193" s="220">
        <f t="shared" si="242"/>
        <v>-242</v>
      </c>
      <c r="AF193" s="220">
        <f t="shared" si="231"/>
        <v>-436</v>
      </c>
      <c r="AG193" s="220">
        <f t="shared" si="232"/>
        <v>-669</v>
      </c>
      <c r="AH193" s="220">
        <f t="shared" si="233"/>
        <v>-431</v>
      </c>
      <c r="AI193" s="220">
        <f t="shared" si="234"/>
        <v>-207</v>
      </c>
      <c r="AJ193" s="50">
        <f t="shared" si="235"/>
        <v>1.0980000000000105</v>
      </c>
      <c r="AK193" s="257"/>
      <c r="AL193" s="257">
        <f t="shared" si="183"/>
        <v>1.2</v>
      </c>
      <c r="AM193" s="52"/>
      <c r="AN193" s="88"/>
    </row>
    <row r="194" spans="1:40" s="29" customFormat="1" ht="17.25" customHeight="1">
      <c r="A194" s="48">
        <v>184</v>
      </c>
      <c r="B194" s="49">
        <f t="shared" si="175"/>
        <v>45768</v>
      </c>
      <c r="C194" s="220">
        <f t="shared" si="176"/>
        <v>1069</v>
      </c>
      <c r="D194" s="220">
        <f t="shared" si="236"/>
        <v>2194</v>
      </c>
      <c r="E194" s="220">
        <f t="shared" si="178"/>
        <v>3263</v>
      </c>
      <c r="F194" s="220">
        <f t="shared" si="170"/>
        <v>856</v>
      </c>
      <c r="G194" s="220">
        <f t="shared" si="171"/>
        <v>1144</v>
      </c>
      <c r="H194" s="220">
        <f t="shared" si="172"/>
        <v>1141</v>
      </c>
      <c r="I194" s="220">
        <f t="shared" si="173"/>
        <v>1171</v>
      </c>
      <c r="J194" s="220">
        <f t="shared" si="174"/>
        <v>914</v>
      </c>
      <c r="K194" s="220">
        <f t="shared" si="210"/>
        <v>2407</v>
      </c>
      <c r="L194" s="220">
        <f t="shared" si="210"/>
        <v>2119</v>
      </c>
      <c r="M194" s="220">
        <f t="shared" si="210"/>
        <v>2122</v>
      </c>
      <c r="N194" s="220">
        <f t="shared" si="210"/>
        <v>2092</v>
      </c>
      <c r="O194" s="220">
        <f t="shared" si="210"/>
        <v>2349</v>
      </c>
      <c r="P194" s="220">
        <f t="shared" si="240"/>
        <v>2000</v>
      </c>
      <c r="Q194" s="220">
        <f t="shared" si="240"/>
        <v>2000</v>
      </c>
      <c r="R194" s="220">
        <f t="shared" si="240"/>
        <v>2000</v>
      </c>
      <c r="S194" s="220">
        <f t="shared" si="240"/>
        <v>2000</v>
      </c>
      <c r="T194" s="220">
        <f t="shared" si="240"/>
        <v>2000</v>
      </c>
      <c r="U194" s="220">
        <f t="shared" si="241"/>
        <v>407</v>
      </c>
      <c r="V194" s="220">
        <f t="shared" si="241"/>
        <v>119</v>
      </c>
      <c r="W194" s="220">
        <f t="shared" si="241"/>
        <v>122</v>
      </c>
      <c r="X194" s="220">
        <f t="shared" si="241"/>
        <v>92</v>
      </c>
      <c r="Y194" s="220">
        <f t="shared" si="241"/>
        <v>349</v>
      </c>
      <c r="Z194" s="220">
        <v>0</v>
      </c>
      <c r="AA194" s="192">
        <v>8</v>
      </c>
      <c r="AB194" s="192">
        <v>9</v>
      </c>
      <c r="AC194" s="220">
        <v>9</v>
      </c>
      <c r="AD194" s="220">
        <v>0</v>
      </c>
      <c r="AE194" s="220">
        <f t="shared" si="242"/>
        <v>-242</v>
      </c>
      <c r="AF194" s="220">
        <f t="shared" si="231"/>
        <v>-444</v>
      </c>
      <c r="AG194" s="220">
        <f t="shared" si="232"/>
        <v>-678</v>
      </c>
      <c r="AH194" s="220">
        <f t="shared" si="233"/>
        <v>-440</v>
      </c>
      <c r="AI194" s="220">
        <f t="shared" si="234"/>
        <v>-207</v>
      </c>
      <c r="AJ194" s="50">
        <f t="shared" si="235"/>
        <v>1.0890000000000106</v>
      </c>
      <c r="AK194" s="257"/>
      <c r="AL194" s="257">
        <f t="shared" si="183"/>
        <v>1.2</v>
      </c>
      <c r="AM194" s="52"/>
      <c r="AN194" s="88"/>
    </row>
    <row r="195" spans="1:40" s="29" customFormat="1" ht="17.25" customHeight="1">
      <c r="A195" s="48">
        <v>185</v>
      </c>
      <c r="B195" s="49">
        <f t="shared" si="175"/>
        <v>45769</v>
      </c>
      <c r="C195" s="220">
        <f t="shared" si="176"/>
        <v>1069</v>
      </c>
      <c r="D195" s="220">
        <f t="shared" si="237"/>
        <v>2226</v>
      </c>
      <c r="E195" s="220">
        <f t="shared" si="178"/>
        <v>3295</v>
      </c>
      <c r="F195" s="220">
        <f t="shared" si="170"/>
        <v>889</v>
      </c>
      <c r="G195" s="220">
        <f t="shared" si="171"/>
        <v>1184</v>
      </c>
      <c r="H195" s="220">
        <f t="shared" si="172"/>
        <v>1182</v>
      </c>
      <c r="I195" s="220">
        <f t="shared" si="173"/>
        <v>1212</v>
      </c>
      <c r="J195" s="220">
        <f t="shared" si="174"/>
        <v>948</v>
      </c>
      <c r="K195" s="220">
        <f t="shared" si="210"/>
        <v>2406</v>
      </c>
      <c r="L195" s="220">
        <f t="shared" si="210"/>
        <v>2111</v>
      </c>
      <c r="M195" s="220">
        <f t="shared" si="210"/>
        <v>2113</v>
      </c>
      <c r="N195" s="220">
        <f t="shared" si="210"/>
        <v>2083</v>
      </c>
      <c r="O195" s="220">
        <f t="shared" si="210"/>
        <v>2347</v>
      </c>
      <c r="P195" s="220">
        <f t="shared" si="240"/>
        <v>2000</v>
      </c>
      <c r="Q195" s="220">
        <f t="shared" si="240"/>
        <v>2000</v>
      </c>
      <c r="R195" s="220">
        <f t="shared" si="240"/>
        <v>2000</v>
      </c>
      <c r="S195" s="220">
        <f t="shared" si="240"/>
        <v>2000</v>
      </c>
      <c r="T195" s="220">
        <f t="shared" si="240"/>
        <v>2000</v>
      </c>
      <c r="U195" s="220">
        <f t="shared" si="241"/>
        <v>406</v>
      </c>
      <c r="V195" s="220">
        <f t="shared" si="241"/>
        <v>111</v>
      </c>
      <c r="W195" s="220">
        <f t="shared" si="241"/>
        <v>113</v>
      </c>
      <c r="X195" s="220">
        <f t="shared" si="241"/>
        <v>83</v>
      </c>
      <c r="Y195" s="220">
        <f t="shared" si="241"/>
        <v>347</v>
      </c>
      <c r="Z195" s="220">
        <v>1</v>
      </c>
      <c r="AA195" s="192">
        <v>8</v>
      </c>
      <c r="AB195" s="192">
        <v>9</v>
      </c>
      <c r="AC195" s="220">
        <v>9</v>
      </c>
      <c r="AD195" s="220">
        <v>2</v>
      </c>
      <c r="AE195" s="220">
        <f t="shared" si="242"/>
        <v>-243</v>
      </c>
      <c r="AF195" s="220">
        <f t="shared" si="231"/>
        <v>-452</v>
      </c>
      <c r="AG195" s="220">
        <f t="shared" si="232"/>
        <v>-687</v>
      </c>
      <c r="AH195" s="220">
        <f t="shared" si="233"/>
        <v>-449</v>
      </c>
      <c r="AI195" s="220">
        <f t="shared" si="234"/>
        <v>-209</v>
      </c>
      <c r="AJ195" s="50">
        <f t="shared" si="235"/>
        <v>1.0800000000000107</v>
      </c>
      <c r="AK195" s="257"/>
      <c r="AL195" s="257">
        <f t="shared" si="183"/>
        <v>1.2</v>
      </c>
      <c r="AM195" s="52"/>
      <c r="AN195" s="88"/>
    </row>
    <row r="196" spans="1:40" s="29" customFormat="1" ht="17.25" customHeight="1">
      <c r="A196" s="48">
        <v>186</v>
      </c>
      <c r="B196" s="49">
        <f t="shared" si="175"/>
        <v>45770</v>
      </c>
      <c r="C196" s="220">
        <f t="shared" si="176"/>
        <v>1069</v>
      </c>
      <c r="D196" s="220">
        <f t="shared" si="238"/>
        <v>2208</v>
      </c>
      <c r="E196" s="220">
        <f t="shared" si="178"/>
        <v>3277</v>
      </c>
      <c r="F196" s="220">
        <f t="shared" si="170"/>
        <v>871</v>
      </c>
      <c r="G196" s="220">
        <f t="shared" si="171"/>
        <v>1174</v>
      </c>
      <c r="H196" s="220">
        <f t="shared" si="172"/>
        <v>1172</v>
      </c>
      <c r="I196" s="220">
        <f t="shared" si="173"/>
        <v>1202</v>
      </c>
      <c r="J196" s="220">
        <f t="shared" si="174"/>
        <v>930</v>
      </c>
      <c r="K196" s="220">
        <f t="shared" si="210"/>
        <v>2406</v>
      </c>
      <c r="L196" s="220">
        <f t="shared" si="210"/>
        <v>2103</v>
      </c>
      <c r="M196" s="220">
        <f t="shared" si="210"/>
        <v>2105</v>
      </c>
      <c r="N196" s="220">
        <f t="shared" si="210"/>
        <v>2075</v>
      </c>
      <c r="O196" s="220">
        <f t="shared" si="210"/>
        <v>2347</v>
      </c>
      <c r="P196" s="220">
        <f t="shared" si="240"/>
        <v>2000</v>
      </c>
      <c r="Q196" s="220">
        <f t="shared" si="240"/>
        <v>2000</v>
      </c>
      <c r="R196" s="220">
        <f t="shared" si="240"/>
        <v>2000</v>
      </c>
      <c r="S196" s="220">
        <f t="shared" si="240"/>
        <v>2000</v>
      </c>
      <c r="T196" s="220">
        <f t="shared" si="240"/>
        <v>2000</v>
      </c>
      <c r="U196" s="220">
        <f t="shared" si="241"/>
        <v>406</v>
      </c>
      <c r="V196" s="220">
        <f t="shared" si="241"/>
        <v>103</v>
      </c>
      <c r="W196" s="220">
        <f t="shared" si="241"/>
        <v>105</v>
      </c>
      <c r="X196" s="220">
        <f t="shared" si="241"/>
        <v>75</v>
      </c>
      <c r="Y196" s="220">
        <f t="shared" si="241"/>
        <v>347</v>
      </c>
      <c r="Z196" s="220">
        <v>0</v>
      </c>
      <c r="AA196" s="192">
        <v>8</v>
      </c>
      <c r="AB196" s="192">
        <v>8</v>
      </c>
      <c r="AC196" s="220">
        <v>8</v>
      </c>
      <c r="AD196" s="220">
        <v>0</v>
      </c>
      <c r="AE196" s="220">
        <f t="shared" si="242"/>
        <v>-243</v>
      </c>
      <c r="AF196" s="220">
        <f t="shared" si="231"/>
        <v>-460</v>
      </c>
      <c r="AG196" s="220">
        <f t="shared" si="232"/>
        <v>-695</v>
      </c>
      <c r="AH196" s="220">
        <f t="shared" si="233"/>
        <v>-457</v>
      </c>
      <c r="AI196" s="220">
        <f t="shared" si="234"/>
        <v>-209</v>
      </c>
      <c r="AJ196" s="50">
        <f t="shared" si="235"/>
        <v>1.0720000000000107</v>
      </c>
      <c r="AK196" s="257"/>
      <c r="AL196" s="257">
        <f t="shared" si="183"/>
        <v>1.2</v>
      </c>
      <c r="AM196" s="52"/>
      <c r="AN196" s="88"/>
    </row>
    <row r="197" spans="1:40" s="29" customFormat="1" ht="17.25" customHeight="1">
      <c r="A197" s="48">
        <v>187</v>
      </c>
      <c r="B197" s="49">
        <f t="shared" si="175"/>
        <v>45771</v>
      </c>
      <c r="C197" s="220">
        <f t="shared" si="176"/>
        <v>1069</v>
      </c>
      <c r="D197" s="220">
        <f t="shared" si="239"/>
        <v>2182</v>
      </c>
      <c r="E197" s="220">
        <f t="shared" si="178"/>
        <v>3251</v>
      </c>
      <c r="F197" s="220">
        <f t="shared" si="170"/>
        <v>846</v>
      </c>
      <c r="G197" s="220">
        <f t="shared" si="171"/>
        <v>1156</v>
      </c>
      <c r="H197" s="220">
        <f t="shared" si="172"/>
        <v>1154</v>
      </c>
      <c r="I197" s="220">
        <f t="shared" si="173"/>
        <v>1184</v>
      </c>
      <c r="J197" s="220">
        <f t="shared" si="174"/>
        <v>904</v>
      </c>
      <c r="K197" s="220">
        <f t="shared" si="210"/>
        <v>2405</v>
      </c>
      <c r="L197" s="220">
        <f t="shared" si="210"/>
        <v>2095</v>
      </c>
      <c r="M197" s="220">
        <f t="shared" si="210"/>
        <v>2097</v>
      </c>
      <c r="N197" s="220">
        <f t="shared" si="210"/>
        <v>2067</v>
      </c>
      <c r="O197" s="220">
        <f t="shared" si="210"/>
        <v>2347</v>
      </c>
      <c r="P197" s="220">
        <f t="shared" si="240"/>
        <v>2000</v>
      </c>
      <c r="Q197" s="220">
        <f t="shared" si="240"/>
        <v>2000</v>
      </c>
      <c r="R197" s="220">
        <f t="shared" si="240"/>
        <v>2000</v>
      </c>
      <c r="S197" s="220">
        <f t="shared" si="240"/>
        <v>2000</v>
      </c>
      <c r="T197" s="220">
        <f t="shared" si="240"/>
        <v>2000</v>
      </c>
      <c r="U197" s="220">
        <f t="shared" si="241"/>
        <v>405</v>
      </c>
      <c r="V197" s="220">
        <f t="shared" si="241"/>
        <v>95</v>
      </c>
      <c r="W197" s="220">
        <f t="shared" si="241"/>
        <v>97</v>
      </c>
      <c r="X197" s="220">
        <f t="shared" si="241"/>
        <v>67</v>
      </c>
      <c r="Y197" s="220">
        <f t="shared" si="241"/>
        <v>347</v>
      </c>
      <c r="Z197" s="220">
        <v>1</v>
      </c>
      <c r="AA197" s="192">
        <v>8</v>
      </c>
      <c r="AB197" s="192">
        <v>8</v>
      </c>
      <c r="AC197" s="220">
        <v>8</v>
      </c>
      <c r="AD197" s="220">
        <v>0</v>
      </c>
      <c r="AE197" s="220">
        <f t="shared" si="242"/>
        <v>-244</v>
      </c>
      <c r="AF197" s="220">
        <f t="shared" si="231"/>
        <v>-468</v>
      </c>
      <c r="AG197" s="220">
        <f t="shared" si="232"/>
        <v>-703</v>
      </c>
      <c r="AH197" s="220">
        <f t="shared" si="233"/>
        <v>-465</v>
      </c>
      <c r="AI197" s="220">
        <f t="shared" si="234"/>
        <v>-209</v>
      </c>
      <c r="AJ197" s="50">
        <f t="shared" si="235"/>
        <v>1.0640000000000107</v>
      </c>
      <c r="AK197" s="257"/>
      <c r="AL197" s="257">
        <f t="shared" si="183"/>
        <v>1.2</v>
      </c>
      <c r="AM197" s="52"/>
      <c r="AN197" s="88"/>
    </row>
    <row r="198" spans="1:40" s="29" customFormat="1" ht="17.25" customHeight="1">
      <c r="A198" s="48">
        <v>188</v>
      </c>
      <c r="B198" s="49">
        <f t="shared" si="175"/>
        <v>45772</v>
      </c>
      <c r="C198" s="220">
        <f t="shared" si="176"/>
        <v>1069</v>
      </c>
      <c r="D198" s="220">
        <f t="shared" si="243"/>
        <v>2197</v>
      </c>
      <c r="E198" s="220">
        <f t="shared" si="178"/>
        <v>3266</v>
      </c>
      <c r="F198" s="220">
        <f t="shared" si="170"/>
        <v>861</v>
      </c>
      <c r="G198" s="220">
        <f t="shared" si="171"/>
        <v>1179</v>
      </c>
      <c r="H198" s="220">
        <f t="shared" si="172"/>
        <v>1178</v>
      </c>
      <c r="I198" s="220">
        <f t="shared" si="173"/>
        <v>1206</v>
      </c>
      <c r="J198" s="220">
        <f t="shared" si="174"/>
        <v>920</v>
      </c>
      <c r="K198" s="220">
        <f t="shared" si="210"/>
        <v>2405</v>
      </c>
      <c r="L198" s="220">
        <f t="shared" si="210"/>
        <v>2087</v>
      </c>
      <c r="M198" s="220">
        <f t="shared" si="210"/>
        <v>2088</v>
      </c>
      <c r="N198" s="220">
        <f t="shared" si="210"/>
        <v>2060</v>
      </c>
      <c r="O198" s="220">
        <f t="shared" si="210"/>
        <v>2346</v>
      </c>
      <c r="P198" s="220">
        <f t="shared" si="240"/>
        <v>2000</v>
      </c>
      <c r="Q198" s="220">
        <f t="shared" si="240"/>
        <v>2000</v>
      </c>
      <c r="R198" s="220">
        <f t="shared" si="240"/>
        <v>2000</v>
      </c>
      <c r="S198" s="220">
        <f t="shared" si="240"/>
        <v>2000</v>
      </c>
      <c r="T198" s="220">
        <f t="shared" si="240"/>
        <v>2000</v>
      </c>
      <c r="U198" s="220">
        <f t="shared" si="241"/>
        <v>405</v>
      </c>
      <c r="V198" s="220">
        <f t="shared" si="241"/>
        <v>87</v>
      </c>
      <c r="W198" s="220">
        <f t="shared" si="241"/>
        <v>88</v>
      </c>
      <c r="X198" s="220">
        <f t="shared" si="241"/>
        <v>60</v>
      </c>
      <c r="Y198" s="220">
        <f t="shared" si="241"/>
        <v>346</v>
      </c>
      <c r="Z198" s="220">
        <v>0</v>
      </c>
      <c r="AA198" s="192">
        <v>8</v>
      </c>
      <c r="AB198" s="192">
        <v>9</v>
      </c>
      <c r="AC198" s="220">
        <v>7</v>
      </c>
      <c r="AD198" s="220">
        <v>1</v>
      </c>
      <c r="AE198" s="220">
        <f t="shared" si="242"/>
        <v>-244</v>
      </c>
      <c r="AF198" s="220">
        <f t="shared" si="231"/>
        <v>-476</v>
      </c>
      <c r="AG198" s="220">
        <f t="shared" si="232"/>
        <v>-712</v>
      </c>
      <c r="AH198" s="220">
        <f t="shared" si="233"/>
        <v>-472</v>
      </c>
      <c r="AI198" s="220">
        <f t="shared" si="234"/>
        <v>-210</v>
      </c>
      <c r="AJ198" s="50">
        <f t="shared" si="235"/>
        <v>1.0550000000000108</v>
      </c>
      <c r="AK198" s="257"/>
      <c r="AL198" s="257">
        <f t="shared" si="183"/>
        <v>1.2</v>
      </c>
      <c r="AM198" s="52"/>
      <c r="AN198" s="88"/>
    </row>
    <row r="199" spans="1:40" s="29" customFormat="1" ht="17.25" customHeight="1">
      <c r="A199" s="48">
        <v>189</v>
      </c>
      <c r="B199" s="49">
        <f t="shared" si="175"/>
        <v>45773</v>
      </c>
      <c r="C199" s="220">
        <f t="shared" si="176"/>
        <v>1069</v>
      </c>
      <c r="D199" s="220">
        <f t="shared" si="244"/>
        <v>2223</v>
      </c>
      <c r="E199" s="220">
        <f t="shared" si="178"/>
        <v>3292</v>
      </c>
      <c r="F199" s="220">
        <f t="shared" si="170"/>
        <v>888</v>
      </c>
      <c r="G199" s="220">
        <f t="shared" si="171"/>
        <v>1213</v>
      </c>
      <c r="H199" s="220">
        <f t="shared" si="172"/>
        <v>1212</v>
      </c>
      <c r="I199" s="220">
        <f t="shared" si="173"/>
        <v>1240</v>
      </c>
      <c r="J199" s="220">
        <f t="shared" si="174"/>
        <v>948</v>
      </c>
      <c r="K199" s="220">
        <f t="shared" si="210"/>
        <v>2404</v>
      </c>
      <c r="L199" s="220">
        <f t="shared" si="210"/>
        <v>2079</v>
      </c>
      <c r="M199" s="220">
        <f t="shared" si="210"/>
        <v>2080</v>
      </c>
      <c r="N199" s="220">
        <f t="shared" si="210"/>
        <v>2052</v>
      </c>
      <c r="O199" s="220">
        <f t="shared" si="210"/>
        <v>2344</v>
      </c>
      <c r="P199" s="220">
        <f t="shared" si="240"/>
        <v>2000</v>
      </c>
      <c r="Q199" s="220">
        <f t="shared" si="240"/>
        <v>2000</v>
      </c>
      <c r="R199" s="220">
        <f t="shared" si="240"/>
        <v>2000</v>
      </c>
      <c r="S199" s="220">
        <f t="shared" si="240"/>
        <v>2000</v>
      </c>
      <c r="T199" s="220">
        <f t="shared" si="240"/>
        <v>2000</v>
      </c>
      <c r="U199" s="220">
        <f t="shared" si="241"/>
        <v>404</v>
      </c>
      <c r="V199" s="220">
        <f t="shared" si="241"/>
        <v>79</v>
      </c>
      <c r="W199" s="220">
        <f t="shared" si="241"/>
        <v>80</v>
      </c>
      <c r="X199" s="220">
        <f t="shared" si="241"/>
        <v>52</v>
      </c>
      <c r="Y199" s="220">
        <f t="shared" si="241"/>
        <v>344</v>
      </c>
      <c r="Z199" s="220">
        <v>1</v>
      </c>
      <c r="AA199" s="192">
        <v>8</v>
      </c>
      <c r="AB199" s="192">
        <v>8</v>
      </c>
      <c r="AC199" s="220">
        <v>8</v>
      </c>
      <c r="AD199" s="220">
        <v>2</v>
      </c>
      <c r="AE199" s="220">
        <f t="shared" si="242"/>
        <v>-245</v>
      </c>
      <c r="AF199" s="220">
        <f t="shared" si="231"/>
        <v>-484</v>
      </c>
      <c r="AG199" s="220">
        <f t="shared" si="232"/>
        <v>-720</v>
      </c>
      <c r="AH199" s="220">
        <f t="shared" si="233"/>
        <v>-480</v>
      </c>
      <c r="AI199" s="220">
        <f t="shared" si="234"/>
        <v>-212</v>
      </c>
      <c r="AJ199" s="50">
        <f t="shared" si="235"/>
        <v>1.0470000000000108</v>
      </c>
      <c r="AK199" s="257"/>
      <c r="AL199" s="257">
        <f t="shared" si="183"/>
        <v>1.2</v>
      </c>
      <c r="AM199" s="52"/>
      <c r="AN199" s="88"/>
    </row>
    <row r="200" spans="1:40" s="29" customFormat="1" ht="17.25" customHeight="1">
      <c r="A200" s="48">
        <v>190</v>
      </c>
      <c r="B200" s="49">
        <f t="shared" si="175"/>
        <v>45774</v>
      </c>
      <c r="C200" s="220">
        <f t="shared" si="176"/>
        <v>1069</v>
      </c>
      <c r="D200" s="220">
        <f t="shared" si="224"/>
        <v>2197</v>
      </c>
      <c r="E200" s="220">
        <f t="shared" si="178"/>
        <v>3266</v>
      </c>
      <c r="F200" s="220">
        <f t="shared" si="170"/>
        <v>862</v>
      </c>
      <c r="G200" s="220">
        <f t="shared" si="171"/>
        <v>1195</v>
      </c>
      <c r="H200" s="220">
        <f t="shared" si="172"/>
        <v>1195</v>
      </c>
      <c r="I200" s="220">
        <f t="shared" si="173"/>
        <v>1223</v>
      </c>
      <c r="J200" s="220">
        <f t="shared" si="174"/>
        <v>922</v>
      </c>
      <c r="K200" s="220">
        <f t="shared" si="210"/>
        <v>2404</v>
      </c>
      <c r="L200" s="220">
        <f t="shared" si="210"/>
        <v>2071</v>
      </c>
      <c r="M200" s="220">
        <f t="shared" si="210"/>
        <v>2071</v>
      </c>
      <c r="N200" s="220">
        <f t="shared" si="210"/>
        <v>2043</v>
      </c>
      <c r="O200" s="220">
        <f t="shared" si="210"/>
        <v>2344</v>
      </c>
      <c r="P200" s="220">
        <f t="shared" si="240"/>
        <v>2000</v>
      </c>
      <c r="Q200" s="220">
        <f t="shared" si="240"/>
        <v>2000</v>
      </c>
      <c r="R200" s="220">
        <f t="shared" si="240"/>
        <v>2000</v>
      </c>
      <c r="S200" s="220">
        <f t="shared" si="240"/>
        <v>2000</v>
      </c>
      <c r="T200" s="220">
        <f t="shared" si="240"/>
        <v>2000</v>
      </c>
      <c r="U200" s="220">
        <f t="shared" si="241"/>
        <v>404</v>
      </c>
      <c r="V200" s="220">
        <f t="shared" si="241"/>
        <v>71</v>
      </c>
      <c r="W200" s="220">
        <f t="shared" si="241"/>
        <v>71</v>
      </c>
      <c r="X200" s="220">
        <f t="shared" si="241"/>
        <v>43</v>
      </c>
      <c r="Y200" s="220">
        <f t="shared" si="241"/>
        <v>344</v>
      </c>
      <c r="Z200" s="220">
        <v>0</v>
      </c>
      <c r="AA200" s="192">
        <v>8</v>
      </c>
      <c r="AB200" s="192">
        <v>9</v>
      </c>
      <c r="AC200" s="220">
        <v>9</v>
      </c>
      <c r="AD200" s="220">
        <v>0</v>
      </c>
      <c r="AE200" s="220">
        <f t="shared" si="242"/>
        <v>-245</v>
      </c>
      <c r="AF200" s="220">
        <f t="shared" si="231"/>
        <v>-492</v>
      </c>
      <c r="AG200" s="220">
        <f t="shared" si="232"/>
        <v>-729</v>
      </c>
      <c r="AH200" s="220">
        <f t="shared" si="233"/>
        <v>-489</v>
      </c>
      <c r="AI200" s="220">
        <f t="shared" si="234"/>
        <v>-212</v>
      </c>
      <c r="AJ200" s="50">
        <f t="shared" si="235"/>
        <v>1.0380000000000109</v>
      </c>
      <c r="AK200" s="257"/>
      <c r="AL200" s="257">
        <f t="shared" si="183"/>
        <v>1.2</v>
      </c>
      <c r="AM200" s="52"/>
      <c r="AN200" s="88"/>
    </row>
    <row r="201" spans="1:40" s="29" customFormat="1" ht="17.25" customHeight="1">
      <c r="A201" s="48">
        <v>191</v>
      </c>
      <c r="B201" s="49">
        <f t="shared" si="175"/>
        <v>45775</v>
      </c>
      <c r="C201" s="220">
        <f t="shared" si="176"/>
        <v>1069</v>
      </c>
      <c r="D201" s="220">
        <f t="shared" si="225"/>
        <v>2212</v>
      </c>
      <c r="E201" s="220">
        <f t="shared" si="178"/>
        <v>3281</v>
      </c>
      <c r="F201" s="220">
        <f t="shared" si="170"/>
        <v>878</v>
      </c>
      <c r="G201" s="220">
        <f t="shared" si="171"/>
        <v>1218</v>
      </c>
      <c r="H201" s="220">
        <f t="shared" si="172"/>
        <v>1219</v>
      </c>
      <c r="I201" s="220">
        <f t="shared" si="173"/>
        <v>1247</v>
      </c>
      <c r="J201" s="220">
        <f t="shared" si="174"/>
        <v>937</v>
      </c>
      <c r="K201" s="220">
        <f t="shared" si="210"/>
        <v>2403</v>
      </c>
      <c r="L201" s="220">
        <f t="shared" si="210"/>
        <v>2063</v>
      </c>
      <c r="M201" s="220">
        <f t="shared" si="210"/>
        <v>2062</v>
      </c>
      <c r="N201" s="220">
        <f t="shared" si="210"/>
        <v>2034</v>
      </c>
      <c r="O201" s="220">
        <f t="shared" si="210"/>
        <v>2344</v>
      </c>
      <c r="P201" s="220">
        <f t="shared" si="240"/>
        <v>2000</v>
      </c>
      <c r="Q201" s="220">
        <f t="shared" si="240"/>
        <v>2000</v>
      </c>
      <c r="R201" s="220">
        <f t="shared" si="240"/>
        <v>2000</v>
      </c>
      <c r="S201" s="220">
        <f t="shared" si="240"/>
        <v>2000</v>
      </c>
      <c r="T201" s="220">
        <f t="shared" si="240"/>
        <v>2000</v>
      </c>
      <c r="U201" s="220">
        <f t="shared" si="241"/>
        <v>403</v>
      </c>
      <c r="V201" s="220">
        <f t="shared" si="241"/>
        <v>63</v>
      </c>
      <c r="W201" s="220">
        <f t="shared" si="241"/>
        <v>62</v>
      </c>
      <c r="X201" s="220">
        <f t="shared" si="241"/>
        <v>34</v>
      </c>
      <c r="Y201" s="220">
        <f t="shared" si="241"/>
        <v>344</v>
      </c>
      <c r="Z201" s="220">
        <v>1</v>
      </c>
      <c r="AA201" s="192">
        <v>8</v>
      </c>
      <c r="AB201" s="192">
        <v>9</v>
      </c>
      <c r="AC201" s="220">
        <v>9</v>
      </c>
      <c r="AD201" s="220">
        <v>0</v>
      </c>
      <c r="AE201" s="220">
        <f t="shared" si="242"/>
        <v>-246</v>
      </c>
      <c r="AF201" s="220">
        <f t="shared" si="231"/>
        <v>-500</v>
      </c>
      <c r="AG201" s="220">
        <f t="shared" si="232"/>
        <v>-738</v>
      </c>
      <c r="AH201" s="220">
        <f t="shared" si="233"/>
        <v>-498</v>
      </c>
      <c r="AI201" s="220">
        <f t="shared" si="234"/>
        <v>-212</v>
      </c>
      <c r="AJ201" s="50">
        <f t="shared" si="235"/>
        <v>1.029000000000011</v>
      </c>
      <c r="AK201" s="257"/>
      <c r="AL201" s="257">
        <f t="shared" si="183"/>
        <v>1.2</v>
      </c>
      <c r="AM201" s="52"/>
      <c r="AN201" s="88"/>
    </row>
    <row r="202" spans="1:40" s="29" customFormat="1" ht="17.25" customHeight="1">
      <c r="A202" s="48">
        <v>192</v>
      </c>
      <c r="B202" s="49">
        <f t="shared" si="175"/>
        <v>45776</v>
      </c>
      <c r="C202" s="220">
        <f t="shared" si="176"/>
        <v>1069</v>
      </c>
      <c r="D202" s="220">
        <f t="shared" si="236"/>
        <v>2238</v>
      </c>
      <c r="E202" s="220">
        <f t="shared" si="178"/>
        <v>3307</v>
      </c>
      <c r="F202" s="220">
        <f t="shared" si="170"/>
        <v>904</v>
      </c>
      <c r="G202" s="220">
        <f t="shared" si="171"/>
        <v>1252</v>
      </c>
      <c r="H202" s="220">
        <f t="shared" si="172"/>
        <v>1253</v>
      </c>
      <c r="I202" s="220">
        <f t="shared" si="173"/>
        <v>1281</v>
      </c>
      <c r="J202" s="220">
        <f t="shared" si="174"/>
        <v>963</v>
      </c>
      <c r="K202" s="220">
        <f t="shared" si="210"/>
        <v>2403</v>
      </c>
      <c r="L202" s="220">
        <f t="shared" si="210"/>
        <v>2055</v>
      </c>
      <c r="M202" s="220">
        <f t="shared" si="210"/>
        <v>2054</v>
      </c>
      <c r="N202" s="220">
        <f t="shared" si="210"/>
        <v>2026</v>
      </c>
      <c r="O202" s="220">
        <f t="shared" si="210"/>
        <v>2344</v>
      </c>
      <c r="P202" s="220">
        <f t="shared" si="240"/>
        <v>2000</v>
      </c>
      <c r="Q202" s="220">
        <f t="shared" si="240"/>
        <v>2000</v>
      </c>
      <c r="R202" s="220">
        <f t="shared" si="240"/>
        <v>2000</v>
      </c>
      <c r="S202" s="220">
        <f t="shared" si="240"/>
        <v>2000</v>
      </c>
      <c r="T202" s="220">
        <f t="shared" si="240"/>
        <v>2000</v>
      </c>
      <c r="U202" s="220">
        <f t="shared" si="241"/>
        <v>403</v>
      </c>
      <c r="V202" s="220">
        <f t="shared" si="241"/>
        <v>55</v>
      </c>
      <c r="W202" s="220">
        <f t="shared" si="241"/>
        <v>54</v>
      </c>
      <c r="X202" s="220">
        <f t="shared" si="241"/>
        <v>26</v>
      </c>
      <c r="Y202" s="220">
        <f t="shared" si="241"/>
        <v>344</v>
      </c>
      <c r="Z202" s="220">
        <v>0</v>
      </c>
      <c r="AA202" s="192">
        <v>8</v>
      </c>
      <c r="AB202" s="192">
        <v>8</v>
      </c>
      <c r="AC202" s="220">
        <v>8</v>
      </c>
      <c r="AD202" s="220">
        <v>0</v>
      </c>
      <c r="AE202" s="220">
        <f t="shared" si="242"/>
        <v>-246</v>
      </c>
      <c r="AF202" s="220">
        <f t="shared" si="231"/>
        <v>-508</v>
      </c>
      <c r="AG202" s="220">
        <f t="shared" si="232"/>
        <v>-746</v>
      </c>
      <c r="AH202" s="220">
        <f t="shared" si="233"/>
        <v>-506</v>
      </c>
      <c r="AI202" s="220">
        <f t="shared" si="234"/>
        <v>-212</v>
      </c>
      <c r="AJ202" s="50">
        <f t="shared" si="235"/>
        <v>1.021000000000011</v>
      </c>
      <c r="AK202" s="257"/>
      <c r="AL202" s="257">
        <f t="shared" si="183"/>
        <v>1.2</v>
      </c>
      <c r="AM202" s="52"/>
      <c r="AN202" s="88"/>
    </row>
    <row r="203" spans="1:40" s="29" customFormat="1" ht="17.25" customHeight="1">
      <c r="A203" s="48">
        <v>193</v>
      </c>
      <c r="B203" s="49">
        <f t="shared" si="175"/>
        <v>45777</v>
      </c>
      <c r="C203" s="220">
        <f t="shared" si="176"/>
        <v>1069</v>
      </c>
      <c r="D203" s="220">
        <f t="shared" si="237"/>
        <v>2270</v>
      </c>
      <c r="E203" s="220">
        <f t="shared" si="178"/>
        <v>3339</v>
      </c>
      <c r="F203" s="220">
        <f t="shared" si="170"/>
        <v>936</v>
      </c>
      <c r="G203" s="220">
        <f t="shared" si="171"/>
        <v>1292</v>
      </c>
      <c r="H203" s="220">
        <f t="shared" si="172"/>
        <v>1294</v>
      </c>
      <c r="I203" s="220">
        <f t="shared" si="173"/>
        <v>1321</v>
      </c>
      <c r="J203" s="220">
        <f t="shared" si="174"/>
        <v>995</v>
      </c>
      <c r="K203" s="220">
        <f t="shared" si="210"/>
        <v>2403</v>
      </c>
      <c r="L203" s="220">
        <f t="shared" si="210"/>
        <v>2047</v>
      </c>
      <c r="M203" s="220">
        <f t="shared" si="210"/>
        <v>2045</v>
      </c>
      <c r="N203" s="220">
        <f t="shared" si="210"/>
        <v>2018</v>
      </c>
      <c r="O203" s="220">
        <f t="shared" si="210"/>
        <v>2344</v>
      </c>
      <c r="P203" s="220">
        <f t="shared" si="240"/>
        <v>2000</v>
      </c>
      <c r="Q203" s="220">
        <f t="shared" si="240"/>
        <v>2000</v>
      </c>
      <c r="R203" s="220">
        <f t="shared" si="240"/>
        <v>2000</v>
      </c>
      <c r="S203" s="220">
        <f t="shared" si="240"/>
        <v>2000</v>
      </c>
      <c r="T203" s="220">
        <f t="shared" si="240"/>
        <v>2000</v>
      </c>
      <c r="U203" s="220">
        <f t="shared" si="241"/>
        <v>403</v>
      </c>
      <c r="V203" s="220">
        <f t="shared" si="241"/>
        <v>47</v>
      </c>
      <c r="W203" s="220">
        <f t="shared" si="241"/>
        <v>45</v>
      </c>
      <c r="X203" s="220">
        <f t="shared" si="241"/>
        <v>18</v>
      </c>
      <c r="Y203" s="220">
        <f t="shared" si="241"/>
        <v>344</v>
      </c>
      <c r="Z203" s="220">
        <v>0</v>
      </c>
      <c r="AA203" s="192">
        <v>8</v>
      </c>
      <c r="AB203" s="192">
        <v>9</v>
      </c>
      <c r="AC203" s="220">
        <v>8</v>
      </c>
      <c r="AD203" s="220">
        <v>0</v>
      </c>
      <c r="AE203" s="220">
        <f t="shared" si="242"/>
        <v>-246</v>
      </c>
      <c r="AF203" s="220">
        <f t="shared" si="231"/>
        <v>-516</v>
      </c>
      <c r="AG203" s="220">
        <f t="shared" si="232"/>
        <v>-755</v>
      </c>
      <c r="AH203" s="220">
        <f t="shared" si="233"/>
        <v>-514</v>
      </c>
      <c r="AI203" s="220">
        <f t="shared" si="234"/>
        <v>-212</v>
      </c>
      <c r="AJ203" s="50">
        <f t="shared" si="235"/>
        <v>1.0120000000000111</v>
      </c>
      <c r="AK203" s="257"/>
      <c r="AL203" s="257">
        <f t="shared" si="183"/>
        <v>1.2</v>
      </c>
      <c r="AM203" s="52"/>
      <c r="AN203" s="88"/>
    </row>
    <row r="204" spans="1:40" s="29" customFormat="1" ht="17.25" customHeight="1">
      <c r="A204" s="48">
        <v>194</v>
      </c>
      <c r="B204" s="49">
        <f t="shared" si="175"/>
        <v>45778</v>
      </c>
      <c r="C204" s="220">
        <f t="shared" si="176"/>
        <v>1069</v>
      </c>
      <c r="D204" s="220">
        <f t="shared" si="238"/>
        <v>2252</v>
      </c>
      <c r="E204" s="220">
        <f t="shared" si="178"/>
        <v>3321</v>
      </c>
      <c r="F204" s="220">
        <f t="shared" ref="F204:F216" si="245">E204-K204</f>
        <v>918</v>
      </c>
      <c r="G204" s="220">
        <f t="shared" ref="G204:G216" si="246">E204-L204</f>
        <v>1282</v>
      </c>
      <c r="H204" s="220">
        <f t="shared" ref="H204:H216" si="247">E204-M204</f>
        <v>1285</v>
      </c>
      <c r="I204" s="220">
        <f t="shared" ref="I204:I216" si="248">E204-N204</f>
        <v>1311</v>
      </c>
      <c r="J204" s="220">
        <f t="shared" ref="J204:J216" si="249">E204-O204</f>
        <v>977</v>
      </c>
      <c r="K204" s="220">
        <f t="shared" si="210"/>
        <v>2403</v>
      </c>
      <c r="L204" s="220">
        <f t="shared" si="210"/>
        <v>2039</v>
      </c>
      <c r="M204" s="220">
        <f t="shared" si="210"/>
        <v>2036</v>
      </c>
      <c r="N204" s="220">
        <f t="shared" si="210"/>
        <v>2010</v>
      </c>
      <c r="O204" s="220">
        <f t="shared" si="210"/>
        <v>2344</v>
      </c>
      <c r="P204" s="220">
        <f t="shared" si="240"/>
        <v>2000</v>
      </c>
      <c r="Q204" s="220">
        <f t="shared" si="240"/>
        <v>2000</v>
      </c>
      <c r="R204" s="220">
        <f t="shared" si="240"/>
        <v>2000</v>
      </c>
      <c r="S204" s="220">
        <f t="shared" si="240"/>
        <v>2000</v>
      </c>
      <c r="T204" s="220">
        <f t="shared" si="240"/>
        <v>2000</v>
      </c>
      <c r="U204" s="220">
        <f t="shared" si="241"/>
        <v>403</v>
      </c>
      <c r="V204" s="220">
        <f t="shared" si="241"/>
        <v>39</v>
      </c>
      <c r="W204" s="220">
        <f t="shared" si="241"/>
        <v>36</v>
      </c>
      <c r="X204" s="220">
        <f t="shared" si="241"/>
        <v>10</v>
      </c>
      <c r="Y204" s="220">
        <f t="shared" si="241"/>
        <v>344</v>
      </c>
      <c r="Z204" s="220">
        <v>0</v>
      </c>
      <c r="AA204" s="192">
        <v>8</v>
      </c>
      <c r="AB204" s="192">
        <v>9</v>
      </c>
      <c r="AC204" s="220">
        <v>8</v>
      </c>
      <c r="AD204" s="220">
        <v>0</v>
      </c>
      <c r="AE204" s="220">
        <f t="shared" si="242"/>
        <v>-246</v>
      </c>
      <c r="AF204" s="220">
        <f t="shared" si="231"/>
        <v>-524</v>
      </c>
      <c r="AG204" s="220">
        <f t="shared" si="232"/>
        <v>-764</v>
      </c>
      <c r="AH204" s="220">
        <f t="shared" si="233"/>
        <v>-522</v>
      </c>
      <c r="AI204" s="220">
        <f t="shared" si="234"/>
        <v>-212</v>
      </c>
      <c r="AJ204" s="50">
        <f t="shared" si="235"/>
        <v>1.0030000000000112</v>
      </c>
      <c r="AK204" s="257"/>
      <c r="AL204" s="257">
        <f t="shared" si="183"/>
        <v>1.2</v>
      </c>
      <c r="AM204" s="52"/>
      <c r="AN204" s="88"/>
    </row>
    <row r="205" spans="1:40" s="29" customFormat="1" ht="17.25" customHeight="1">
      <c r="A205" s="48">
        <v>195</v>
      </c>
      <c r="B205" s="49">
        <f t="shared" ref="B205:B234" si="250">B204+1</f>
        <v>45779</v>
      </c>
      <c r="C205" s="220">
        <f t="shared" ref="C205:C234" si="251">+C204</f>
        <v>1069</v>
      </c>
      <c r="D205" s="220">
        <f t="shared" si="239"/>
        <v>2226</v>
      </c>
      <c r="E205" s="220">
        <f t="shared" ref="E205:E216" si="252">+C205+D205</f>
        <v>3295</v>
      </c>
      <c r="F205" s="220">
        <f t="shared" si="245"/>
        <v>893</v>
      </c>
      <c r="G205" s="220">
        <f t="shared" si="246"/>
        <v>1265</v>
      </c>
      <c r="H205" s="220">
        <f t="shared" si="247"/>
        <v>1268</v>
      </c>
      <c r="I205" s="220">
        <f t="shared" si="248"/>
        <v>1293</v>
      </c>
      <c r="J205" s="220">
        <f t="shared" si="249"/>
        <v>951</v>
      </c>
      <c r="K205" s="220">
        <f t="shared" si="210"/>
        <v>2402</v>
      </c>
      <c r="L205" s="220">
        <f t="shared" si="210"/>
        <v>2030</v>
      </c>
      <c r="M205" s="220">
        <f t="shared" si="210"/>
        <v>2027</v>
      </c>
      <c r="N205" s="220">
        <f t="shared" si="210"/>
        <v>2002</v>
      </c>
      <c r="O205" s="220">
        <f t="shared" si="210"/>
        <v>2344</v>
      </c>
      <c r="P205" s="220">
        <f t="shared" ref="P205:T216" si="253">+P204</f>
        <v>2000</v>
      </c>
      <c r="Q205" s="220">
        <f t="shared" si="253"/>
        <v>2000</v>
      </c>
      <c r="R205" s="220">
        <f t="shared" si="253"/>
        <v>2000</v>
      </c>
      <c r="S205" s="220">
        <f t="shared" si="253"/>
        <v>2000</v>
      </c>
      <c r="T205" s="220">
        <f t="shared" si="253"/>
        <v>2000</v>
      </c>
      <c r="U205" s="220">
        <f t="shared" ref="U205:Y216" si="254">U204-Z205</f>
        <v>402</v>
      </c>
      <c r="V205" s="220">
        <f t="shared" si="254"/>
        <v>30</v>
      </c>
      <c r="W205" s="220">
        <f t="shared" si="254"/>
        <v>27</v>
      </c>
      <c r="X205" s="220">
        <f t="shared" si="254"/>
        <v>2</v>
      </c>
      <c r="Y205" s="220">
        <f t="shared" si="254"/>
        <v>344</v>
      </c>
      <c r="Z205" s="220">
        <v>1</v>
      </c>
      <c r="AA205" s="192">
        <v>9</v>
      </c>
      <c r="AB205" s="192">
        <v>9</v>
      </c>
      <c r="AC205" s="220">
        <v>8</v>
      </c>
      <c r="AD205" s="220">
        <v>0</v>
      </c>
      <c r="AE205" s="220">
        <f t="shared" ref="AE205:AE216" si="255">AE204-Z205</f>
        <v>-247</v>
      </c>
      <c r="AF205" s="220">
        <f t="shared" si="231"/>
        <v>-533</v>
      </c>
      <c r="AG205" s="220">
        <f t="shared" si="232"/>
        <v>-773</v>
      </c>
      <c r="AH205" s="220">
        <f t="shared" si="233"/>
        <v>-530</v>
      </c>
      <c r="AI205" s="220">
        <f t="shared" si="234"/>
        <v>-212</v>
      </c>
      <c r="AJ205" s="50">
        <f t="shared" si="235"/>
        <v>0.99400000000001121</v>
      </c>
      <c r="AK205" s="257"/>
      <c r="AL205" s="257">
        <f t="shared" ref="AL205:AL216" si="256">AL204+AK205</f>
        <v>1.2</v>
      </c>
      <c r="AM205" s="52"/>
      <c r="AN205" s="88"/>
    </row>
    <row r="206" spans="1:40" s="29" customFormat="1" ht="17.25" customHeight="1">
      <c r="A206" s="48">
        <v>196</v>
      </c>
      <c r="B206" s="49">
        <f t="shared" si="250"/>
        <v>45780</v>
      </c>
      <c r="C206" s="220">
        <f t="shared" si="251"/>
        <v>1069</v>
      </c>
      <c r="D206" s="220">
        <f t="shared" si="243"/>
        <v>2241</v>
      </c>
      <c r="E206" s="220">
        <f t="shared" si="252"/>
        <v>3310</v>
      </c>
      <c r="F206" s="220">
        <f t="shared" si="245"/>
        <v>908</v>
      </c>
      <c r="G206" s="220">
        <f t="shared" si="246"/>
        <v>1288</v>
      </c>
      <c r="H206" s="220">
        <f t="shared" si="247"/>
        <v>1291</v>
      </c>
      <c r="I206" s="220">
        <f t="shared" si="248"/>
        <v>1316</v>
      </c>
      <c r="J206" s="220">
        <f t="shared" si="249"/>
        <v>966</v>
      </c>
      <c r="K206" s="220">
        <f t="shared" si="210"/>
        <v>2402</v>
      </c>
      <c r="L206" s="220">
        <f t="shared" si="210"/>
        <v>2022</v>
      </c>
      <c r="M206" s="220">
        <f t="shared" si="210"/>
        <v>2019</v>
      </c>
      <c r="N206" s="220">
        <f t="shared" si="210"/>
        <v>1994</v>
      </c>
      <c r="O206" s="220">
        <f t="shared" si="210"/>
        <v>2344</v>
      </c>
      <c r="P206" s="220">
        <f t="shared" si="253"/>
        <v>2000</v>
      </c>
      <c r="Q206" s="220">
        <f t="shared" si="253"/>
        <v>2000</v>
      </c>
      <c r="R206" s="220">
        <f t="shared" si="253"/>
        <v>2000</v>
      </c>
      <c r="S206" s="220">
        <f t="shared" si="253"/>
        <v>2000</v>
      </c>
      <c r="T206" s="220">
        <f t="shared" si="253"/>
        <v>2000</v>
      </c>
      <c r="U206" s="220">
        <f t="shared" si="254"/>
        <v>402</v>
      </c>
      <c r="V206" s="220">
        <f t="shared" si="254"/>
        <v>22</v>
      </c>
      <c r="W206" s="220">
        <f t="shared" si="254"/>
        <v>19</v>
      </c>
      <c r="X206" s="220">
        <f t="shared" si="254"/>
        <v>-6</v>
      </c>
      <c r="Y206" s="220">
        <f t="shared" si="254"/>
        <v>344</v>
      </c>
      <c r="Z206" s="220">
        <v>0</v>
      </c>
      <c r="AA206" s="192">
        <v>8</v>
      </c>
      <c r="AB206" s="192">
        <v>8</v>
      </c>
      <c r="AC206" s="220">
        <v>8</v>
      </c>
      <c r="AD206" s="220">
        <v>0</v>
      </c>
      <c r="AE206" s="220">
        <f t="shared" si="255"/>
        <v>-247</v>
      </c>
      <c r="AF206" s="220">
        <f t="shared" si="231"/>
        <v>-541</v>
      </c>
      <c r="AG206" s="220">
        <f t="shared" si="232"/>
        <v>-781</v>
      </c>
      <c r="AH206" s="220">
        <f t="shared" si="233"/>
        <v>-538</v>
      </c>
      <c r="AI206" s="220">
        <f t="shared" si="234"/>
        <v>-212</v>
      </c>
      <c r="AJ206" s="50">
        <f t="shared" si="235"/>
        <v>0.9860000000000112</v>
      </c>
      <c r="AK206" s="257"/>
      <c r="AL206" s="257">
        <f t="shared" si="256"/>
        <v>1.2</v>
      </c>
      <c r="AM206" s="52"/>
      <c r="AN206" s="88"/>
    </row>
    <row r="207" spans="1:40" s="29" customFormat="1" ht="17.25" customHeight="1">
      <c r="A207" s="48">
        <v>197</v>
      </c>
      <c r="B207" s="49">
        <f t="shared" si="250"/>
        <v>45781</v>
      </c>
      <c r="C207" s="220">
        <f t="shared" si="251"/>
        <v>1069</v>
      </c>
      <c r="D207" s="220">
        <f t="shared" si="244"/>
        <v>2267</v>
      </c>
      <c r="E207" s="220">
        <f t="shared" si="252"/>
        <v>3336</v>
      </c>
      <c r="F207" s="220">
        <f t="shared" si="245"/>
        <v>935</v>
      </c>
      <c r="G207" s="220">
        <f t="shared" si="246"/>
        <v>1322</v>
      </c>
      <c r="H207" s="220">
        <f t="shared" si="247"/>
        <v>1325</v>
      </c>
      <c r="I207" s="220">
        <f t="shared" si="248"/>
        <v>1350</v>
      </c>
      <c r="J207" s="220">
        <f t="shared" si="249"/>
        <v>993</v>
      </c>
      <c r="K207" s="220">
        <f t="shared" si="210"/>
        <v>2401</v>
      </c>
      <c r="L207" s="220">
        <f t="shared" si="210"/>
        <v>2014</v>
      </c>
      <c r="M207" s="220">
        <f t="shared" si="210"/>
        <v>2011</v>
      </c>
      <c r="N207" s="220">
        <f t="shared" si="210"/>
        <v>1986</v>
      </c>
      <c r="O207" s="220">
        <f t="shared" si="210"/>
        <v>2343</v>
      </c>
      <c r="P207" s="220">
        <f t="shared" si="253"/>
        <v>2000</v>
      </c>
      <c r="Q207" s="220">
        <f t="shared" si="253"/>
        <v>2000</v>
      </c>
      <c r="R207" s="220">
        <f t="shared" si="253"/>
        <v>2000</v>
      </c>
      <c r="S207" s="220">
        <f t="shared" si="253"/>
        <v>2000</v>
      </c>
      <c r="T207" s="220">
        <f t="shared" si="253"/>
        <v>2000</v>
      </c>
      <c r="U207" s="220">
        <f t="shared" si="254"/>
        <v>401</v>
      </c>
      <c r="V207" s="220">
        <f t="shared" si="254"/>
        <v>14</v>
      </c>
      <c r="W207" s="220">
        <f t="shared" si="254"/>
        <v>11</v>
      </c>
      <c r="X207" s="220">
        <f t="shared" si="254"/>
        <v>-14</v>
      </c>
      <c r="Y207" s="220">
        <f t="shared" si="254"/>
        <v>343</v>
      </c>
      <c r="Z207" s="220">
        <v>1</v>
      </c>
      <c r="AA207" s="192">
        <v>8</v>
      </c>
      <c r="AB207" s="192">
        <v>8</v>
      </c>
      <c r="AC207" s="220">
        <v>8</v>
      </c>
      <c r="AD207" s="220">
        <v>1</v>
      </c>
      <c r="AE207" s="220">
        <f t="shared" si="255"/>
        <v>-248</v>
      </c>
      <c r="AF207" s="220">
        <f t="shared" si="231"/>
        <v>-549</v>
      </c>
      <c r="AG207" s="220">
        <f t="shared" si="232"/>
        <v>-789</v>
      </c>
      <c r="AH207" s="220">
        <f t="shared" si="233"/>
        <v>-546</v>
      </c>
      <c r="AI207" s="220">
        <f t="shared" si="234"/>
        <v>-213</v>
      </c>
      <c r="AJ207" s="50">
        <f t="shared" si="235"/>
        <v>0.97800000000001119</v>
      </c>
      <c r="AK207" s="257"/>
      <c r="AL207" s="257">
        <f t="shared" si="256"/>
        <v>1.2</v>
      </c>
      <c r="AM207" s="52"/>
      <c r="AN207" s="88"/>
    </row>
    <row r="208" spans="1:40" s="29" customFormat="1" ht="17.25" customHeight="1">
      <c r="A208" s="48">
        <v>198</v>
      </c>
      <c r="B208" s="49">
        <f t="shared" si="250"/>
        <v>45782</v>
      </c>
      <c r="C208" s="220">
        <f t="shared" si="251"/>
        <v>1069</v>
      </c>
      <c r="D208" s="220">
        <f t="shared" si="224"/>
        <v>2241</v>
      </c>
      <c r="E208" s="220">
        <f t="shared" si="252"/>
        <v>3310</v>
      </c>
      <c r="F208" s="220">
        <f t="shared" si="245"/>
        <v>909</v>
      </c>
      <c r="G208" s="220">
        <f t="shared" si="246"/>
        <v>1305</v>
      </c>
      <c r="H208" s="220">
        <f t="shared" si="247"/>
        <v>1308</v>
      </c>
      <c r="I208" s="220">
        <f t="shared" si="248"/>
        <v>1333</v>
      </c>
      <c r="J208" s="220">
        <f t="shared" si="249"/>
        <v>967</v>
      </c>
      <c r="K208" s="220">
        <f t="shared" si="210"/>
        <v>2401</v>
      </c>
      <c r="L208" s="220">
        <f t="shared" si="210"/>
        <v>2005</v>
      </c>
      <c r="M208" s="220">
        <f t="shared" si="210"/>
        <v>2002</v>
      </c>
      <c r="N208" s="220">
        <f t="shared" si="210"/>
        <v>1977</v>
      </c>
      <c r="O208" s="220">
        <f t="shared" si="210"/>
        <v>2343</v>
      </c>
      <c r="P208" s="220">
        <f t="shared" si="253"/>
        <v>2000</v>
      </c>
      <c r="Q208" s="220">
        <f t="shared" si="253"/>
        <v>2000</v>
      </c>
      <c r="R208" s="220">
        <f t="shared" si="253"/>
        <v>2000</v>
      </c>
      <c r="S208" s="220">
        <f t="shared" si="253"/>
        <v>2000</v>
      </c>
      <c r="T208" s="220">
        <f t="shared" si="253"/>
        <v>2000</v>
      </c>
      <c r="U208" s="220">
        <f t="shared" si="254"/>
        <v>401</v>
      </c>
      <c r="V208" s="220">
        <f t="shared" si="254"/>
        <v>5</v>
      </c>
      <c r="W208" s="220">
        <f t="shared" si="254"/>
        <v>2</v>
      </c>
      <c r="X208" s="220">
        <f t="shared" si="254"/>
        <v>-23</v>
      </c>
      <c r="Y208" s="220">
        <f t="shared" si="254"/>
        <v>343</v>
      </c>
      <c r="Z208" s="220">
        <v>0</v>
      </c>
      <c r="AA208" s="192">
        <v>9</v>
      </c>
      <c r="AB208" s="192">
        <v>9</v>
      </c>
      <c r="AC208" s="220">
        <v>9</v>
      </c>
      <c r="AD208" s="220">
        <v>0</v>
      </c>
      <c r="AE208" s="220">
        <f t="shared" si="255"/>
        <v>-248</v>
      </c>
      <c r="AF208" s="220">
        <f t="shared" si="231"/>
        <v>-558</v>
      </c>
      <c r="AG208" s="220">
        <f t="shared" si="232"/>
        <v>-798</v>
      </c>
      <c r="AH208" s="220">
        <f t="shared" si="233"/>
        <v>-555</v>
      </c>
      <c r="AI208" s="220">
        <f t="shared" si="234"/>
        <v>-213</v>
      </c>
      <c r="AJ208" s="50">
        <f t="shared" si="235"/>
        <v>0.96900000000001119</v>
      </c>
      <c r="AK208" s="257"/>
      <c r="AL208" s="257">
        <f t="shared" si="256"/>
        <v>1.2</v>
      </c>
      <c r="AM208" s="52"/>
      <c r="AN208" s="88"/>
    </row>
    <row r="209" spans="1:41" s="29" customFormat="1" ht="17.25" customHeight="1">
      <c r="A209" s="48">
        <v>199</v>
      </c>
      <c r="B209" s="49">
        <f t="shared" si="250"/>
        <v>45783</v>
      </c>
      <c r="C209" s="220">
        <f t="shared" si="251"/>
        <v>1069</v>
      </c>
      <c r="D209" s="220">
        <f t="shared" si="225"/>
        <v>2256</v>
      </c>
      <c r="E209" s="220">
        <f t="shared" si="252"/>
        <v>3325</v>
      </c>
      <c r="F209" s="220">
        <f t="shared" si="245"/>
        <v>925</v>
      </c>
      <c r="G209" s="220">
        <f t="shared" si="246"/>
        <v>1328</v>
      </c>
      <c r="H209" s="220">
        <f t="shared" si="247"/>
        <v>1331</v>
      </c>
      <c r="I209" s="220">
        <f t="shared" si="248"/>
        <v>1356</v>
      </c>
      <c r="J209" s="220">
        <f t="shared" si="249"/>
        <v>982</v>
      </c>
      <c r="K209" s="220">
        <f t="shared" si="210"/>
        <v>2400</v>
      </c>
      <c r="L209" s="220">
        <f t="shared" si="210"/>
        <v>1997</v>
      </c>
      <c r="M209" s="220">
        <f t="shared" si="210"/>
        <v>1994</v>
      </c>
      <c r="N209" s="220">
        <f t="shared" si="210"/>
        <v>1969</v>
      </c>
      <c r="O209" s="220">
        <f t="shared" si="210"/>
        <v>2343</v>
      </c>
      <c r="P209" s="220">
        <f t="shared" si="253"/>
        <v>2000</v>
      </c>
      <c r="Q209" s="220">
        <f t="shared" si="253"/>
        <v>2000</v>
      </c>
      <c r="R209" s="220">
        <f t="shared" si="253"/>
        <v>2000</v>
      </c>
      <c r="S209" s="220">
        <f t="shared" si="253"/>
        <v>2000</v>
      </c>
      <c r="T209" s="220">
        <f t="shared" si="253"/>
        <v>2000</v>
      </c>
      <c r="U209" s="220">
        <f t="shared" si="254"/>
        <v>400</v>
      </c>
      <c r="V209" s="220">
        <f t="shared" si="254"/>
        <v>-3</v>
      </c>
      <c r="W209" s="220">
        <f t="shared" si="254"/>
        <v>-6</v>
      </c>
      <c r="X209" s="220">
        <f t="shared" si="254"/>
        <v>-31</v>
      </c>
      <c r="Y209" s="220">
        <f t="shared" si="254"/>
        <v>343</v>
      </c>
      <c r="Z209" s="220">
        <v>1</v>
      </c>
      <c r="AA209" s="192">
        <v>8</v>
      </c>
      <c r="AB209" s="192">
        <v>8</v>
      </c>
      <c r="AC209" s="220">
        <v>8</v>
      </c>
      <c r="AD209" s="220">
        <v>0</v>
      </c>
      <c r="AE209" s="220">
        <f t="shared" si="255"/>
        <v>-249</v>
      </c>
      <c r="AF209" s="220">
        <f t="shared" si="231"/>
        <v>-566</v>
      </c>
      <c r="AG209" s="220">
        <f t="shared" si="232"/>
        <v>-806</v>
      </c>
      <c r="AH209" s="220">
        <f t="shared" si="233"/>
        <v>-563</v>
      </c>
      <c r="AI209" s="220">
        <f t="shared" si="234"/>
        <v>-213</v>
      </c>
      <c r="AJ209" s="50">
        <f t="shared" si="235"/>
        <v>0.96100000000001118</v>
      </c>
      <c r="AK209" s="257"/>
      <c r="AL209" s="257">
        <f t="shared" si="256"/>
        <v>1.2</v>
      </c>
      <c r="AM209" s="52"/>
      <c r="AN209" s="88"/>
    </row>
    <row r="210" spans="1:41" s="29" customFormat="1" ht="17.25" customHeight="1">
      <c r="A210" s="48">
        <v>200</v>
      </c>
      <c r="B210" s="49">
        <f t="shared" si="250"/>
        <v>45784</v>
      </c>
      <c r="C210" s="220">
        <f t="shared" si="251"/>
        <v>1069</v>
      </c>
      <c r="D210" s="220">
        <f t="shared" si="236"/>
        <v>2282</v>
      </c>
      <c r="E210" s="220">
        <f t="shared" si="252"/>
        <v>3351</v>
      </c>
      <c r="F210" s="220">
        <f t="shared" si="245"/>
        <v>952</v>
      </c>
      <c r="G210" s="220">
        <f t="shared" si="246"/>
        <v>1362</v>
      </c>
      <c r="H210" s="220">
        <f t="shared" si="247"/>
        <v>1366</v>
      </c>
      <c r="I210" s="220">
        <f t="shared" si="248"/>
        <v>1391</v>
      </c>
      <c r="J210" s="220">
        <f t="shared" si="249"/>
        <v>1009</v>
      </c>
      <c r="K210" s="220">
        <f t="shared" si="210"/>
        <v>2399</v>
      </c>
      <c r="L210" s="220">
        <f t="shared" si="210"/>
        <v>1989</v>
      </c>
      <c r="M210" s="220">
        <f t="shared" si="210"/>
        <v>1985</v>
      </c>
      <c r="N210" s="220">
        <f t="shared" si="210"/>
        <v>1960</v>
      </c>
      <c r="O210" s="220">
        <f t="shared" si="210"/>
        <v>2342</v>
      </c>
      <c r="P210" s="220">
        <f t="shared" si="253"/>
        <v>2000</v>
      </c>
      <c r="Q210" s="220">
        <f t="shared" si="253"/>
        <v>2000</v>
      </c>
      <c r="R210" s="220">
        <f t="shared" si="253"/>
        <v>2000</v>
      </c>
      <c r="S210" s="220">
        <f t="shared" si="253"/>
        <v>2000</v>
      </c>
      <c r="T210" s="220">
        <f t="shared" si="253"/>
        <v>2000</v>
      </c>
      <c r="U210" s="220">
        <f t="shared" si="254"/>
        <v>399</v>
      </c>
      <c r="V210" s="220">
        <f t="shared" si="254"/>
        <v>-11</v>
      </c>
      <c r="W210" s="220">
        <f t="shared" si="254"/>
        <v>-15</v>
      </c>
      <c r="X210" s="220">
        <f t="shared" si="254"/>
        <v>-40</v>
      </c>
      <c r="Y210" s="220">
        <f t="shared" si="254"/>
        <v>342</v>
      </c>
      <c r="Z210" s="220">
        <v>1</v>
      </c>
      <c r="AA210" s="192">
        <v>8</v>
      </c>
      <c r="AB210" s="192">
        <v>9</v>
      </c>
      <c r="AC210" s="220">
        <v>9</v>
      </c>
      <c r="AD210" s="220">
        <v>1</v>
      </c>
      <c r="AE210" s="220">
        <f t="shared" si="255"/>
        <v>-250</v>
      </c>
      <c r="AF210" s="220">
        <f t="shared" si="231"/>
        <v>-574</v>
      </c>
      <c r="AG210" s="220">
        <f t="shared" si="232"/>
        <v>-815</v>
      </c>
      <c r="AH210" s="220">
        <f t="shared" si="233"/>
        <v>-572</v>
      </c>
      <c r="AI210" s="220">
        <f t="shared" si="234"/>
        <v>-214</v>
      </c>
      <c r="AJ210" s="50">
        <f t="shared" si="235"/>
        <v>0.95200000000001117</v>
      </c>
      <c r="AK210" s="257"/>
      <c r="AL210" s="257">
        <f t="shared" si="256"/>
        <v>1.2</v>
      </c>
      <c r="AM210" s="52"/>
      <c r="AN210" s="88"/>
    </row>
    <row r="211" spans="1:41" s="29" customFormat="1" ht="17.25" customHeight="1">
      <c r="A211" s="48">
        <v>201</v>
      </c>
      <c r="B211" s="49">
        <f t="shared" si="250"/>
        <v>45785</v>
      </c>
      <c r="C211" s="220">
        <f t="shared" si="251"/>
        <v>1069</v>
      </c>
      <c r="D211" s="220">
        <f t="shared" si="237"/>
        <v>2314</v>
      </c>
      <c r="E211" s="220">
        <f t="shared" si="252"/>
        <v>3383</v>
      </c>
      <c r="F211" s="220">
        <f t="shared" si="245"/>
        <v>984</v>
      </c>
      <c r="G211" s="220">
        <f t="shared" si="246"/>
        <v>1403</v>
      </c>
      <c r="H211" s="220">
        <f t="shared" si="247"/>
        <v>1406</v>
      </c>
      <c r="I211" s="220">
        <f t="shared" si="248"/>
        <v>1431</v>
      </c>
      <c r="J211" s="220">
        <f t="shared" si="249"/>
        <v>1041</v>
      </c>
      <c r="K211" s="220">
        <f t="shared" si="210"/>
        <v>2399</v>
      </c>
      <c r="L211" s="220">
        <f t="shared" si="210"/>
        <v>1980</v>
      </c>
      <c r="M211" s="220">
        <f t="shared" si="210"/>
        <v>1977</v>
      </c>
      <c r="N211" s="220">
        <f t="shared" si="210"/>
        <v>1952</v>
      </c>
      <c r="O211" s="220">
        <f t="shared" si="210"/>
        <v>2342</v>
      </c>
      <c r="P211" s="220">
        <f t="shared" si="253"/>
        <v>2000</v>
      </c>
      <c r="Q211" s="220">
        <f t="shared" si="253"/>
        <v>2000</v>
      </c>
      <c r="R211" s="220">
        <f t="shared" si="253"/>
        <v>2000</v>
      </c>
      <c r="S211" s="220">
        <f t="shared" si="253"/>
        <v>2000</v>
      </c>
      <c r="T211" s="220">
        <f t="shared" si="253"/>
        <v>2000</v>
      </c>
      <c r="U211" s="220">
        <f t="shared" si="254"/>
        <v>399</v>
      </c>
      <c r="V211" s="220">
        <f t="shared" si="254"/>
        <v>-20</v>
      </c>
      <c r="W211" s="220">
        <f t="shared" si="254"/>
        <v>-23</v>
      </c>
      <c r="X211" s="220">
        <f t="shared" si="254"/>
        <v>-48</v>
      </c>
      <c r="Y211" s="220">
        <f t="shared" si="254"/>
        <v>342</v>
      </c>
      <c r="Z211" s="220">
        <v>0</v>
      </c>
      <c r="AA211" s="192">
        <v>9</v>
      </c>
      <c r="AB211" s="192">
        <v>8</v>
      </c>
      <c r="AC211" s="220">
        <v>8</v>
      </c>
      <c r="AD211" s="220">
        <v>0</v>
      </c>
      <c r="AE211" s="220">
        <f t="shared" si="255"/>
        <v>-250</v>
      </c>
      <c r="AF211" s="220">
        <f t="shared" si="231"/>
        <v>-583</v>
      </c>
      <c r="AG211" s="220">
        <f t="shared" si="232"/>
        <v>-823</v>
      </c>
      <c r="AH211" s="220">
        <f t="shared" si="233"/>
        <v>-580</v>
      </c>
      <c r="AI211" s="220">
        <f t="shared" si="234"/>
        <v>-214</v>
      </c>
      <c r="AJ211" s="50">
        <f t="shared" si="235"/>
        <v>0.94400000000001116</v>
      </c>
      <c r="AK211" s="257"/>
      <c r="AL211" s="257">
        <f t="shared" si="256"/>
        <v>1.2</v>
      </c>
      <c r="AM211" s="52"/>
      <c r="AN211" s="88"/>
    </row>
    <row r="212" spans="1:41" s="68" customFormat="1" ht="17.25" customHeight="1">
      <c r="A212" s="105">
        <v>202</v>
      </c>
      <c r="B212" s="49">
        <f t="shared" si="250"/>
        <v>45786</v>
      </c>
      <c r="C212" s="192">
        <f t="shared" si="251"/>
        <v>1069</v>
      </c>
      <c r="D212" s="192">
        <f t="shared" si="238"/>
        <v>2296</v>
      </c>
      <c r="E212" s="192">
        <f t="shared" si="252"/>
        <v>3365</v>
      </c>
      <c r="F212" s="192">
        <f t="shared" si="245"/>
        <v>974</v>
      </c>
      <c r="G212" s="192">
        <f t="shared" si="246"/>
        <v>1394</v>
      </c>
      <c r="H212" s="192">
        <f t="shared" si="247"/>
        <v>1397</v>
      </c>
      <c r="I212" s="192">
        <f t="shared" si="248"/>
        <v>1420</v>
      </c>
      <c r="J212" s="192">
        <f t="shared" si="249"/>
        <v>1031</v>
      </c>
      <c r="K212" s="192">
        <f t="shared" si="210"/>
        <v>2391</v>
      </c>
      <c r="L212" s="192">
        <f t="shared" si="210"/>
        <v>1971</v>
      </c>
      <c r="M212" s="192">
        <f t="shared" si="210"/>
        <v>1968</v>
      </c>
      <c r="N212" s="192">
        <f t="shared" si="210"/>
        <v>1945</v>
      </c>
      <c r="O212" s="192">
        <f t="shared" si="210"/>
        <v>2334</v>
      </c>
      <c r="P212" s="192">
        <f t="shared" si="253"/>
        <v>2000</v>
      </c>
      <c r="Q212" s="192">
        <f t="shared" si="253"/>
        <v>2000</v>
      </c>
      <c r="R212" s="192">
        <f t="shared" si="253"/>
        <v>2000</v>
      </c>
      <c r="S212" s="192">
        <f t="shared" si="253"/>
        <v>2000</v>
      </c>
      <c r="T212" s="192">
        <f t="shared" si="253"/>
        <v>2000</v>
      </c>
      <c r="U212" s="192">
        <f t="shared" si="254"/>
        <v>391</v>
      </c>
      <c r="V212" s="192">
        <f t="shared" si="254"/>
        <v>-29</v>
      </c>
      <c r="W212" s="192">
        <f t="shared" si="254"/>
        <v>-32</v>
      </c>
      <c r="X212" s="192">
        <f t="shared" si="254"/>
        <v>-55</v>
      </c>
      <c r="Y212" s="192">
        <f t="shared" si="254"/>
        <v>334</v>
      </c>
      <c r="Z212" s="192">
        <v>8</v>
      </c>
      <c r="AA212" s="192">
        <v>9</v>
      </c>
      <c r="AB212" s="192">
        <v>9</v>
      </c>
      <c r="AC212" s="192">
        <v>7</v>
      </c>
      <c r="AD212" s="192">
        <v>8</v>
      </c>
      <c r="AE212" s="192">
        <f t="shared" si="255"/>
        <v>-258</v>
      </c>
      <c r="AF212" s="220">
        <f t="shared" si="231"/>
        <v>-592</v>
      </c>
      <c r="AG212" s="220">
        <f t="shared" si="232"/>
        <v>-832</v>
      </c>
      <c r="AH212" s="220">
        <f t="shared" si="233"/>
        <v>-587</v>
      </c>
      <c r="AI212" s="220">
        <f t="shared" si="234"/>
        <v>-222</v>
      </c>
      <c r="AJ212" s="50">
        <f t="shared" si="235"/>
        <v>0.93500000000001116</v>
      </c>
      <c r="AK212" s="203"/>
      <c r="AL212" s="203">
        <f t="shared" si="256"/>
        <v>1.2</v>
      </c>
      <c r="AM212" s="262"/>
      <c r="AN212" s="263"/>
      <c r="AO212" s="68" t="s">
        <v>152</v>
      </c>
    </row>
    <row r="213" spans="1:41" s="29" customFormat="1" ht="17.25" customHeight="1">
      <c r="A213" s="48">
        <v>203</v>
      </c>
      <c r="B213" s="49">
        <f t="shared" si="250"/>
        <v>45787</v>
      </c>
      <c r="C213" s="220">
        <f t="shared" si="251"/>
        <v>1069</v>
      </c>
      <c r="D213" s="220">
        <f t="shared" si="239"/>
        <v>2270</v>
      </c>
      <c r="E213" s="220">
        <f t="shared" si="252"/>
        <v>3339</v>
      </c>
      <c r="F213" s="220">
        <f t="shared" si="245"/>
        <v>956</v>
      </c>
      <c r="G213" s="220">
        <f t="shared" si="246"/>
        <v>1376</v>
      </c>
      <c r="H213" s="220">
        <f t="shared" si="247"/>
        <v>1380</v>
      </c>
      <c r="I213" s="220">
        <f t="shared" si="248"/>
        <v>1401</v>
      </c>
      <c r="J213" s="220">
        <f t="shared" si="249"/>
        <v>1013</v>
      </c>
      <c r="K213" s="220">
        <f t="shared" si="210"/>
        <v>2383</v>
      </c>
      <c r="L213" s="220">
        <f t="shared" si="210"/>
        <v>1963</v>
      </c>
      <c r="M213" s="220">
        <f t="shared" si="210"/>
        <v>1959</v>
      </c>
      <c r="N213" s="220">
        <f t="shared" si="210"/>
        <v>1938</v>
      </c>
      <c r="O213" s="220">
        <f t="shared" si="210"/>
        <v>2326</v>
      </c>
      <c r="P213" s="220">
        <f t="shared" si="253"/>
        <v>2000</v>
      </c>
      <c r="Q213" s="220">
        <f t="shared" si="253"/>
        <v>2000</v>
      </c>
      <c r="R213" s="220">
        <f t="shared" si="253"/>
        <v>2000</v>
      </c>
      <c r="S213" s="220">
        <f t="shared" si="253"/>
        <v>2000</v>
      </c>
      <c r="T213" s="220">
        <f t="shared" si="253"/>
        <v>2000</v>
      </c>
      <c r="U213" s="220">
        <f t="shared" si="254"/>
        <v>383</v>
      </c>
      <c r="V213" s="220">
        <f t="shared" si="254"/>
        <v>-37</v>
      </c>
      <c r="W213" s="220">
        <f t="shared" si="254"/>
        <v>-41</v>
      </c>
      <c r="X213" s="220">
        <f t="shared" si="254"/>
        <v>-62</v>
      </c>
      <c r="Y213" s="220">
        <f t="shared" si="254"/>
        <v>326</v>
      </c>
      <c r="Z213" s="220">
        <v>8</v>
      </c>
      <c r="AA213" s="192">
        <v>8</v>
      </c>
      <c r="AB213" s="192">
        <v>9</v>
      </c>
      <c r="AC213" s="220">
        <v>7</v>
      </c>
      <c r="AD213" s="220">
        <v>8</v>
      </c>
      <c r="AE213" s="220">
        <f t="shared" si="255"/>
        <v>-266</v>
      </c>
      <c r="AF213" s="220">
        <f t="shared" si="231"/>
        <v>-600</v>
      </c>
      <c r="AG213" s="220">
        <f t="shared" si="232"/>
        <v>-841</v>
      </c>
      <c r="AH213" s="220">
        <f t="shared" si="233"/>
        <v>-594</v>
      </c>
      <c r="AI213" s="220">
        <f t="shared" si="234"/>
        <v>-230</v>
      </c>
      <c r="AJ213" s="50">
        <f t="shared" si="235"/>
        <v>0.92600000000001115</v>
      </c>
      <c r="AK213" s="257"/>
      <c r="AL213" s="257">
        <f t="shared" si="256"/>
        <v>1.2</v>
      </c>
      <c r="AM213" s="52"/>
      <c r="AN213" s="88"/>
    </row>
    <row r="214" spans="1:41" s="29" customFormat="1" ht="17.25" customHeight="1">
      <c r="A214" s="48">
        <v>204</v>
      </c>
      <c r="B214" s="49">
        <f t="shared" si="250"/>
        <v>45788</v>
      </c>
      <c r="C214" s="220">
        <f t="shared" si="251"/>
        <v>1069</v>
      </c>
      <c r="D214" s="220">
        <f t="shared" si="243"/>
        <v>2285</v>
      </c>
      <c r="E214" s="220">
        <f t="shared" si="252"/>
        <v>3354</v>
      </c>
      <c r="F214" s="220">
        <f t="shared" si="245"/>
        <v>979</v>
      </c>
      <c r="G214" s="220">
        <f t="shared" si="246"/>
        <v>1399</v>
      </c>
      <c r="H214" s="220">
        <f t="shared" si="247"/>
        <v>1403</v>
      </c>
      <c r="I214" s="220">
        <f t="shared" si="248"/>
        <v>1424</v>
      </c>
      <c r="J214" s="220">
        <f t="shared" si="249"/>
        <v>1036</v>
      </c>
      <c r="K214" s="220">
        <f t="shared" si="210"/>
        <v>2375</v>
      </c>
      <c r="L214" s="220">
        <f t="shared" si="210"/>
        <v>1955</v>
      </c>
      <c r="M214" s="220">
        <f t="shared" si="210"/>
        <v>1951</v>
      </c>
      <c r="N214" s="220">
        <f t="shared" si="210"/>
        <v>1930</v>
      </c>
      <c r="O214" s="220">
        <f t="shared" si="210"/>
        <v>2318</v>
      </c>
      <c r="P214" s="220">
        <f t="shared" si="253"/>
        <v>2000</v>
      </c>
      <c r="Q214" s="220">
        <f t="shared" si="253"/>
        <v>2000</v>
      </c>
      <c r="R214" s="220">
        <f t="shared" si="253"/>
        <v>2000</v>
      </c>
      <c r="S214" s="220">
        <f t="shared" si="253"/>
        <v>2000</v>
      </c>
      <c r="T214" s="220">
        <f t="shared" si="253"/>
        <v>2000</v>
      </c>
      <c r="U214" s="220">
        <f t="shared" si="254"/>
        <v>375</v>
      </c>
      <c r="V214" s="220">
        <f t="shared" si="254"/>
        <v>-45</v>
      </c>
      <c r="W214" s="220">
        <f t="shared" si="254"/>
        <v>-49</v>
      </c>
      <c r="X214" s="220">
        <f t="shared" si="254"/>
        <v>-70</v>
      </c>
      <c r="Y214" s="220">
        <f t="shared" si="254"/>
        <v>318</v>
      </c>
      <c r="Z214" s="220">
        <v>8</v>
      </c>
      <c r="AA214" s="192">
        <v>8</v>
      </c>
      <c r="AB214" s="192">
        <v>8</v>
      </c>
      <c r="AC214" s="220">
        <v>8</v>
      </c>
      <c r="AD214" s="220">
        <v>8</v>
      </c>
      <c r="AE214" s="220">
        <f t="shared" si="255"/>
        <v>-274</v>
      </c>
      <c r="AF214" s="220">
        <f t="shared" si="231"/>
        <v>-608</v>
      </c>
      <c r="AG214" s="220">
        <f t="shared" si="232"/>
        <v>-849</v>
      </c>
      <c r="AH214" s="220">
        <f t="shared" si="233"/>
        <v>-602</v>
      </c>
      <c r="AI214" s="220">
        <f t="shared" si="234"/>
        <v>-238</v>
      </c>
      <c r="AJ214" s="50">
        <f t="shared" si="235"/>
        <v>0.91800000000001114</v>
      </c>
      <c r="AK214" s="257"/>
      <c r="AL214" s="257">
        <f t="shared" si="256"/>
        <v>1.2</v>
      </c>
      <c r="AM214" s="52"/>
      <c r="AN214" s="88"/>
    </row>
    <row r="215" spans="1:41" s="29" customFormat="1" ht="17.25" customHeight="1">
      <c r="A215" s="48">
        <v>205</v>
      </c>
      <c r="B215" s="49">
        <f t="shared" si="250"/>
        <v>45789</v>
      </c>
      <c r="C215" s="220">
        <f t="shared" si="251"/>
        <v>1069</v>
      </c>
      <c r="D215" s="220">
        <f t="shared" si="244"/>
        <v>2311</v>
      </c>
      <c r="E215" s="220">
        <f t="shared" si="252"/>
        <v>3380</v>
      </c>
      <c r="F215" s="220">
        <f t="shared" si="245"/>
        <v>1012</v>
      </c>
      <c r="G215" s="220">
        <f t="shared" si="246"/>
        <v>1433</v>
      </c>
      <c r="H215" s="220">
        <f t="shared" si="247"/>
        <v>1437</v>
      </c>
      <c r="I215" s="220">
        <f t="shared" si="248"/>
        <v>1458</v>
      </c>
      <c r="J215" s="220">
        <f t="shared" si="249"/>
        <v>1069</v>
      </c>
      <c r="K215" s="220">
        <f t="shared" si="210"/>
        <v>2368</v>
      </c>
      <c r="L215" s="220">
        <f t="shared" si="210"/>
        <v>1947</v>
      </c>
      <c r="M215" s="220">
        <f t="shared" si="210"/>
        <v>1943</v>
      </c>
      <c r="N215" s="220">
        <f t="shared" si="210"/>
        <v>1922</v>
      </c>
      <c r="O215" s="220">
        <f t="shared" si="210"/>
        <v>2311</v>
      </c>
      <c r="P215" s="220">
        <f t="shared" si="253"/>
        <v>2000</v>
      </c>
      <c r="Q215" s="220">
        <f t="shared" si="253"/>
        <v>2000</v>
      </c>
      <c r="R215" s="220">
        <f t="shared" si="253"/>
        <v>2000</v>
      </c>
      <c r="S215" s="220">
        <f t="shared" si="253"/>
        <v>2000</v>
      </c>
      <c r="T215" s="220">
        <f t="shared" si="253"/>
        <v>2000</v>
      </c>
      <c r="U215" s="220">
        <f t="shared" si="254"/>
        <v>368</v>
      </c>
      <c r="V215" s="220">
        <f t="shared" si="254"/>
        <v>-53</v>
      </c>
      <c r="W215" s="220">
        <f t="shared" si="254"/>
        <v>-57</v>
      </c>
      <c r="X215" s="220">
        <f t="shared" si="254"/>
        <v>-78</v>
      </c>
      <c r="Y215" s="220">
        <f t="shared" si="254"/>
        <v>311</v>
      </c>
      <c r="Z215" s="220">
        <v>7</v>
      </c>
      <c r="AA215" s="192">
        <v>8</v>
      </c>
      <c r="AB215" s="192">
        <v>8</v>
      </c>
      <c r="AC215" s="220">
        <v>8</v>
      </c>
      <c r="AD215" s="220">
        <v>7</v>
      </c>
      <c r="AE215" s="220">
        <f t="shared" si="255"/>
        <v>-281</v>
      </c>
      <c r="AF215" s="220">
        <f t="shared" si="231"/>
        <v>-616</v>
      </c>
      <c r="AG215" s="220">
        <f t="shared" si="232"/>
        <v>-857</v>
      </c>
      <c r="AH215" s="220">
        <f t="shared" si="233"/>
        <v>-610</v>
      </c>
      <c r="AI215" s="220">
        <f t="shared" si="234"/>
        <v>-245</v>
      </c>
      <c r="AJ215" s="50">
        <f t="shared" si="235"/>
        <v>0.91000000000001113</v>
      </c>
      <c r="AK215" s="257"/>
      <c r="AL215" s="257">
        <f t="shared" si="256"/>
        <v>1.2</v>
      </c>
      <c r="AM215" s="52"/>
      <c r="AN215" s="88"/>
    </row>
    <row r="216" spans="1:41" s="29" customFormat="1" ht="17.25" customHeight="1">
      <c r="A216" s="48">
        <v>206</v>
      </c>
      <c r="B216" s="49">
        <f t="shared" si="250"/>
        <v>45790</v>
      </c>
      <c r="C216" s="220">
        <f t="shared" si="251"/>
        <v>1069</v>
      </c>
      <c r="D216" s="220">
        <f t="shared" si="224"/>
        <v>2285</v>
      </c>
      <c r="E216" s="220">
        <f t="shared" si="252"/>
        <v>3354</v>
      </c>
      <c r="F216" s="220">
        <f t="shared" si="245"/>
        <v>993</v>
      </c>
      <c r="G216" s="220">
        <f t="shared" si="246"/>
        <v>1415</v>
      </c>
      <c r="H216" s="220">
        <f t="shared" si="247"/>
        <v>1420</v>
      </c>
      <c r="I216" s="220">
        <f t="shared" si="248"/>
        <v>1441</v>
      </c>
      <c r="J216" s="220">
        <f t="shared" si="249"/>
        <v>1050</v>
      </c>
      <c r="K216" s="220">
        <f t="shared" ref="K216:O216" si="257">P216+U216</f>
        <v>2361</v>
      </c>
      <c r="L216" s="220">
        <f t="shared" si="257"/>
        <v>1939</v>
      </c>
      <c r="M216" s="220">
        <f t="shared" si="257"/>
        <v>1934</v>
      </c>
      <c r="N216" s="220">
        <f t="shared" si="257"/>
        <v>1913</v>
      </c>
      <c r="O216" s="220">
        <f t="shared" si="257"/>
        <v>2304</v>
      </c>
      <c r="P216" s="220">
        <f t="shared" si="253"/>
        <v>2000</v>
      </c>
      <c r="Q216" s="220">
        <f t="shared" si="253"/>
        <v>2000</v>
      </c>
      <c r="R216" s="220">
        <f t="shared" si="253"/>
        <v>2000</v>
      </c>
      <c r="S216" s="220">
        <f t="shared" si="253"/>
        <v>2000</v>
      </c>
      <c r="T216" s="220">
        <f t="shared" si="253"/>
        <v>2000</v>
      </c>
      <c r="U216" s="220">
        <f t="shared" si="254"/>
        <v>361</v>
      </c>
      <c r="V216" s="220">
        <f t="shared" si="254"/>
        <v>-61</v>
      </c>
      <c r="W216" s="220">
        <f t="shared" si="254"/>
        <v>-66</v>
      </c>
      <c r="X216" s="220">
        <f t="shared" si="254"/>
        <v>-87</v>
      </c>
      <c r="Y216" s="220">
        <f t="shared" si="254"/>
        <v>304</v>
      </c>
      <c r="Z216" s="220">
        <v>7</v>
      </c>
      <c r="AA216" s="192">
        <v>8</v>
      </c>
      <c r="AB216" s="192">
        <v>9</v>
      </c>
      <c r="AC216" s="220">
        <v>9</v>
      </c>
      <c r="AD216" s="220">
        <v>7</v>
      </c>
      <c r="AE216" s="220">
        <f t="shared" si="255"/>
        <v>-288</v>
      </c>
      <c r="AF216" s="220">
        <f t="shared" si="231"/>
        <v>-624</v>
      </c>
      <c r="AG216" s="220">
        <f t="shared" si="232"/>
        <v>-866</v>
      </c>
      <c r="AH216" s="220">
        <f t="shared" si="233"/>
        <v>-619</v>
      </c>
      <c r="AI216" s="220">
        <f t="shared" si="234"/>
        <v>-252</v>
      </c>
      <c r="AJ216" s="50">
        <f t="shared" si="235"/>
        <v>0.90100000000001113</v>
      </c>
      <c r="AK216" s="257"/>
      <c r="AL216" s="257">
        <f t="shared" si="256"/>
        <v>1.2</v>
      </c>
      <c r="AM216" s="52"/>
      <c r="AN216" s="88"/>
    </row>
    <row r="217" spans="1:41" s="29" customFormat="1" ht="17.25" customHeight="1">
      <c r="A217" s="48">
        <v>207</v>
      </c>
      <c r="B217" s="49">
        <f t="shared" si="250"/>
        <v>45791</v>
      </c>
      <c r="C217" s="220">
        <f t="shared" si="251"/>
        <v>1069</v>
      </c>
      <c r="D217" s="220">
        <f t="shared" si="224"/>
        <v>2259</v>
      </c>
      <c r="E217" s="220">
        <f t="shared" ref="E217:E233" si="258">+C217+D217</f>
        <v>3328</v>
      </c>
      <c r="F217" s="220">
        <f t="shared" ref="F217:F233" si="259">E217-K217</f>
        <v>974</v>
      </c>
      <c r="G217" s="220">
        <f t="shared" ref="G217:G233" si="260">E217-L217</f>
        <v>1397</v>
      </c>
      <c r="H217" s="220">
        <f t="shared" ref="H217:H233" si="261">E217-M217</f>
        <v>1403</v>
      </c>
      <c r="I217" s="220">
        <f t="shared" ref="I217:I233" si="262">E217-N217</f>
        <v>1423</v>
      </c>
      <c r="J217" s="220">
        <f t="shared" ref="J217:J233" si="263">E217-O217</f>
        <v>1031</v>
      </c>
      <c r="K217" s="220">
        <f t="shared" ref="K217:K233" si="264">P217+U217</f>
        <v>2354</v>
      </c>
      <c r="L217" s="220">
        <f t="shared" ref="L217:L233" si="265">Q217+V217</f>
        <v>1931</v>
      </c>
      <c r="M217" s="220">
        <f t="shared" ref="M217:M233" si="266">R217+W217</f>
        <v>1925</v>
      </c>
      <c r="N217" s="220">
        <f t="shared" ref="N217:N233" si="267">S217+X217</f>
        <v>1905</v>
      </c>
      <c r="O217" s="220">
        <f t="shared" ref="O217:O233" si="268">T217+Y217</f>
        <v>2297</v>
      </c>
      <c r="P217" s="220">
        <f t="shared" ref="P217:T217" si="269">+P216</f>
        <v>2000</v>
      </c>
      <c r="Q217" s="220">
        <f t="shared" si="269"/>
        <v>2000</v>
      </c>
      <c r="R217" s="220">
        <f t="shared" si="269"/>
        <v>2000</v>
      </c>
      <c r="S217" s="220">
        <f t="shared" si="269"/>
        <v>2000</v>
      </c>
      <c r="T217" s="220">
        <f t="shared" si="269"/>
        <v>2000</v>
      </c>
      <c r="U217" s="220">
        <f t="shared" ref="U217:U233" si="270">U216-Z217</f>
        <v>354</v>
      </c>
      <c r="V217" s="220">
        <f t="shared" ref="V217:V233" si="271">V216-AA217</f>
        <v>-69</v>
      </c>
      <c r="W217" s="220">
        <f t="shared" ref="W217:W233" si="272">W216-AB217</f>
        <v>-75</v>
      </c>
      <c r="X217" s="220">
        <f t="shared" ref="X217:X233" si="273">X216-AC217</f>
        <v>-95</v>
      </c>
      <c r="Y217" s="220">
        <f t="shared" ref="Y217:Y233" si="274">Y216-AD217</f>
        <v>297</v>
      </c>
      <c r="Z217" s="220">
        <v>7</v>
      </c>
      <c r="AA217" s="192">
        <v>8</v>
      </c>
      <c r="AB217" s="192">
        <v>9</v>
      </c>
      <c r="AC217" s="220">
        <v>8</v>
      </c>
      <c r="AD217" s="220">
        <v>7</v>
      </c>
      <c r="AE217" s="220">
        <f t="shared" ref="AE217:AE233" si="275">AE216-Z217</f>
        <v>-295</v>
      </c>
      <c r="AF217" s="220">
        <f t="shared" ref="AF217:AF233" si="276">AF216-AA217</f>
        <v>-632</v>
      </c>
      <c r="AG217" s="220">
        <f t="shared" ref="AG217:AG233" si="277">AG216-AB217</f>
        <v>-875</v>
      </c>
      <c r="AH217" s="220">
        <f t="shared" ref="AH217:AH233" si="278">AH216-AC217</f>
        <v>-627</v>
      </c>
      <c r="AI217" s="220">
        <f t="shared" ref="AI217:AI233" si="279">AI216-AD217</f>
        <v>-259</v>
      </c>
      <c r="AJ217" s="50">
        <f t="shared" ref="AJ217:AJ233" si="280">AJ216-AB217/1000+AK217</f>
        <v>0.89200000000001112</v>
      </c>
      <c r="AK217" s="257"/>
      <c r="AL217" s="257">
        <f t="shared" ref="AL217:AL233" si="281">AL216+AK217</f>
        <v>1.2</v>
      </c>
      <c r="AM217" s="52"/>
      <c r="AN217" s="88"/>
    </row>
    <row r="218" spans="1:41" s="29" customFormat="1" ht="17.25" customHeight="1">
      <c r="A218" s="48">
        <v>208</v>
      </c>
      <c r="B218" s="49">
        <f t="shared" si="250"/>
        <v>45792</v>
      </c>
      <c r="C218" s="220">
        <f t="shared" si="251"/>
        <v>1069</v>
      </c>
      <c r="D218" s="220">
        <f t="shared" si="224"/>
        <v>2233</v>
      </c>
      <c r="E218" s="220">
        <f t="shared" si="258"/>
        <v>3302</v>
      </c>
      <c r="F218" s="220">
        <f t="shared" si="259"/>
        <v>955</v>
      </c>
      <c r="G218" s="220">
        <f t="shared" si="260"/>
        <v>1379</v>
      </c>
      <c r="H218" s="220">
        <f t="shared" si="261"/>
        <v>1386</v>
      </c>
      <c r="I218" s="220">
        <f t="shared" si="262"/>
        <v>1406</v>
      </c>
      <c r="J218" s="220">
        <f t="shared" si="263"/>
        <v>1012</v>
      </c>
      <c r="K218" s="220">
        <f t="shared" si="264"/>
        <v>2347</v>
      </c>
      <c r="L218" s="220">
        <f t="shared" si="265"/>
        <v>1923</v>
      </c>
      <c r="M218" s="220">
        <f t="shared" si="266"/>
        <v>1916</v>
      </c>
      <c r="N218" s="220">
        <f t="shared" si="267"/>
        <v>1896</v>
      </c>
      <c r="O218" s="220">
        <f t="shared" si="268"/>
        <v>2290</v>
      </c>
      <c r="P218" s="220">
        <f t="shared" ref="P218:T218" si="282">+P217</f>
        <v>2000</v>
      </c>
      <c r="Q218" s="220">
        <f t="shared" si="282"/>
        <v>2000</v>
      </c>
      <c r="R218" s="220">
        <f t="shared" si="282"/>
        <v>2000</v>
      </c>
      <c r="S218" s="220">
        <f t="shared" si="282"/>
        <v>2000</v>
      </c>
      <c r="T218" s="220">
        <f t="shared" si="282"/>
        <v>2000</v>
      </c>
      <c r="U218" s="220">
        <f t="shared" si="270"/>
        <v>347</v>
      </c>
      <c r="V218" s="220">
        <f t="shared" si="271"/>
        <v>-77</v>
      </c>
      <c r="W218" s="220">
        <f t="shared" si="272"/>
        <v>-84</v>
      </c>
      <c r="X218" s="220">
        <f t="shared" si="273"/>
        <v>-104</v>
      </c>
      <c r="Y218" s="220">
        <f t="shared" si="274"/>
        <v>290</v>
      </c>
      <c r="Z218" s="220">
        <v>7</v>
      </c>
      <c r="AA218" s="192">
        <v>8</v>
      </c>
      <c r="AB218" s="192">
        <v>9</v>
      </c>
      <c r="AC218" s="220">
        <v>9</v>
      </c>
      <c r="AD218" s="220">
        <v>7</v>
      </c>
      <c r="AE218" s="220">
        <f t="shared" si="275"/>
        <v>-302</v>
      </c>
      <c r="AF218" s="220">
        <f t="shared" si="276"/>
        <v>-640</v>
      </c>
      <c r="AG218" s="220">
        <f t="shared" si="277"/>
        <v>-884</v>
      </c>
      <c r="AH218" s="220">
        <f t="shared" si="278"/>
        <v>-636</v>
      </c>
      <c r="AI218" s="220">
        <f t="shared" si="279"/>
        <v>-266</v>
      </c>
      <c r="AJ218" s="50">
        <f t="shared" si="280"/>
        <v>0.88300000000001111</v>
      </c>
      <c r="AK218" s="257"/>
      <c r="AL218" s="257">
        <f t="shared" si="281"/>
        <v>1.2</v>
      </c>
      <c r="AM218" s="52"/>
      <c r="AN218" s="88"/>
    </row>
    <row r="219" spans="1:41" s="29" customFormat="1" ht="17.25" customHeight="1">
      <c r="A219" s="48">
        <v>209</v>
      </c>
      <c r="B219" s="49">
        <f t="shared" si="250"/>
        <v>45793</v>
      </c>
      <c r="C219" s="220">
        <f t="shared" si="251"/>
        <v>1069</v>
      </c>
      <c r="D219" s="220">
        <f t="shared" si="224"/>
        <v>2207</v>
      </c>
      <c r="E219" s="220">
        <f t="shared" si="258"/>
        <v>3276</v>
      </c>
      <c r="F219" s="220">
        <f t="shared" si="259"/>
        <v>936</v>
      </c>
      <c r="G219" s="220">
        <f t="shared" si="260"/>
        <v>1362</v>
      </c>
      <c r="H219" s="220">
        <f t="shared" si="261"/>
        <v>1368</v>
      </c>
      <c r="I219" s="220">
        <f t="shared" si="262"/>
        <v>1388</v>
      </c>
      <c r="J219" s="220">
        <f t="shared" si="263"/>
        <v>993</v>
      </c>
      <c r="K219" s="220">
        <f t="shared" si="264"/>
        <v>2340</v>
      </c>
      <c r="L219" s="220">
        <f t="shared" si="265"/>
        <v>1914</v>
      </c>
      <c r="M219" s="220">
        <f t="shared" si="266"/>
        <v>1908</v>
      </c>
      <c r="N219" s="220">
        <f t="shared" si="267"/>
        <v>1888</v>
      </c>
      <c r="O219" s="220">
        <f t="shared" si="268"/>
        <v>2283</v>
      </c>
      <c r="P219" s="220">
        <f t="shared" ref="P219:T219" si="283">+P218</f>
        <v>2000</v>
      </c>
      <c r="Q219" s="220">
        <f t="shared" si="283"/>
        <v>2000</v>
      </c>
      <c r="R219" s="220">
        <f t="shared" si="283"/>
        <v>2000</v>
      </c>
      <c r="S219" s="220">
        <f t="shared" si="283"/>
        <v>2000</v>
      </c>
      <c r="T219" s="220">
        <f t="shared" si="283"/>
        <v>2000</v>
      </c>
      <c r="U219" s="220">
        <f t="shared" si="270"/>
        <v>340</v>
      </c>
      <c r="V219" s="220">
        <f t="shared" si="271"/>
        <v>-86</v>
      </c>
      <c r="W219" s="220">
        <f t="shared" si="272"/>
        <v>-92</v>
      </c>
      <c r="X219" s="220">
        <f t="shared" si="273"/>
        <v>-112</v>
      </c>
      <c r="Y219" s="220">
        <f t="shared" si="274"/>
        <v>283</v>
      </c>
      <c r="Z219" s="220">
        <v>7</v>
      </c>
      <c r="AA219" s="192">
        <v>9</v>
      </c>
      <c r="AB219" s="192">
        <v>8</v>
      </c>
      <c r="AC219" s="220">
        <v>8</v>
      </c>
      <c r="AD219" s="220">
        <v>7</v>
      </c>
      <c r="AE219" s="220">
        <f t="shared" si="275"/>
        <v>-309</v>
      </c>
      <c r="AF219" s="220">
        <f t="shared" si="276"/>
        <v>-649</v>
      </c>
      <c r="AG219" s="220">
        <f t="shared" si="277"/>
        <v>-892</v>
      </c>
      <c r="AH219" s="220">
        <f t="shared" si="278"/>
        <v>-644</v>
      </c>
      <c r="AI219" s="220">
        <f t="shared" si="279"/>
        <v>-273</v>
      </c>
      <c r="AJ219" s="50">
        <f t="shared" si="280"/>
        <v>0.8750000000000111</v>
      </c>
      <c r="AK219" s="257"/>
      <c r="AL219" s="257">
        <f t="shared" si="281"/>
        <v>1.2</v>
      </c>
      <c r="AM219" s="52"/>
      <c r="AN219" s="88"/>
    </row>
    <row r="220" spans="1:41" s="29" customFormat="1" ht="17.25" customHeight="1">
      <c r="A220" s="48">
        <v>210</v>
      </c>
      <c r="B220" s="49">
        <f t="shared" si="250"/>
        <v>45794</v>
      </c>
      <c r="C220" s="220">
        <f t="shared" si="251"/>
        <v>1069</v>
      </c>
      <c r="D220" s="220">
        <f t="shared" si="224"/>
        <v>2181</v>
      </c>
      <c r="E220" s="220">
        <f t="shared" si="258"/>
        <v>3250</v>
      </c>
      <c r="F220" s="220">
        <f t="shared" si="259"/>
        <v>917</v>
      </c>
      <c r="G220" s="220">
        <f t="shared" si="260"/>
        <v>1345</v>
      </c>
      <c r="H220" s="220">
        <f t="shared" si="261"/>
        <v>1350</v>
      </c>
      <c r="I220" s="220">
        <f t="shared" si="262"/>
        <v>1371</v>
      </c>
      <c r="J220" s="220">
        <f t="shared" si="263"/>
        <v>974</v>
      </c>
      <c r="K220" s="220">
        <f t="shared" si="264"/>
        <v>2333</v>
      </c>
      <c r="L220" s="220">
        <f t="shared" si="265"/>
        <v>1905</v>
      </c>
      <c r="M220" s="220">
        <f t="shared" si="266"/>
        <v>1900</v>
      </c>
      <c r="N220" s="220">
        <f t="shared" si="267"/>
        <v>1879</v>
      </c>
      <c r="O220" s="220">
        <f t="shared" si="268"/>
        <v>2276</v>
      </c>
      <c r="P220" s="220">
        <f t="shared" ref="P220:T220" si="284">+P219</f>
        <v>2000</v>
      </c>
      <c r="Q220" s="220">
        <f t="shared" si="284"/>
        <v>2000</v>
      </c>
      <c r="R220" s="220">
        <f t="shared" si="284"/>
        <v>2000</v>
      </c>
      <c r="S220" s="220">
        <f t="shared" si="284"/>
        <v>2000</v>
      </c>
      <c r="T220" s="220">
        <f t="shared" si="284"/>
        <v>2000</v>
      </c>
      <c r="U220" s="220">
        <f t="shared" si="270"/>
        <v>333</v>
      </c>
      <c r="V220" s="220">
        <f t="shared" si="271"/>
        <v>-95</v>
      </c>
      <c r="W220" s="220">
        <f t="shared" si="272"/>
        <v>-100</v>
      </c>
      <c r="X220" s="220">
        <f t="shared" si="273"/>
        <v>-121</v>
      </c>
      <c r="Y220" s="220">
        <f t="shared" si="274"/>
        <v>276</v>
      </c>
      <c r="Z220" s="220">
        <v>7</v>
      </c>
      <c r="AA220" s="192">
        <v>9</v>
      </c>
      <c r="AB220" s="192">
        <v>8</v>
      </c>
      <c r="AC220" s="220">
        <v>9</v>
      </c>
      <c r="AD220" s="220">
        <v>7</v>
      </c>
      <c r="AE220" s="220">
        <f t="shared" si="275"/>
        <v>-316</v>
      </c>
      <c r="AF220" s="220">
        <f t="shared" si="276"/>
        <v>-658</v>
      </c>
      <c r="AG220" s="220">
        <f t="shared" si="277"/>
        <v>-900</v>
      </c>
      <c r="AH220" s="220">
        <f t="shared" si="278"/>
        <v>-653</v>
      </c>
      <c r="AI220" s="220">
        <f t="shared" si="279"/>
        <v>-280</v>
      </c>
      <c r="AJ220" s="50">
        <f t="shared" si="280"/>
        <v>0.8670000000000111</v>
      </c>
      <c r="AK220" s="257"/>
      <c r="AL220" s="257">
        <f t="shared" si="281"/>
        <v>1.2</v>
      </c>
      <c r="AM220" s="52"/>
      <c r="AN220" s="88"/>
    </row>
    <row r="221" spans="1:41" s="29" customFormat="1" ht="17.25" customHeight="1">
      <c r="A221" s="48">
        <v>211</v>
      </c>
      <c r="B221" s="49">
        <f t="shared" si="250"/>
        <v>45795</v>
      </c>
      <c r="C221" s="220">
        <f t="shared" si="251"/>
        <v>1069</v>
      </c>
      <c r="D221" s="220">
        <f t="shared" si="224"/>
        <v>2155</v>
      </c>
      <c r="E221" s="220">
        <f t="shared" si="258"/>
        <v>3224</v>
      </c>
      <c r="F221" s="220">
        <f t="shared" si="259"/>
        <v>898</v>
      </c>
      <c r="G221" s="220">
        <f t="shared" si="260"/>
        <v>1327</v>
      </c>
      <c r="H221" s="220">
        <f t="shared" si="261"/>
        <v>1333</v>
      </c>
      <c r="I221" s="220">
        <f t="shared" si="262"/>
        <v>1354</v>
      </c>
      <c r="J221" s="220">
        <f t="shared" si="263"/>
        <v>955</v>
      </c>
      <c r="K221" s="220">
        <f t="shared" si="264"/>
        <v>2326</v>
      </c>
      <c r="L221" s="220">
        <f t="shared" si="265"/>
        <v>1897</v>
      </c>
      <c r="M221" s="220">
        <f t="shared" si="266"/>
        <v>1891</v>
      </c>
      <c r="N221" s="220">
        <f t="shared" si="267"/>
        <v>1870</v>
      </c>
      <c r="O221" s="220">
        <f t="shared" si="268"/>
        <v>2269</v>
      </c>
      <c r="P221" s="220">
        <f t="shared" ref="P221:T221" si="285">+P220</f>
        <v>2000</v>
      </c>
      <c r="Q221" s="220">
        <f t="shared" si="285"/>
        <v>2000</v>
      </c>
      <c r="R221" s="220">
        <f t="shared" si="285"/>
        <v>2000</v>
      </c>
      <c r="S221" s="220">
        <f t="shared" si="285"/>
        <v>2000</v>
      </c>
      <c r="T221" s="220">
        <f t="shared" si="285"/>
        <v>2000</v>
      </c>
      <c r="U221" s="220">
        <f t="shared" si="270"/>
        <v>326</v>
      </c>
      <c r="V221" s="220">
        <f t="shared" si="271"/>
        <v>-103</v>
      </c>
      <c r="W221" s="220">
        <f t="shared" si="272"/>
        <v>-109</v>
      </c>
      <c r="X221" s="220">
        <f t="shared" si="273"/>
        <v>-130</v>
      </c>
      <c r="Y221" s="220">
        <f t="shared" si="274"/>
        <v>269</v>
      </c>
      <c r="Z221" s="220">
        <v>7</v>
      </c>
      <c r="AA221" s="192">
        <v>8</v>
      </c>
      <c r="AB221" s="192">
        <v>9</v>
      </c>
      <c r="AC221" s="220">
        <v>9</v>
      </c>
      <c r="AD221" s="220">
        <v>7</v>
      </c>
      <c r="AE221" s="220">
        <f t="shared" si="275"/>
        <v>-323</v>
      </c>
      <c r="AF221" s="220">
        <f t="shared" si="276"/>
        <v>-666</v>
      </c>
      <c r="AG221" s="220">
        <f t="shared" si="277"/>
        <v>-909</v>
      </c>
      <c r="AH221" s="220">
        <f t="shared" si="278"/>
        <v>-662</v>
      </c>
      <c r="AI221" s="220">
        <f t="shared" si="279"/>
        <v>-287</v>
      </c>
      <c r="AJ221" s="50">
        <f t="shared" si="280"/>
        <v>0.85800000000001109</v>
      </c>
      <c r="AK221" s="257"/>
      <c r="AL221" s="257">
        <f t="shared" si="281"/>
        <v>1.2</v>
      </c>
      <c r="AM221" s="52"/>
      <c r="AN221" s="88"/>
    </row>
    <row r="222" spans="1:41" s="29" customFormat="1" ht="17.25" customHeight="1">
      <c r="A222" s="48">
        <v>212</v>
      </c>
      <c r="B222" s="49">
        <f t="shared" si="250"/>
        <v>45796</v>
      </c>
      <c r="C222" s="220">
        <f t="shared" si="251"/>
        <v>1069</v>
      </c>
      <c r="D222" s="220">
        <f t="shared" si="224"/>
        <v>2129</v>
      </c>
      <c r="E222" s="220">
        <f t="shared" si="258"/>
        <v>3198</v>
      </c>
      <c r="F222" s="220">
        <f t="shared" si="259"/>
        <v>879</v>
      </c>
      <c r="G222" s="220">
        <f t="shared" si="260"/>
        <v>1309</v>
      </c>
      <c r="H222" s="220">
        <f t="shared" si="261"/>
        <v>1315</v>
      </c>
      <c r="I222" s="220">
        <f t="shared" si="262"/>
        <v>1336</v>
      </c>
      <c r="J222" s="220">
        <f t="shared" si="263"/>
        <v>936</v>
      </c>
      <c r="K222" s="220">
        <f t="shared" si="264"/>
        <v>2319</v>
      </c>
      <c r="L222" s="220">
        <f t="shared" si="265"/>
        <v>1889</v>
      </c>
      <c r="M222" s="220">
        <f t="shared" si="266"/>
        <v>1883</v>
      </c>
      <c r="N222" s="220">
        <f t="shared" si="267"/>
        <v>1862</v>
      </c>
      <c r="O222" s="220">
        <f t="shared" si="268"/>
        <v>2262</v>
      </c>
      <c r="P222" s="220">
        <f t="shared" ref="P222:T222" si="286">+P221</f>
        <v>2000</v>
      </c>
      <c r="Q222" s="220">
        <f t="shared" si="286"/>
        <v>2000</v>
      </c>
      <c r="R222" s="220">
        <f t="shared" si="286"/>
        <v>2000</v>
      </c>
      <c r="S222" s="220">
        <f t="shared" si="286"/>
        <v>2000</v>
      </c>
      <c r="T222" s="220">
        <f t="shared" si="286"/>
        <v>2000</v>
      </c>
      <c r="U222" s="220">
        <f t="shared" si="270"/>
        <v>319</v>
      </c>
      <c r="V222" s="220">
        <f t="shared" si="271"/>
        <v>-111</v>
      </c>
      <c r="W222" s="220">
        <f t="shared" si="272"/>
        <v>-117</v>
      </c>
      <c r="X222" s="220">
        <f t="shared" si="273"/>
        <v>-138</v>
      </c>
      <c r="Y222" s="220">
        <f t="shared" si="274"/>
        <v>262</v>
      </c>
      <c r="Z222" s="220">
        <v>7</v>
      </c>
      <c r="AA222" s="192">
        <v>8</v>
      </c>
      <c r="AB222" s="192">
        <v>8</v>
      </c>
      <c r="AC222" s="220">
        <v>8</v>
      </c>
      <c r="AD222" s="220">
        <v>7</v>
      </c>
      <c r="AE222" s="220">
        <f t="shared" si="275"/>
        <v>-330</v>
      </c>
      <c r="AF222" s="220">
        <f t="shared" si="276"/>
        <v>-674</v>
      </c>
      <c r="AG222" s="220">
        <f t="shared" si="277"/>
        <v>-917</v>
      </c>
      <c r="AH222" s="220">
        <f t="shared" si="278"/>
        <v>-670</v>
      </c>
      <c r="AI222" s="220">
        <f t="shared" si="279"/>
        <v>-294</v>
      </c>
      <c r="AJ222" s="50">
        <f t="shared" si="280"/>
        <v>0.85000000000001108</v>
      </c>
      <c r="AK222" s="257"/>
      <c r="AL222" s="257">
        <f t="shared" si="281"/>
        <v>1.2</v>
      </c>
      <c r="AM222" s="52"/>
      <c r="AN222" s="88"/>
    </row>
    <row r="223" spans="1:41" s="29" customFormat="1" ht="17.25" customHeight="1">
      <c r="A223" s="48">
        <v>213</v>
      </c>
      <c r="B223" s="49">
        <f t="shared" si="250"/>
        <v>45797</v>
      </c>
      <c r="C223" s="220">
        <f t="shared" si="251"/>
        <v>1069</v>
      </c>
      <c r="D223" s="220">
        <f t="shared" si="224"/>
        <v>2103</v>
      </c>
      <c r="E223" s="220">
        <f t="shared" si="258"/>
        <v>3172</v>
      </c>
      <c r="F223" s="220">
        <f t="shared" si="259"/>
        <v>860</v>
      </c>
      <c r="G223" s="220">
        <f t="shared" si="260"/>
        <v>1291</v>
      </c>
      <c r="H223" s="220">
        <f t="shared" si="261"/>
        <v>1297</v>
      </c>
      <c r="I223" s="220">
        <f t="shared" si="262"/>
        <v>1318</v>
      </c>
      <c r="J223" s="220">
        <f t="shared" si="263"/>
        <v>917</v>
      </c>
      <c r="K223" s="220">
        <f t="shared" si="264"/>
        <v>2312</v>
      </c>
      <c r="L223" s="220">
        <f t="shared" si="265"/>
        <v>1881</v>
      </c>
      <c r="M223" s="220">
        <f t="shared" si="266"/>
        <v>1875</v>
      </c>
      <c r="N223" s="220">
        <f t="shared" si="267"/>
        <v>1854</v>
      </c>
      <c r="O223" s="220">
        <f t="shared" si="268"/>
        <v>2255</v>
      </c>
      <c r="P223" s="220">
        <f t="shared" ref="P223:T223" si="287">+P222</f>
        <v>2000</v>
      </c>
      <c r="Q223" s="220">
        <f t="shared" si="287"/>
        <v>2000</v>
      </c>
      <c r="R223" s="220">
        <f t="shared" si="287"/>
        <v>2000</v>
      </c>
      <c r="S223" s="220">
        <f t="shared" si="287"/>
        <v>2000</v>
      </c>
      <c r="T223" s="220">
        <f t="shared" si="287"/>
        <v>2000</v>
      </c>
      <c r="U223" s="220">
        <f t="shared" si="270"/>
        <v>312</v>
      </c>
      <c r="V223" s="220">
        <f t="shared" si="271"/>
        <v>-119</v>
      </c>
      <c r="W223" s="220">
        <f t="shared" si="272"/>
        <v>-125</v>
      </c>
      <c r="X223" s="220">
        <f t="shared" si="273"/>
        <v>-146</v>
      </c>
      <c r="Y223" s="220">
        <f t="shared" si="274"/>
        <v>255</v>
      </c>
      <c r="Z223" s="220">
        <v>7</v>
      </c>
      <c r="AA223" s="192">
        <v>8</v>
      </c>
      <c r="AB223" s="192">
        <v>8</v>
      </c>
      <c r="AC223" s="220">
        <v>8</v>
      </c>
      <c r="AD223" s="220">
        <v>7</v>
      </c>
      <c r="AE223" s="220">
        <f t="shared" si="275"/>
        <v>-337</v>
      </c>
      <c r="AF223" s="220">
        <f t="shared" si="276"/>
        <v>-682</v>
      </c>
      <c r="AG223" s="220">
        <f t="shared" si="277"/>
        <v>-925</v>
      </c>
      <c r="AH223" s="220">
        <f t="shared" si="278"/>
        <v>-678</v>
      </c>
      <c r="AI223" s="220">
        <f t="shared" si="279"/>
        <v>-301</v>
      </c>
      <c r="AJ223" s="50">
        <f t="shared" si="280"/>
        <v>0.84200000000001107</v>
      </c>
      <c r="AK223" s="257"/>
      <c r="AL223" s="257">
        <f t="shared" si="281"/>
        <v>1.2</v>
      </c>
      <c r="AM223" s="52"/>
      <c r="AN223" s="88"/>
    </row>
    <row r="224" spans="1:41" s="29" customFormat="1" ht="17.25" customHeight="1">
      <c r="A224" s="48">
        <v>214</v>
      </c>
      <c r="B224" s="49">
        <f t="shared" si="250"/>
        <v>45798</v>
      </c>
      <c r="C224" s="220">
        <f t="shared" si="251"/>
        <v>1069</v>
      </c>
      <c r="D224" s="220">
        <f t="shared" si="224"/>
        <v>2077</v>
      </c>
      <c r="E224" s="220">
        <f t="shared" si="258"/>
        <v>3146</v>
      </c>
      <c r="F224" s="220">
        <f t="shared" si="259"/>
        <v>841</v>
      </c>
      <c r="G224" s="220">
        <f t="shared" si="260"/>
        <v>1273</v>
      </c>
      <c r="H224" s="220">
        <f t="shared" si="261"/>
        <v>1280</v>
      </c>
      <c r="I224" s="220">
        <f t="shared" si="262"/>
        <v>1301</v>
      </c>
      <c r="J224" s="220">
        <f t="shared" si="263"/>
        <v>898</v>
      </c>
      <c r="K224" s="220">
        <f t="shared" si="264"/>
        <v>2305</v>
      </c>
      <c r="L224" s="220">
        <f t="shared" si="265"/>
        <v>1873</v>
      </c>
      <c r="M224" s="220">
        <f t="shared" si="266"/>
        <v>1866</v>
      </c>
      <c r="N224" s="220">
        <f t="shared" si="267"/>
        <v>1845</v>
      </c>
      <c r="O224" s="220">
        <f t="shared" si="268"/>
        <v>2248</v>
      </c>
      <c r="P224" s="220">
        <f t="shared" ref="P224:T224" si="288">+P223</f>
        <v>2000</v>
      </c>
      <c r="Q224" s="220">
        <f t="shared" si="288"/>
        <v>2000</v>
      </c>
      <c r="R224" s="220">
        <f t="shared" si="288"/>
        <v>2000</v>
      </c>
      <c r="S224" s="220">
        <f t="shared" si="288"/>
        <v>2000</v>
      </c>
      <c r="T224" s="220">
        <f t="shared" si="288"/>
        <v>2000</v>
      </c>
      <c r="U224" s="220">
        <f t="shared" si="270"/>
        <v>305</v>
      </c>
      <c r="V224" s="220">
        <f t="shared" si="271"/>
        <v>-127</v>
      </c>
      <c r="W224" s="220">
        <f t="shared" si="272"/>
        <v>-134</v>
      </c>
      <c r="X224" s="220">
        <f t="shared" si="273"/>
        <v>-155</v>
      </c>
      <c r="Y224" s="220">
        <f t="shared" si="274"/>
        <v>248</v>
      </c>
      <c r="Z224" s="220">
        <v>7</v>
      </c>
      <c r="AA224" s="192">
        <v>8</v>
      </c>
      <c r="AB224" s="192">
        <v>9</v>
      </c>
      <c r="AC224" s="220">
        <v>9</v>
      </c>
      <c r="AD224" s="220">
        <v>7</v>
      </c>
      <c r="AE224" s="220">
        <f t="shared" si="275"/>
        <v>-344</v>
      </c>
      <c r="AF224" s="220">
        <f t="shared" si="276"/>
        <v>-690</v>
      </c>
      <c r="AG224" s="220">
        <f t="shared" si="277"/>
        <v>-934</v>
      </c>
      <c r="AH224" s="220">
        <f t="shared" si="278"/>
        <v>-687</v>
      </c>
      <c r="AI224" s="220">
        <f t="shared" si="279"/>
        <v>-308</v>
      </c>
      <c r="AJ224" s="50">
        <f t="shared" si="280"/>
        <v>0.83300000000001106</v>
      </c>
      <c r="AK224" s="257"/>
      <c r="AL224" s="257">
        <f t="shared" si="281"/>
        <v>1.2</v>
      </c>
      <c r="AM224" s="52"/>
      <c r="AN224" s="88"/>
    </row>
    <row r="225" spans="1:40" s="29" customFormat="1" ht="17.25" customHeight="1">
      <c r="A225" s="48">
        <v>215</v>
      </c>
      <c r="B225" s="49">
        <f t="shared" si="250"/>
        <v>45799</v>
      </c>
      <c r="C225" s="220">
        <f t="shared" si="251"/>
        <v>1069</v>
      </c>
      <c r="D225" s="220">
        <f t="shared" si="224"/>
        <v>2051</v>
      </c>
      <c r="E225" s="220">
        <f t="shared" si="258"/>
        <v>3120</v>
      </c>
      <c r="F225" s="220">
        <f t="shared" si="259"/>
        <v>822</v>
      </c>
      <c r="G225" s="220">
        <f t="shared" si="260"/>
        <v>1256</v>
      </c>
      <c r="H225" s="220">
        <f t="shared" si="261"/>
        <v>1262</v>
      </c>
      <c r="I225" s="220">
        <f t="shared" si="262"/>
        <v>1284</v>
      </c>
      <c r="J225" s="220">
        <f t="shared" si="263"/>
        <v>879</v>
      </c>
      <c r="K225" s="220">
        <f t="shared" si="264"/>
        <v>2298</v>
      </c>
      <c r="L225" s="220">
        <f t="shared" si="265"/>
        <v>1864</v>
      </c>
      <c r="M225" s="220">
        <f t="shared" si="266"/>
        <v>1858</v>
      </c>
      <c r="N225" s="220">
        <f t="shared" si="267"/>
        <v>1836</v>
      </c>
      <c r="O225" s="220">
        <f t="shared" si="268"/>
        <v>2241</v>
      </c>
      <c r="P225" s="220">
        <f t="shared" ref="P225:T225" si="289">+P224</f>
        <v>2000</v>
      </c>
      <c r="Q225" s="220">
        <f t="shared" si="289"/>
        <v>2000</v>
      </c>
      <c r="R225" s="220">
        <f t="shared" si="289"/>
        <v>2000</v>
      </c>
      <c r="S225" s="220">
        <f t="shared" si="289"/>
        <v>2000</v>
      </c>
      <c r="T225" s="220">
        <f t="shared" si="289"/>
        <v>2000</v>
      </c>
      <c r="U225" s="220">
        <f t="shared" si="270"/>
        <v>298</v>
      </c>
      <c r="V225" s="220">
        <f t="shared" si="271"/>
        <v>-136</v>
      </c>
      <c r="W225" s="220">
        <f t="shared" si="272"/>
        <v>-142</v>
      </c>
      <c r="X225" s="220">
        <f t="shared" si="273"/>
        <v>-164</v>
      </c>
      <c r="Y225" s="220">
        <f t="shared" si="274"/>
        <v>241</v>
      </c>
      <c r="Z225" s="220">
        <v>7</v>
      </c>
      <c r="AA225" s="192">
        <v>9</v>
      </c>
      <c r="AB225" s="192">
        <v>8</v>
      </c>
      <c r="AC225" s="220">
        <v>9</v>
      </c>
      <c r="AD225" s="220">
        <v>7</v>
      </c>
      <c r="AE225" s="220">
        <f t="shared" si="275"/>
        <v>-351</v>
      </c>
      <c r="AF225" s="220">
        <f t="shared" si="276"/>
        <v>-699</v>
      </c>
      <c r="AG225" s="220">
        <f t="shared" si="277"/>
        <v>-942</v>
      </c>
      <c r="AH225" s="220">
        <f t="shared" si="278"/>
        <v>-696</v>
      </c>
      <c r="AI225" s="220">
        <f t="shared" si="279"/>
        <v>-315</v>
      </c>
      <c r="AJ225" s="50">
        <f t="shared" si="280"/>
        <v>0.82500000000001106</v>
      </c>
      <c r="AK225" s="257"/>
      <c r="AL225" s="257">
        <f t="shared" si="281"/>
        <v>1.2</v>
      </c>
      <c r="AM225" s="52"/>
      <c r="AN225" s="88"/>
    </row>
    <row r="226" spans="1:40" s="29" customFormat="1" ht="17.25" customHeight="1">
      <c r="A226" s="48">
        <v>216</v>
      </c>
      <c r="B226" s="49">
        <f t="shared" si="250"/>
        <v>45800</v>
      </c>
      <c r="C226" s="220">
        <f t="shared" si="251"/>
        <v>1069</v>
      </c>
      <c r="D226" s="220">
        <f t="shared" si="224"/>
        <v>2025</v>
      </c>
      <c r="E226" s="220">
        <f t="shared" si="258"/>
        <v>3094</v>
      </c>
      <c r="F226" s="220">
        <f t="shared" si="259"/>
        <v>803</v>
      </c>
      <c r="G226" s="220">
        <f t="shared" si="260"/>
        <v>1238</v>
      </c>
      <c r="H226" s="220">
        <f t="shared" si="261"/>
        <v>1245</v>
      </c>
      <c r="I226" s="220">
        <f t="shared" si="262"/>
        <v>1267</v>
      </c>
      <c r="J226" s="220">
        <f t="shared" si="263"/>
        <v>860</v>
      </c>
      <c r="K226" s="220">
        <f t="shared" si="264"/>
        <v>2291</v>
      </c>
      <c r="L226" s="220">
        <f t="shared" si="265"/>
        <v>1856</v>
      </c>
      <c r="M226" s="220">
        <f t="shared" si="266"/>
        <v>1849</v>
      </c>
      <c r="N226" s="220">
        <f t="shared" si="267"/>
        <v>1827</v>
      </c>
      <c r="O226" s="220">
        <f t="shared" si="268"/>
        <v>2234</v>
      </c>
      <c r="P226" s="220">
        <f t="shared" ref="P226:T226" si="290">+P225</f>
        <v>2000</v>
      </c>
      <c r="Q226" s="220">
        <f t="shared" si="290"/>
        <v>2000</v>
      </c>
      <c r="R226" s="220">
        <f t="shared" si="290"/>
        <v>2000</v>
      </c>
      <c r="S226" s="220">
        <f t="shared" si="290"/>
        <v>2000</v>
      </c>
      <c r="T226" s="220">
        <f t="shared" si="290"/>
        <v>2000</v>
      </c>
      <c r="U226" s="220">
        <f t="shared" si="270"/>
        <v>291</v>
      </c>
      <c r="V226" s="220">
        <f t="shared" si="271"/>
        <v>-144</v>
      </c>
      <c r="W226" s="220">
        <f t="shared" si="272"/>
        <v>-151</v>
      </c>
      <c r="X226" s="220">
        <f t="shared" si="273"/>
        <v>-173</v>
      </c>
      <c r="Y226" s="220">
        <f t="shared" si="274"/>
        <v>234</v>
      </c>
      <c r="Z226" s="220">
        <v>7</v>
      </c>
      <c r="AA226" s="192">
        <v>8</v>
      </c>
      <c r="AB226" s="192">
        <v>9</v>
      </c>
      <c r="AC226" s="220">
        <v>9</v>
      </c>
      <c r="AD226" s="220">
        <v>7</v>
      </c>
      <c r="AE226" s="220">
        <f t="shared" si="275"/>
        <v>-358</v>
      </c>
      <c r="AF226" s="220">
        <f t="shared" si="276"/>
        <v>-707</v>
      </c>
      <c r="AG226" s="220">
        <f t="shared" si="277"/>
        <v>-951</v>
      </c>
      <c r="AH226" s="220">
        <f t="shared" si="278"/>
        <v>-705</v>
      </c>
      <c r="AI226" s="220">
        <f t="shared" si="279"/>
        <v>-322</v>
      </c>
      <c r="AJ226" s="50">
        <f t="shared" si="280"/>
        <v>0.81600000000001105</v>
      </c>
      <c r="AK226" s="257"/>
      <c r="AL226" s="257">
        <f t="shared" si="281"/>
        <v>1.2</v>
      </c>
      <c r="AM226" s="52"/>
      <c r="AN226" s="88"/>
    </row>
    <row r="227" spans="1:40" s="29" customFormat="1" ht="17.25" customHeight="1">
      <c r="A227" s="48">
        <v>217</v>
      </c>
      <c r="B227" s="49">
        <f t="shared" si="250"/>
        <v>45801</v>
      </c>
      <c r="C227" s="220">
        <f t="shared" si="251"/>
        <v>1069</v>
      </c>
      <c r="D227" s="220">
        <f t="shared" si="224"/>
        <v>1999</v>
      </c>
      <c r="E227" s="220">
        <f t="shared" si="258"/>
        <v>3068</v>
      </c>
      <c r="F227" s="220">
        <f t="shared" si="259"/>
        <v>784</v>
      </c>
      <c r="G227" s="220">
        <f t="shared" si="260"/>
        <v>1221</v>
      </c>
      <c r="H227" s="220">
        <f t="shared" si="261"/>
        <v>1226</v>
      </c>
      <c r="I227" s="220">
        <f t="shared" si="262"/>
        <v>1248</v>
      </c>
      <c r="J227" s="220">
        <f t="shared" si="263"/>
        <v>841</v>
      </c>
      <c r="K227" s="220">
        <f t="shared" si="264"/>
        <v>2284</v>
      </c>
      <c r="L227" s="220">
        <f t="shared" si="265"/>
        <v>1847</v>
      </c>
      <c r="M227" s="220">
        <f t="shared" si="266"/>
        <v>1842</v>
      </c>
      <c r="N227" s="220">
        <f t="shared" si="267"/>
        <v>1820</v>
      </c>
      <c r="O227" s="220">
        <f t="shared" si="268"/>
        <v>2227</v>
      </c>
      <c r="P227" s="220">
        <f t="shared" ref="P227:T227" si="291">+P226</f>
        <v>2000</v>
      </c>
      <c r="Q227" s="220">
        <f t="shared" si="291"/>
        <v>2000</v>
      </c>
      <c r="R227" s="220">
        <f t="shared" si="291"/>
        <v>2000</v>
      </c>
      <c r="S227" s="220">
        <f t="shared" si="291"/>
        <v>2000</v>
      </c>
      <c r="T227" s="220">
        <f t="shared" si="291"/>
        <v>2000</v>
      </c>
      <c r="U227" s="220">
        <f t="shared" si="270"/>
        <v>284</v>
      </c>
      <c r="V227" s="220">
        <f t="shared" si="271"/>
        <v>-153</v>
      </c>
      <c r="W227" s="220">
        <f t="shared" si="272"/>
        <v>-158</v>
      </c>
      <c r="X227" s="220">
        <f t="shared" si="273"/>
        <v>-180</v>
      </c>
      <c r="Y227" s="220">
        <f t="shared" si="274"/>
        <v>227</v>
      </c>
      <c r="Z227" s="220">
        <v>7</v>
      </c>
      <c r="AA227" s="192">
        <v>9</v>
      </c>
      <c r="AB227" s="192">
        <v>7</v>
      </c>
      <c r="AC227" s="220">
        <v>7</v>
      </c>
      <c r="AD227" s="220">
        <v>7</v>
      </c>
      <c r="AE227" s="220">
        <f t="shared" si="275"/>
        <v>-365</v>
      </c>
      <c r="AF227" s="220">
        <f t="shared" si="276"/>
        <v>-716</v>
      </c>
      <c r="AG227" s="220">
        <f t="shared" si="277"/>
        <v>-958</v>
      </c>
      <c r="AH227" s="220">
        <f t="shared" si="278"/>
        <v>-712</v>
      </c>
      <c r="AI227" s="220">
        <f t="shared" si="279"/>
        <v>-329</v>
      </c>
      <c r="AJ227" s="50">
        <f t="shared" si="280"/>
        <v>0.80900000000001104</v>
      </c>
      <c r="AK227" s="257"/>
      <c r="AL227" s="257">
        <f t="shared" si="281"/>
        <v>1.2</v>
      </c>
      <c r="AM227" s="52"/>
      <c r="AN227" s="88"/>
    </row>
    <row r="228" spans="1:40" s="29" customFormat="1" ht="17.25" customHeight="1">
      <c r="A228" s="48">
        <v>218</v>
      </c>
      <c r="B228" s="49">
        <f t="shared" si="250"/>
        <v>45802</v>
      </c>
      <c r="C228" s="220">
        <f t="shared" si="251"/>
        <v>1069</v>
      </c>
      <c r="D228" s="220">
        <f t="shared" si="224"/>
        <v>1973</v>
      </c>
      <c r="E228" s="220">
        <f t="shared" si="258"/>
        <v>3042</v>
      </c>
      <c r="F228" s="220">
        <f t="shared" si="259"/>
        <v>765</v>
      </c>
      <c r="G228" s="220">
        <f t="shared" si="260"/>
        <v>1204</v>
      </c>
      <c r="H228" s="220">
        <f t="shared" si="261"/>
        <v>1208</v>
      </c>
      <c r="I228" s="220">
        <f t="shared" si="262"/>
        <v>1230</v>
      </c>
      <c r="J228" s="220">
        <f t="shared" si="263"/>
        <v>822</v>
      </c>
      <c r="K228" s="220">
        <f t="shared" si="264"/>
        <v>2277</v>
      </c>
      <c r="L228" s="220">
        <f t="shared" si="265"/>
        <v>1838</v>
      </c>
      <c r="M228" s="220">
        <f t="shared" si="266"/>
        <v>1834</v>
      </c>
      <c r="N228" s="220">
        <f t="shared" si="267"/>
        <v>1812</v>
      </c>
      <c r="O228" s="220">
        <f t="shared" si="268"/>
        <v>2220</v>
      </c>
      <c r="P228" s="220">
        <f t="shared" ref="P228:T228" si="292">+P227</f>
        <v>2000</v>
      </c>
      <c r="Q228" s="220">
        <f t="shared" si="292"/>
        <v>2000</v>
      </c>
      <c r="R228" s="220">
        <f t="shared" si="292"/>
        <v>2000</v>
      </c>
      <c r="S228" s="220">
        <f t="shared" si="292"/>
        <v>2000</v>
      </c>
      <c r="T228" s="220">
        <f t="shared" si="292"/>
        <v>2000</v>
      </c>
      <c r="U228" s="220">
        <f t="shared" si="270"/>
        <v>277</v>
      </c>
      <c r="V228" s="220">
        <f t="shared" si="271"/>
        <v>-162</v>
      </c>
      <c r="W228" s="220">
        <f t="shared" si="272"/>
        <v>-166</v>
      </c>
      <c r="X228" s="220">
        <f t="shared" si="273"/>
        <v>-188</v>
      </c>
      <c r="Y228" s="220">
        <f t="shared" si="274"/>
        <v>220</v>
      </c>
      <c r="Z228" s="220">
        <v>7</v>
      </c>
      <c r="AA228" s="192">
        <v>9</v>
      </c>
      <c r="AB228" s="192">
        <v>8</v>
      </c>
      <c r="AC228" s="220">
        <v>8</v>
      </c>
      <c r="AD228" s="220">
        <v>7</v>
      </c>
      <c r="AE228" s="220">
        <f t="shared" si="275"/>
        <v>-372</v>
      </c>
      <c r="AF228" s="220">
        <f t="shared" si="276"/>
        <v>-725</v>
      </c>
      <c r="AG228" s="220">
        <f t="shared" si="277"/>
        <v>-966</v>
      </c>
      <c r="AH228" s="220">
        <f t="shared" si="278"/>
        <v>-720</v>
      </c>
      <c r="AI228" s="220">
        <f t="shared" si="279"/>
        <v>-336</v>
      </c>
      <c r="AJ228" s="50">
        <f t="shared" si="280"/>
        <v>0.80100000000001104</v>
      </c>
      <c r="AK228" s="257"/>
      <c r="AL228" s="257">
        <f t="shared" si="281"/>
        <v>1.2</v>
      </c>
      <c r="AM228" s="52"/>
      <c r="AN228" s="88"/>
    </row>
    <row r="229" spans="1:40" s="29" customFormat="1" ht="17.25" customHeight="1">
      <c r="A229" s="48">
        <v>219</v>
      </c>
      <c r="B229" s="49">
        <f t="shared" si="250"/>
        <v>45803</v>
      </c>
      <c r="C229" s="220">
        <f t="shared" si="251"/>
        <v>1069</v>
      </c>
      <c r="D229" s="220">
        <f t="shared" si="224"/>
        <v>1947</v>
      </c>
      <c r="E229" s="220">
        <f t="shared" si="258"/>
        <v>3016</v>
      </c>
      <c r="F229" s="220">
        <f t="shared" si="259"/>
        <v>746</v>
      </c>
      <c r="G229" s="220">
        <f t="shared" si="260"/>
        <v>1187</v>
      </c>
      <c r="H229" s="220">
        <f t="shared" si="261"/>
        <v>1191</v>
      </c>
      <c r="I229" s="220">
        <f t="shared" si="262"/>
        <v>1211</v>
      </c>
      <c r="J229" s="220">
        <f t="shared" si="263"/>
        <v>803</v>
      </c>
      <c r="K229" s="220">
        <f t="shared" si="264"/>
        <v>2270</v>
      </c>
      <c r="L229" s="220">
        <f t="shared" si="265"/>
        <v>1829</v>
      </c>
      <c r="M229" s="220">
        <f t="shared" si="266"/>
        <v>1825</v>
      </c>
      <c r="N229" s="220">
        <f t="shared" si="267"/>
        <v>1805</v>
      </c>
      <c r="O229" s="220">
        <f t="shared" si="268"/>
        <v>2213</v>
      </c>
      <c r="P229" s="220">
        <f t="shared" ref="P229:T229" si="293">+P228</f>
        <v>2000</v>
      </c>
      <c r="Q229" s="220">
        <f t="shared" si="293"/>
        <v>2000</v>
      </c>
      <c r="R229" s="220">
        <f t="shared" si="293"/>
        <v>2000</v>
      </c>
      <c r="S229" s="220">
        <f t="shared" si="293"/>
        <v>2000</v>
      </c>
      <c r="T229" s="220">
        <f t="shared" si="293"/>
        <v>2000</v>
      </c>
      <c r="U229" s="220">
        <f t="shared" si="270"/>
        <v>270</v>
      </c>
      <c r="V229" s="220">
        <f t="shared" si="271"/>
        <v>-171</v>
      </c>
      <c r="W229" s="220">
        <f t="shared" si="272"/>
        <v>-175</v>
      </c>
      <c r="X229" s="220">
        <f t="shared" si="273"/>
        <v>-195</v>
      </c>
      <c r="Y229" s="220">
        <f t="shared" si="274"/>
        <v>213</v>
      </c>
      <c r="Z229" s="220">
        <v>7</v>
      </c>
      <c r="AA229" s="192">
        <v>9</v>
      </c>
      <c r="AB229" s="192">
        <v>9</v>
      </c>
      <c r="AC229" s="220">
        <v>7</v>
      </c>
      <c r="AD229" s="220">
        <v>7</v>
      </c>
      <c r="AE229" s="220">
        <f t="shared" si="275"/>
        <v>-379</v>
      </c>
      <c r="AF229" s="220">
        <f t="shared" si="276"/>
        <v>-734</v>
      </c>
      <c r="AG229" s="220">
        <f t="shared" si="277"/>
        <v>-975</v>
      </c>
      <c r="AH229" s="220">
        <f t="shared" si="278"/>
        <v>-727</v>
      </c>
      <c r="AI229" s="220">
        <f t="shared" si="279"/>
        <v>-343</v>
      </c>
      <c r="AJ229" s="50">
        <f t="shared" si="280"/>
        <v>0.79200000000001103</v>
      </c>
      <c r="AK229" s="257"/>
      <c r="AL229" s="257">
        <f t="shared" si="281"/>
        <v>1.2</v>
      </c>
      <c r="AM229" s="52"/>
      <c r="AN229" s="88"/>
    </row>
    <row r="230" spans="1:40" s="29" customFormat="1" ht="17.25" customHeight="1">
      <c r="A230" s="48">
        <v>220</v>
      </c>
      <c r="B230" s="49">
        <f t="shared" si="250"/>
        <v>45804</v>
      </c>
      <c r="C230" s="220">
        <f t="shared" si="251"/>
        <v>1069</v>
      </c>
      <c r="D230" s="220">
        <f t="shared" si="224"/>
        <v>1921</v>
      </c>
      <c r="E230" s="220">
        <f t="shared" si="258"/>
        <v>2990</v>
      </c>
      <c r="F230" s="220">
        <f t="shared" si="259"/>
        <v>727</v>
      </c>
      <c r="G230" s="220">
        <f t="shared" si="260"/>
        <v>1169</v>
      </c>
      <c r="H230" s="220">
        <f t="shared" si="261"/>
        <v>1174</v>
      </c>
      <c r="I230" s="220">
        <f t="shared" si="262"/>
        <v>1194</v>
      </c>
      <c r="J230" s="220">
        <f t="shared" si="263"/>
        <v>784</v>
      </c>
      <c r="K230" s="220">
        <f t="shared" si="264"/>
        <v>2263</v>
      </c>
      <c r="L230" s="220">
        <f t="shared" si="265"/>
        <v>1821</v>
      </c>
      <c r="M230" s="220">
        <f t="shared" si="266"/>
        <v>1816</v>
      </c>
      <c r="N230" s="220">
        <f t="shared" si="267"/>
        <v>1796</v>
      </c>
      <c r="O230" s="220">
        <f t="shared" si="268"/>
        <v>2206</v>
      </c>
      <c r="P230" s="220">
        <f t="shared" ref="P230:T230" si="294">+P229</f>
        <v>2000</v>
      </c>
      <c r="Q230" s="220">
        <f t="shared" si="294"/>
        <v>2000</v>
      </c>
      <c r="R230" s="220">
        <f t="shared" si="294"/>
        <v>2000</v>
      </c>
      <c r="S230" s="220">
        <f t="shared" si="294"/>
        <v>2000</v>
      </c>
      <c r="T230" s="220">
        <f t="shared" si="294"/>
        <v>2000</v>
      </c>
      <c r="U230" s="220">
        <f t="shared" si="270"/>
        <v>263</v>
      </c>
      <c r="V230" s="220">
        <f t="shared" si="271"/>
        <v>-179</v>
      </c>
      <c r="W230" s="220">
        <f t="shared" si="272"/>
        <v>-184</v>
      </c>
      <c r="X230" s="220">
        <f t="shared" si="273"/>
        <v>-204</v>
      </c>
      <c r="Y230" s="220">
        <f t="shared" si="274"/>
        <v>206</v>
      </c>
      <c r="Z230" s="220">
        <v>7</v>
      </c>
      <c r="AA230" s="192">
        <v>8</v>
      </c>
      <c r="AB230" s="192">
        <v>9</v>
      </c>
      <c r="AC230" s="220">
        <v>9</v>
      </c>
      <c r="AD230" s="220">
        <v>7</v>
      </c>
      <c r="AE230" s="220">
        <f t="shared" si="275"/>
        <v>-386</v>
      </c>
      <c r="AF230" s="220">
        <f t="shared" si="276"/>
        <v>-742</v>
      </c>
      <c r="AG230" s="220">
        <f t="shared" si="277"/>
        <v>-984</v>
      </c>
      <c r="AH230" s="220">
        <f t="shared" si="278"/>
        <v>-736</v>
      </c>
      <c r="AI230" s="220">
        <f t="shared" si="279"/>
        <v>-350</v>
      </c>
      <c r="AJ230" s="50">
        <f t="shared" si="280"/>
        <v>0.78300000000001102</v>
      </c>
      <c r="AK230" s="257"/>
      <c r="AL230" s="257">
        <f t="shared" si="281"/>
        <v>1.2</v>
      </c>
      <c r="AM230" s="52"/>
      <c r="AN230" s="88"/>
    </row>
    <row r="231" spans="1:40" s="29" customFormat="1" ht="17.25" customHeight="1">
      <c r="A231" s="48">
        <v>221</v>
      </c>
      <c r="B231" s="49">
        <f t="shared" si="250"/>
        <v>45805</v>
      </c>
      <c r="C231" s="220">
        <f t="shared" si="251"/>
        <v>1069</v>
      </c>
      <c r="D231" s="220">
        <f t="shared" si="224"/>
        <v>1895</v>
      </c>
      <c r="E231" s="220">
        <f t="shared" si="258"/>
        <v>2964</v>
      </c>
      <c r="F231" s="220">
        <f t="shared" si="259"/>
        <v>708</v>
      </c>
      <c r="G231" s="220">
        <f t="shared" si="260"/>
        <v>1152</v>
      </c>
      <c r="H231" s="220">
        <f t="shared" si="261"/>
        <v>1156</v>
      </c>
      <c r="I231" s="220">
        <f t="shared" si="262"/>
        <v>1176</v>
      </c>
      <c r="J231" s="220">
        <f t="shared" si="263"/>
        <v>765</v>
      </c>
      <c r="K231" s="220">
        <f t="shared" si="264"/>
        <v>2256</v>
      </c>
      <c r="L231" s="220">
        <f t="shared" si="265"/>
        <v>1812</v>
      </c>
      <c r="M231" s="220">
        <f t="shared" si="266"/>
        <v>1808</v>
      </c>
      <c r="N231" s="220">
        <f t="shared" si="267"/>
        <v>1788</v>
      </c>
      <c r="O231" s="220">
        <f t="shared" si="268"/>
        <v>2199</v>
      </c>
      <c r="P231" s="220">
        <f t="shared" ref="P231:T231" si="295">+P230</f>
        <v>2000</v>
      </c>
      <c r="Q231" s="220">
        <f t="shared" si="295"/>
        <v>2000</v>
      </c>
      <c r="R231" s="220">
        <f t="shared" si="295"/>
        <v>2000</v>
      </c>
      <c r="S231" s="220">
        <f t="shared" si="295"/>
        <v>2000</v>
      </c>
      <c r="T231" s="220">
        <f t="shared" si="295"/>
        <v>2000</v>
      </c>
      <c r="U231" s="220">
        <f t="shared" si="270"/>
        <v>256</v>
      </c>
      <c r="V231" s="220">
        <f t="shared" si="271"/>
        <v>-188</v>
      </c>
      <c r="W231" s="220">
        <f t="shared" si="272"/>
        <v>-192</v>
      </c>
      <c r="X231" s="220">
        <f t="shared" si="273"/>
        <v>-212</v>
      </c>
      <c r="Y231" s="220">
        <f t="shared" si="274"/>
        <v>199</v>
      </c>
      <c r="Z231" s="220">
        <v>7</v>
      </c>
      <c r="AA231" s="192">
        <v>9</v>
      </c>
      <c r="AB231" s="192">
        <v>8</v>
      </c>
      <c r="AC231" s="220">
        <v>8</v>
      </c>
      <c r="AD231" s="220">
        <v>7</v>
      </c>
      <c r="AE231" s="220">
        <f t="shared" si="275"/>
        <v>-393</v>
      </c>
      <c r="AF231" s="220">
        <f t="shared" si="276"/>
        <v>-751</v>
      </c>
      <c r="AG231" s="220">
        <f t="shared" si="277"/>
        <v>-992</v>
      </c>
      <c r="AH231" s="220">
        <f t="shared" si="278"/>
        <v>-744</v>
      </c>
      <c r="AI231" s="220">
        <f t="shared" si="279"/>
        <v>-357</v>
      </c>
      <c r="AJ231" s="50">
        <f t="shared" si="280"/>
        <v>0.77500000000001101</v>
      </c>
      <c r="AK231" s="257"/>
      <c r="AL231" s="257">
        <f t="shared" si="281"/>
        <v>1.2</v>
      </c>
      <c r="AM231" s="52"/>
      <c r="AN231" s="88"/>
    </row>
    <row r="232" spans="1:40" s="29" customFormat="1" ht="17.25" customHeight="1">
      <c r="A232" s="48">
        <v>222</v>
      </c>
      <c r="B232" s="49">
        <f t="shared" si="250"/>
        <v>45806</v>
      </c>
      <c r="C232" s="220">
        <f t="shared" si="251"/>
        <v>1069</v>
      </c>
      <c r="D232" s="220">
        <f t="shared" si="224"/>
        <v>1869</v>
      </c>
      <c r="E232" s="220">
        <f t="shared" si="258"/>
        <v>2938</v>
      </c>
      <c r="F232" s="220">
        <f t="shared" si="259"/>
        <v>689</v>
      </c>
      <c r="G232" s="220">
        <f t="shared" si="260"/>
        <v>1134</v>
      </c>
      <c r="H232" s="220">
        <f t="shared" si="261"/>
        <v>1139</v>
      </c>
      <c r="I232" s="220">
        <f t="shared" si="262"/>
        <v>1157</v>
      </c>
      <c r="J232" s="220">
        <f t="shared" si="263"/>
        <v>746</v>
      </c>
      <c r="K232" s="220">
        <f t="shared" si="264"/>
        <v>2249</v>
      </c>
      <c r="L232" s="220">
        <f t="shared" si="265"/>
        <v>1804</v>
      </c>
      <c r="M232" s="220">
        <f t="shared" si="266"/>
        <v>1799</v>
      </c>
      <c r="N232" s="220">
        <f t="shared" si="267"/>
        <v>1781</v>
      </c>
      <c r="O232" s="220">
        <f t="shared" si="268"/>
        <v>2192</v>
      </c>
      <c r="P232" s="220">
        <f t="shared" ref="P232:T232" si="296">+P231</f>
        <v>2000</v>
      </c>
      <c r="Q232" s="220">
        <f t="shared" si="296"/>
        <v>2000</v>
      </c>
      <c r="R232" s="220">
        <f t="shared" si="296"/>
        <v>2000</v>
      </c>
      <c r="S232" s="220">
        <f t="shared" si="296"/>
        <v>2000</v>
      </c>
      <c r="T232" s="220">
        <f t="shared" si="296"/>
        <v>2000</v>
      </c>
      <c r="U232" s="220">
        <f t="shared" si="270"/>
        <v>249</v>
      </c>
      <c r="V232" s="220">
        <f t="shared" si="271"/>
        <v>-196</v>
      </c>
      <c r="W232" s="220">
        <f t="shared" si="272"/>
        <v>-201</v>
      </c>
      <c r="X232" s="220">
        <f t="shared" si="273"/>
        <v>-219</v>
      </c>
      <c r="Y232" s="220">
        <f t="shared" si="274"/>
        <v>192</v>
      </c>
      <c r="Z232" s="220">
        <v>7</v>
      </c>
      <c r="AA232" s="192">
        <v>8</v>
      </c>
      <c r="AB232" s="192">
        <v>9</v>
      </c>
      <c r="AC232" s="220">
        <v>7</v>
      </c>
      <c r="AD232" s="220">
        <v>7</v>
      </c>
      <c r="AE232" s="220">
        <f t="shared" si="275"/>
        <v>-400</v>
      </c>
      <c r="AF232" s="220">
        <f t="shared" si="276"/>
        <v>-759</v>
      </c>
      <c r="AG232" s="220">
        <f t="shared" si="277"/>
        <v>-1001</v>
      </c>
      <c r="AH232" s="220">
        <f t="shared" si="278"/>
        <v>-751</v>
      </c>
      <c r="AI232" s="220">
        <f t="shared" si="279"/>
        <v>-364</v>
      </c>
      <c r="AJ232" s="50">
        <f t="shared" si="280"/>
        <v>0.76600000000001101</v>
      </c>
      <c r="AK232" s="257"/>
      <c r="AL232" s="257">
        <f t="shared" si="281"/>
        <v>1.2</v>
      </c>
      <c r="AM232" s="52"/>
      <c r="AN232" s="88"/>
    </row>
    <row r="233" spans="1:40" s="29" customFormat="1" ht="17.25" customHeight="1">
      <c r="A233" s="48">
        <v>223</v>
      </c>
      <c r="B233" s="49">
        <f t="shared" si="250"/>
        <v>45807</v>
      </c>
      <c r="C233" s="220">
        <f t="shared" si="251"/>
        <v>1069</v>
      </c>
      <c r="D233" s="220">
        <f t="shared" si="224"/>
        <v>1843</v>
      </c>
      <c r="E233" s="220">
        <f t="shared" si="258"/>
        <v>2912</v>
      </c>
      <c r="F233" s="220">
        <f t="shared" si="259"/>
        <v>670</v>
      </c>
      <c r="G233" s="220">
        <f t="shared" si="260"/>
        <v>1116</v>
      </c>
      <c r="H233" s="220">
        <f t="shared" si="261"/>
        <v>1120</v>
      </c>
      <c r="I233" s="220">
        <f t="shared" si="262"/>
        <v>1138</v>
      </c>
      <c r="J233" s="220">
        <f t="shared" si="263"/>
        <v>727</v>
      </c>
      <c r="K233" s="220">
        <f t="shared" si="264"/>
        <v>2242</v>
      </c>
      <c r="L233" s="220">
        <f t="shared" si="265"/>
        <v>1796</v>
      </c>
      <c r="M233" s="220">
        <f t="shared" si="266"/>
        <v>1792</v>
      </c>
      <c r="N233" s="220">
        <f t="shared" si="267"/>
        <v>1774</v>
      </c>
      <c r="O233" s="220">
        <f t="shared" si="268"/>
        <v>2185</v>
      </c>
      <c r="P233" s="220">
        <f t="shared" ref="P233:T233" si="297">+P232</f>
        <v>2000</v>
      </c>
      <c r="Q233" s="220">
        <f t="shared" si="297"/>
        <v>2000</v>
      </c>
      <c r="R233" s="220">
        <f t="shared" si="297"/>
        <v>2000</v>
      </c>
      <c r="S233" s="220">
        <f t="shared" si="297"/>
        <v>2000</v>
      </c>
      <c r="T233" s="220">
        <f t="shared" si="297"/>
        <v>2000</v>
      </c>
      <c r="U233" s="220">
        <f t="shared" si="270"/>
        <v>242</v>
      </c>
      <c r="V233" s="220">
        <f t="shared" si="271"/>
        <v>-204</v>
      </c>
      <c r="W233" s="220">
        <f t="shared" si="272"/>
        <v>-208</v>
      </c>
      <c r="X233" s="220">
        <f t="shared" si="273"/>
        <v>-226</v>
      </c>
      <c r="Y233" s="220">
        <f t="shared" si="274"/>
        <v>185</v>
      </c>
      <c r="Z233" s="220">
        <v>7</v>
      </c>
      <c r="AA233" s="192">
        <v>8</v>
      </c>
      <c r="AB233" s="192">
        <v>7</v>
      </c>
      <c r="AC233" s="220">
        <v>7</v>
      </c>
      <c r="AD233" s="220">
        <v>7</v>
      </c>
      <c r="AE233" s="220">
        <f t="shared" si="275"/>
        <v>-407</v>
      </c>
      <c r="AF233" s="220">
        <f t="shared" si="276"/>
        <v>-767</v>
      </c>
      <c r="AG233" s="220">
        <f t="shared" si="277"/>
        <v>-1008</v>
      </c>
      <c r="AH233" s="220">
        <f t="shared" si="278"/>
        <v>-758</v>
      </c>
      <c r="AI233" s="220">
        <f t="shared" si="279"/>
        <v>-371</v>
      </c>
      <c r="AJ233" s="50">
        <f t="shared" si="280"/>
        <v>0.759000000000011</v>
      </c>
      <c r="AK233" s="257"/>
      <c r="AL233" s="257">
        <f t="shared" si="281"/>
        <v>1.2</v>
      </c>
      <c r="AM233" s="52"/>
      <c r="AN233" s="88"/>
    </row>
    <row r="234" spans="1:40" s="29" customFormat="1" ht="17.25" customHeight="1">
      <c r="A234" s="48">
        <v>224</v>
      </c>
      <c r="B234" s="49">
        <f t="shared" si="250"/>
        <v>45808</v>
      </c>
      <c r="C234" s="220">
        <f t="shared" si="251"/>
        <v>1069</v>
      </c>
      <c r="D234" s="220">
        <f t="shared" si="224"/>
        <v>1817</v>
      </c>
      <c r="E234" s="220">
        <f t="shared" ref="E234" si="298">+C234+D234</f>
        <v>2886</v>
      </c>
      <c r="F234" s="220">
        <f t="shared" ref="F234" si="299">E234-K234</f>
        <v>651</v>
      </c>
      <c r="G234" s="220">
        <f t="shared" ref="G234" si="300">E234-L234</f>
        <v>1099</v>
      </c>
      <c r="H234" s="220">
        <f t="shared" ref="H234" si="301">E234-M234</f>
        <v>1101</v>
      </c>
      <c r="I234" s="220">
        <f t="shared" ref="I234" si="302">E234-N234</f>
        <v>1119</v>
      </c>
      <c r="J234" s="220">
        <f t="shared" ref="J234" si="303">E234-O234</f>
        <v>708</v>
      </c>
      <c r="K234" s="220">
        <f t="shared" ref="K234" si="304">P234+U234</f>
        <v>2235</v>
      </c>
      <c r="L234" s="220">
        <f t="shared" ref="L234" si="305">Q234+V234</f>
        <v>1787</v>
      </c>
      <c r="M234" s="220">
        <f t="shared" ref="M234" si="306">R234+W234</f>
        <v>1785</v>
      </c>
      <c r="N234" s="220">
        <f t="shared" ref="N234" si="307">S234+X234</f>
        <v>1767</v>
      </c>
      <c r="O234" s="220">
        <f t="shared" ref="O234" si="308">T234+Y234</f>
        <v>2178</v>
      </c>
      <c r="P234" s="220">
        <f t="shared" ref="P234:T234" si="309">+P233</f>
        <v>2000</v>
      </c>
      <c r="Q234" s="220">
        <f t="shared" si="309"/>
        <v>2000</v>
      </c>
      <c r="R234" s="220">
        <f t="shared" si="309"/>
        <v>2000</v>
      </c>
      <c r="S234" s="220">
        <f t="shared" si="309"/>
        <v>2000</v>
      </c>
      <c r="T234" s="220">
        <f t="shared" si="309"/>
        <v>2000</v>
      </c>
      <c r="U234" s="220">
        <f t="shared" ref="U234" si="310">U233-Z234</f>
        <v>235</v>
      </c>
      <c r="V234" s="220">
        <f t="shared" ref="V234" si="311">V233-AA234</f>
        <v>-213</v>
      </c>
      <c r="W234" s="220">
        <f t="shared" ref="W234" si="312">W233-AB234</f>
        <v>-215</v>
      </c>
      <c r="X234" s="220">
        <f t="shared" ref="X234" si="313">X233-AC234</f>
        <v>-233</v>
      </c>
      <c r="Y234" s="220">
        <f t="shared" ref="Y234" si="314">Y233-AD234</f>
        <v>178</v>
      </c>
      <c r="Z234" s="220">
        <v>7</v>
      </c>
      <c r="AA234" s="192">
        <v>9</v>
      </c>
      <c r="AB234" s="192">
        <v>7</v>
      </c>
      <c r="AC234" s="220">
        <v>7</v>
      </c>
      <c r="AD234" s="220">
        <v>7</v>
      </c>
      <c r="AE234" s="220">
        <f t="shared" ref="AE234" si="315">AE233-Z234</f>
        <v>-414</v>
      </c>
      <c r="AF234" s="220">
        <f t="shared" ref="AF234" si="316">AF233-AA234</f>
        <v>-776</v>
      </c>
      <c r="AG234" s="220">
        <f t="shared" ref="AG234" si="317">AG233-AB234</f>
        <v>-1015</v>
      </c>
      <c r="AH234" s="220">
        <f t="shared" ref="AH234" si="318">AH233-AC234</f>
        <v>-765</v>
      </c>
      <c r="AI234" s="220">
        <f t="shared" ref="AI234" si="319">AI233-AD234</f>
        <v>-378</v>
      </c>
      <c r="AJ234" s="50">
        <f t="shared" ref="AJ234" si="320">AJ233-AB234/1000+AK234</f>
        <v>0.75200000000001099</v>
      </c>
      <c r="AK234" s="257"/>
      <c r="AL234" s="257">
        <f t="shared" ref="AL234" si="321">AL233+AK234</f>
        <v>1.2</v>
      </c>
      <c r="AM234" s="52"/>
      <c r="AN234" s="88"/>
    </row>
    <row r="235" spans="1:40" s="29" customFormat="1" ht="17.25" customHeight="1">
      <c r="A235" s="48"/>
      <c r="B235" s="49"/>
      <c r="C235" s="220"/>
      <c r="D235" s="220"/>
      <c r="E235" s="220"/>
      <c r="F235" s="220"/>
      <c r="G235" s="220"/>
      <c r="H235" s="220"/>
      <c r="I235" s="220"/>
      <c r="J235" s="220"/>
      <c r="K235" s="220"/>
      <c r="L235" s="220"/>
      <c r="M235" s="220"/>
      <c r="N235" s="220"/>
      <c r="O235" s="220"/>
      <c r="P235" s="220"/>
      <c r="Q235" s="220"/>
      <c r="R235" s="220"/>
      <c r="S235" s="220"/>
      <c r="T235" s="220"/>
      <c r="U235" s="220"/>
      <c r="V235" s="220"/>
      <c r="W235" s="220"/>
      <c r="X235" s="220"/>
      <c r="Y235" s="220"/>
      <c r="Z235" s="220"/>
      <c r="AA235" s="220"/>
      <c r="AB235" s="220"/>
      <c r="AC235" s="220"/>
      <c r="AD235" s="220"/>
      <c r="AE235" s="220"/>
      <c r="AF235" s="220"/>
      <c r="AG235" s="220"/>
      <c r="AH235" s="220"/>
      <c r="AI235" s="220"/>
      <c r="AJ235" s="50"/>
      <c r="AK235" s="257"/>
      <c r="AL235" s="257"/>
      <c r="AM235" s="52"/>
      <c r="AN235" s="88"/>
    </row>
    <row r="236" spans="1:40" s="29" customFormat="1" ht="17.25" customHeight="1">
      <c r="A236" s="48"/>
      <c r="B236" s="49"/>
      <c r="C236" s="220"/>
      <c r="D236" s="220"/>
      <c r="E236" s="220"/>
      <c r="F236" s="220"/>
      <c r="G236" s="220"/>
      <c r="H236" s="220"/>
      <c r="I236" s="220"/>
      <c r="J236" s="220"/>
      <c r="K236" s="220"/>
      <c r="L236" s="220"/>
      <c r="M236" s="220"/>
      <c r="N236" s="220"/>
      <c r="O236" s="220"/>
      <c r="P236" s="220"/>
      <c r="Q236" s="220"/>
      <c r="R236" s="220"/>
      <c r="S236" s="220"/>
      <c r="T236" s="220"/>
      <c r="U236" s="220"/>
      <c r="V236" s="220"/>
      <c r="W236" s="220"/>
      <c r="X236" s="220"/>
      <c r="Y236" s="220"/>
      <c r="Z236" s="220"/>
      <c r="AA236" s="220"/>
      <c r="AB236" s="220"/>
      <c r="AC236" s="220"/>
      <c r="AD236" s="220"/>
      <c r="AE236" s="220"/>
      <c r="AF236" s="220"/>
      <c r="AG236" s="220"/>
      <c r="AH236" s="220"/>
      <c r="AI236" s="220"/>
      <c r="AJ236" s="50"/>
      <c r="AK236" s="257"/>
      <c r="AL236" s="257"/>
      <c r="AM236" s="52"/>
      <c r="AN236" s="88"/>
    </row>
    <row r="237" spans="1:40" s="29" customFormat="1" ht="17.25" customHeight="1">
      <c r="A237" s="48"/>
      <c r="B237" s="49"/>
      <c r="C237" s="220"/>
      <c r="D237" s="220"/>
      <c r="E237" s="220"/>
      <c r="F237" s="220"/>
      <c r="G237" s="220"/>
      <c r="H237" s="220"/>
      <c r="I237" s="220"/>
      <c r="J237" s="220"/>
      <c r="K237" s="220"/>
      <c r="L237" s="220"/>
      <c r="M237" s="220"/>
      <c r="N237" s="220"/>
      <c r="O237" s="220"/>
      <c r="P237" s="220"/>
      <c r="Q237" s="220"/>
      <c r="R237" s="220"/>
      <c r="S237" s="220"/>
      <c r="T237" s="220"/>
      <c r="U237" s="220"/>
      <c r="V237" s="220"/>
      <c r="W237" s="220"/>
      <c r="X237" s="220"/>
      <c r="Y237" s="220"/>
      <c r="Z237" s="220">
        <f>SUM(Z11:Z236)</f>
        <v>410</v>
      </c>
      <c r="AA237" s="220">
        <f>SUM(AA11:AA236)</f>
        <v>776</v>
      </c>
      <c r="AB237" s="220">
        <f>SUM(AB11:AB236)</f>
        <v>1015</v>
      </c>
      <c r="AC237" s="220">
        <f>SUM(AC11:AC236)</f>
        <v>765</v>
      </c>
      <c r="AD237" s="220">
        <f>SUM(AD11:AD236)</f>
        <v>378</v>
      </c>
      <c r="AE237" s="220"/>
      <c r="AF237" s="220"/>
      <c r="AG237" s="220"/>
      <c r="AH237" s="220"/>
      <c r="AI237" s="220"/>
      <c r="AJ237" s="50"/>
      <c r="AK237" s="257"/>
      <c r="AL237" s="257"/>
      <c r="AM237" s="52"/>
      <c r="AN237" s="88"/>
    </row>
    <row r="238" spans="1:40" s="29" customFormat="1" ht="17.25" customHeight="1">
      <c r="A238" s="48"/>
      <c r="B238" s="49"/>
      <c r="C238" s="220"/>
      <c r="D238" s="220"/>
      <c r="E238" s="220"/>
      <c r="F238" s="220"/>
      <c r="G238" s="220"/>
      <c r="H238" s="220"/>
      <c r="I238" s="220"/>
      <c r="J238" s="220"/>
      <c r="K238" s="220"/>
      <c r="L238" s="220"/>
      <c r="M238" s="220"/>
      <c r="N238" s="220"/>
      <c r="O238" s="220"/>
      <c r="P238" s="220"/>
      <c r="Q238" s="220"/>
      <c r="R238" s="220"/>
      <c r="S238" s="220"/>
      <c r="T238" s="220"/>
      <c r="U238" s="220"/>
      <c r="V238" s="220"/>
      <c r="W238" s="220"/>
      <c r="X238" s="220"/>
      <c r="Y238" s="220"/>
      <c r="Z238" s="220"/>
      <c r="AA238" s="220"/>
      <c r="AB238" s="220"/>
      <c r="AC238" s="220"/>
      <c r="AD238" s="220"/>
      <c r="AE238" s="220"/>
      <c r="AF238" s="220"/>
      <c r="AG238" s="220"/>
      <c r="AH238" s="220"/>
      <c r="AI238" s="220"/>
      <c r="AJ238" s="50"/>
      <c r="AK238" s="257"/>
      <c r="AL238" s="257"/>
      <c r="AM238" s="52"/>
      <c r="AN238" s="88"/>
    </row>
    <row r="239" spans="1:40" s="29" customFormat="1" ht="17.25" customHeight="1">
      <c r="A239" s="48"/>
      <c r="B239" s="49"/>
      <c r="C239" s="220"/>
      <c r="D239" s="220"/>
      <c r="E239" s="220"/>
      <c r="F239" s="220"/>
      <c r="G239" s="220"/>
      <c r="H239" s="220"/>
      <c r="I239" s="220"/>
      <c r="J239" s="220"/>
      <c r="K239" s="220"/>
      <c r="L239" s="220"/>
      <c r="M239" s="220"/>
      <c r="N239" s="220"/>
      <c r="O239" s="220"/>
      <c r="P239" s="220"/>
      <c r="Q239" s="220"/>
      <c r="R239" s="220"/>
      <c r="S239" s="220"/>
      <c r="T239" s="220"/>
      <c r="U239" s="220"/>
      <c r="V239" s="220"/>
      <c r="W239" s="220"/>
      <c r="X239" s="220"/>
      <c r="Y239" s="220"/>
      <c r="Z239" s="220">
        <v>508</v>
      </c>
      <c r="AA239" s="220">
        <v>776</v>
      </c>
      <c r="AB239" s="220">
        <v>1015</v>
      </c>
      <c r="AC239" s="220">
        <v>765</v>
      </c>
      <c r="AD239" s="220">
        <v>456</v>
      </c>
      <c r="AE239" s="220"/>
      <c r="AF239" s="220"/>
      <c r="AG239" s="220"/>
      <c r="AH239" s="220"/>
      <c r="AI239" s="220"/>
      <c r="AJ239" s="50"/>
      <c r="AK239" s="257"/>
      <c r="AL239" s="257"/>
      <c r="AM239" s="52"/>
      <c r="AN239" s="88"/>
    </row>
    <row r="240" spans="1:40" s="29" customFormat="1" ht="17.25" customHeight="1">
      <c r="A240" s="48"/>
      <c r="B240" s="49"/>
      <c r="C240" s="220"/>
      <c r="D240" s="220"/>
      <c r="E240" s="220"/>
      <c r="F240" s="220"/>
      <c r="G240" s="220"/>
      <c r="H240" s="220"/>
      <c r="I240" s="220"/>
      <c r="J240" s="220"/>
      <c r="K240" s="220"/>
      <c r="L240" s="220"/>
      <c r="M240" s="220"/>
      <c r="N240" s="220"/>
      <c r="O240" s="220"/>
      <c r="P240" s="220"/>
      <c r="Q240" s="220"/>
      <c r="R240" s="220"/>
      <c r="S240" s="220"/>
      <c r="T240" s="220"/>
      <c r="U240" s="220"/>
      <c r="V240" s="220"/>
      <c r="W240" s="220"/>
      <c r="X240" s="220"/>
      <c r="Y240" s="220"/>
      <c r="Z240" s="220"/>
      <c r="AA240" s="220"/>
      <c r="AB240" s="220"/>
      <c r="AC240" s="220"/>
      <c r="AD240" s="220"/>
      <c r="AE240" s="220"/>
      <c r="AF240" s="220"/>
      <c r="AG240" s="220"/>
      <c r="AH240" s="220"/>
      <c r="AI240" s="220"/>
      <c r="AJ240" s="50"/>
      <c r="AK240" s="257"/>
      <c r="AL240" s="257"/>
      <c r="AM240" s="52"/>
      <c r="AN240" s="88"/>
    </row>
    <row r="241" spans="1:40" s="29" customFormat="1" ht="17.25" customHeight="1">
      <c r="A241" s="48"/>
      <c r="B241" s="49"/>
      <c r="C241" s="220"/>
      <c r="D241" s="220"/>
      <c r="E241" s="220"/>
      <c r="F241" s="220"/>
      <c r="G241" s="220"/>
      <c r="H241" s="220"/>
      <c r="I241" s="220"/>
      <c r="J241" s="220"/>
      <c r="K241" s="220"/>
      <c r="L241" s="220"/>
      <c r="M241" s="220"/>
      <c r="N241" s="220"/>
      <c r="O241" s="220"/>
      <c r="P241" s="220"/>
      <c r="Q241" s="220"/>
      <c r="R241" s="220"/>
      <c r="S241" s="220"/>
      <c r="T241" s="220"/>
      <c r="U241" s="220"/>
      <c r="V241" s="220"/>
      <c r="W241" s="220"/>
      <c r="X241" s="220"/>
      <c r="Y241" s="220"/>
      <c r="Z241" s="220">
        <f>Z237-Z239</f>
        <v>-98</v>
      </c>
      <c r="AA241" s="220">
        <f t="shared" ref="AA241:AD241" si="322">AA237-AA239</f>
        <v>0</v>
      </c>
      <c r="AB241" s="220">
        <f t="shared" si="322"/>
        <v>0</v>
      </c>
      <c r="AC241" s="220">
        <f t="shared" si="322"/>
        <v>0</v>
      </c>
      <c r="AD241" s="220">
        <f t="shared" si="322"/>
        <v>-78</v>
      </c>
      <c r="AE241" s="220"/>
      <c r="AF241" s="220"/>
      <c r="AG241" s="220"/>
      <c r="AH241" s="220"/>
      <c r="AI241" s="220"/>
      <c r="AJ241" s="50"/>
      <c r="AK241" s="257"/>
      <c r="AL241" s="257"/>
      <c r="AM241" s="52"/>
      <c r="AN241" s="88"/>
    </row>
    <row r="242" spans="1:40" s="29" customFormat="1" ht="17.25" customHeight="1">
      <c r="A242" s="48"/>
      <c r="B242" s="49"/>
      <c r="C242" s="220"/>
      <c r="D242" s="220"/>
      <c r="E242" s="220"/>
      <c r="F242" s="220"/>
      <c r="G242" s="220"/>
      <c r="H242" s="220"/>
      <c r="I242" s="220"/>
      <c r="J242" s="220"/>
      <c r="K242" s="220"/>
      <c r="L242" s="220"/>
      <c r="M242" s="220"/>
      <c r="N242" s="220"/>
      <c r="O242" s="220"/>
      <c r="P242" s="220"/>
      <c r="Q242" s="220"/>
      <c r="R242" s="220"/>
      <c r="S242" s="220"/>
      <c r="T242" s="220"/>
      <c r="U242" s="220"/>
      <c r="V242" s="220"/>
      <c r="W242" s="220"/>
      <c r="X242" s="220"/>
      <c r="Y242" s="220"/>
      <c r="Z242" s="220"/>
      <c r="AA242" s="220"/>
      <c r="AB242" s="220"/>
      <c r="AC242" s="220"/>
      <c r="AD242" s="220"/>
      <c r="AE242" s="220"/>
      <c r="AF242" s="220"/>
      <c r="AG242" s="220"/>
      <c r="AH242" s="220"/>
      <c r="AI242" s="220"/>
      <c r="AJ242" s="50"/>
      <c r="AK242" s="257"/>
      <c r="AL242" s="257"/>
      <c r="AM242" s="52"/>
      <c r="AN242" s="88"/>
    </row>
    <row r="243" spans="1:40" s="29" customFormat="1" ht="17.25" customHeight="1">
      <c r="A243" s="48"/>
      <c r="B243" s="49"/>
      <c r="C243" s="220"/>
      <c r="D243" s="220"/>
      <c r="E243" s="220"/>
      <c r="F243" s="220"/>
      <c r="G243" s="220"/>
      <c r="H243" s="220"/>
      <c r="I243" s="220"/>
      <c r="J243" s="220"/>
      <c r="K243" s="220"/>
      <c r="L243" s="220"/>
      <c r="M243" s="220"/>
      <c r="N243" s="220"/>
      <c r="O243" s="220"/>
      <c r="P243" s="220"/>
      <c r="Q243" s="220"/>
      <c r="R243" s="220"/>
      <c r="S243" s="220"/>
      <c r="T243" s="220"/>
      <c r="U243" s="220"/>
      <c r="V243" s="220"/>
      <c r="W243" s="220"/>
      <c r="X243" s="220"/>
      <c r="Y243" s="220"/>
      <c r="Z243" s="220"/>
      <c r="AA243" s="220"/>
      <c r="AB243" s="220"/>
      <c r="AC243" s="220"/>
      <c r="AD243" s="220"/>
      <c r="AE243" s="220"/>
      <c r="AF243" s="220"/>
      <c r="AG243" s="220"/>
      <c r="AH243" s="220"/>
      <c r="AI243" s="220"/>
      <c r="AJ243" s="50"/>
      <c r="AK243" s="257"/>
      <c r="AL243" s="257"/>
      <c r="AM243" s="52"/>
      <c r="AN243" s="88"/>
    </row>
    <row r="244" spans="1:40" s="29" customFormat="1" ht="17.25" customHeight="1">
      <c r="A244" s="48"/>
      <c r="B244" s="49"/>
      <c r="C244" s="220"/>
      <c r="D244" s="220"/>
      <c r="E244" s="220"/>
      <c r="F244" s="220"/>
      <c r="G244" s="220"/>
      <c r="H244" s="220"/>
      <c r="I244" s="220"/>
      <c r="J244" s="220"/>
      <c r="K244" s="220"/>
      <c r="L244" s="220"/>
      <c r="M244" s="220"/>
      <c r="N244" s="220"/>
      <c r="O244" s="220"/>
      <c r="P244" s="220"/>
      <c r="Q244" s="220"/>
      <c r="R244" s="220"/>
      <c r="S244" s="220"/>
      <c r="T244" s="220"/>
      <c r="U244" s="220"/>
      <c r="V244" s="220"/>
      <c r="W244" s="220"/>
      <c r="X244" s="220"/>
      <c r="Y244" s="220"/>
      <c r="Z244" s="220"/>
      <c r="AA244" s="220"/>
      <c r="AB244" s="220"/>
      <c r="AC244" s="220"/>
      <c r="AD244" s="220"/>
      <c r="AE244" s="220"/>
      <c r="AF244" s="220"/>
      <c r="AG244" s="220"/>
      <c r="AH244" s="220"/>
      <c r="AI244" s="220"/>
      <c r="AJ244" s="50"/>
      <c r="AK244" s="257"/>
      <c r="AL244" s="257"/>
      <c r="AM244" s="52"/>
      <c r="AN244" s="88"/>
    </row>
    <row r="245" spans="1:40" s="29" customFormat="1" ht="17.25" customHeight="1">
      <c r="A245" s="48"/>
      <c r="B245" s="49"/>
      <c r="C245" s="220"/>
      <c r="D245" s="220"/>
      <c r="E245" s="220"/>
      <c r="F245" s="220"/>
      <c r="G245" s="220"/>
      <c r="H245" s="220"/>
      <c r="I245" s="220"/>
      <c r="J245" s="220"/>
      <c r="K245" s="220"/>
      <c r="L245" s="220"/>
      <c r="M245" s="220"/>
      <c r="N245" s="220"/>
      <c r="O245" s="220"/>
      <c r="P245" s="220"/>
      <c r="Q245" s="220"/>
      <c r="R245" s="220"/>
      <c r="S245" s="220"/>
      <c r="T245" s="220"/>
      <c r="U245" s="220"/>
      <c r="V245" s="220"/>
      <c r="W245" s="220"/>
      <c r="X245" s="220"/>
      <c r="Y245" s="220"/>
      <c r="Z245" s="220"/>
      <c r="AA245" s="220"/>
      <c r="AB245" s="220"/>
      <c r="AC245" s="220"/>
      <c r="AD245" s="220"/>
      <c r="AE245" s="220"/>
      <c r="AF245" s="220"/>
      <c r="AG245" s="220"/>
      <c r="AH245" s="220"/>
      <c r="AI245" s="220"/>
      <c r="AJ245" s="50"/>
      <c r="AK245" s="257"/>
      <c r="AL245" s="257"/>
      <c r="AM245" s="52"/>
      <c r="AN245" s="88"/>
    </row>
    <row r="246" spans="1:40" s="29" customFormat="1" ht="17.25" customHeight="1">
      <c r="A246" s="48"/>
      <c r="B246" s="49"/>
      <c r="C246" s="220"/>
      <c r="D246" s="220"/>
      <c r="E246" s="220"/>
      <c r="F246" s="220"/>
      <c r="G246" s="220"/>
      <c r="H246" s="220"/>
      <c r="I246" s="220"/>
      <c r="J246" s="220"/>
      <c r="K246" s="220"/>
      <c r="L246" s="220"/>
      <c r="M246" s="220"/>
      <c r="N246" s="220"/>
      <c r="O246" s="220"/>
      <c r="P246" s="220"/>
      <c r="Q246" s="220"/>
      <c r="R246" s="220"/>
      <c r="S246" s="220"/>
      <c r="T246" s="220"/>
      <c r="U246" s="220"/>
      <c r="V246" s="220"/>
      <c r="W246" s="220"/>
      <c r="X246" s="220"/>
      <c r="Y246" s="220"/>
      <c r="Z246" s="220"/>
      <c r="AA246" s="220"/>
      <c r="AB246" s="220"/>
      <c r="AC246" s="220"/>
      <c r="AD246" s="220"/>
      <c r="AE246" s="220"/>
      <c r="AF246" s="220"/>
      <c r="AG246" s="220"/>
      <c r="AH246" s="220"/>
      <c r="AI246" s="220"/>
      <c r="AJ246" s="50"/>
      <c r="AK246" s="257"/>
      <c r="AL246" s="257"/>
      <c r="AM246" s="52"/>
      <c r="AN246" s="88"/>
    </row>
    <row r="247" spans="1:40" s="29" customFormat="1" ht="17.25" customHeight="1">
      <c r="A247" s="48"/>
      <c r="B247" s="49"/>
      <c r="C247" s="220"/>
      <c r="D247" s="220"/>
      <c r="E247" s="220"/>
      <c r="F247" s="220"/>
      <c r="G247" s="220"/>
      <c r="H247" s="220"/>
      <c r="I247" s="220"/>
      <c r="J247" s="220"/>
      <c r="K247" s="220"/>
      <c r="L247" s="220"/>
      <c r="M247" s="220"/>
      <c r="N247" s="220"/>
      <c r="O247" s="220"/>
      <c r="P247" s="220"/>
      <c r="Q247" s="220"/>
      <c r="R247" s="220"/>
      <c r="S247" s="220"/>
      <c r="T247" s="220"/>
      <c r="U247" s="220"/>
      <c r="V247" s="220"/>
      <c r="W247" s="220"/>
      <c r="X247" s="220"/>
      <c r="Y247" s="220"/>
      <c r="Z247" s="220"/>
      <c r="AA247" s="220"/>
      <c r="AB247" s="220"/>
      <c r="AC247" s="220"/>
      <c r="AD247" s="220"/>
      <c r="AE247" s="220"/>
      <c r="AF247" s="220"/>
      <c r="AG247" s="220"/>
      <c r="AH247" s="220"/>
      <c r="AI247" s="220"/>
      <c r="AJ247" s="50"/>
      <c r="AK247" s="257"/>
      <c r="AL247" s="257"/>
      <c r="AM247" s="52"/>
      <c r="AN247" s="88"/>
    </row>
    <row r="248" spans="1:40" s="29" customFormat="1" ht="17.25" customHeight="1">
      <c r="A248" s="48"/>
      <c r="B248" s="49"/>
      <c r="C248" s="220"/>
      <c r="D248" s="220"/>
      <c r="E248" s="220"/>
      <c r="F248" s="220"/>
      <c r="G248" s="220"/>
      <c r="H248" s="220"/>
      <c r="I248" s="220"/>
      <c r="J248" s="220"/>
      <c r="K248" s="220"/>
      <c r="L248" s="220"/>
      <c r="M248" s="220"/>
      <c r="N248" s="220"/>
      <c r="O248" s="220"/>
      <c r="P248" s="220"/>
      <c r="Q248" s="220"/>
      <c r="R248" s="220"/>
      <c r="S248" s="220"/>
      <c r="T248" s="220"/>
      <c r="U248" s="220"/>
      <c r="V248" s="220"/>
      <c r="W248" s="220"/>
      <c r="X248" s="220"/>
      <c r="Y248" s="220"/>
      <c r="Z248" s="220"/>
      <c r="AA248" s="220"/>
      <c r="AB248" s="220"/>
      <c r="AC248" s="220"/>
      <c r="AD248" s="220"/>
      <c r="AE248" s="220"/>
      <c r="AF248" s="220"/>
      <c r="AG248" s="220"/>
      <c r="AH248" s="220"/>
      <c r="AI248" s="220"/>
      <c r="AJ248" s="50"/>
      <c r="AK248" s="257"/>
      <c r="AL248" s="257"/>
      <c r="AM248" s="52"/>
      <c r="AN248" s="88"/>
    </row>
    <row r="249" spans="1:40" s="29" customFormat="1" ht="17.25" customHeight="1">
      <c r="A249" s="48"/>
      <c r="B249" s="49"/>
      <c r="C249" s="220"/>
      <c r="D249" s="220"/>
      <c r="E249" s="220"/>
      <c r="F249" s="220"/>
      <c r="G249" s="220"/>
      <c r="H249" s="220"/>
      <c r="I249" s="220"/>
      <c r="J249" s="220"/>
      <c r="K249" s="220"/>
      <c r="L249" s="220"/>
      <c r="M249" s="220"/>
      <c r="N249" s="220"/>
      <c r="O249" s="220"/>
      <c r="P249" s="220"/>
      <c r="Q249" s="220"/>
      <c r="R249" s="220"/>
      <c r="S249" s="220"/>
      <c r="T249" s="220"/>
      <c r="U249" s="220"/>
      <c r="V249" s="220"/>
      <c r="W249" s="220"/>
      <c r="X249" s="220"/>
      <c r="Y249" s="220"/>
      <c r="Z249" s="220"/>
      <c r="AA249" s="220"/>
      <c r="AB249" s="220"/>
      <c r="AC249" s="220"/>
      <c r="AD249" s="220"/>
      <c r="AE249" s="220"/>
      <c r="AF249" s="220"/>
      <c r="AG249" s="220"/>
      <c r="AH249" s="220"/>
      <c r="AI249" s="220"/>
      <c r="AJ249" s="50"/>
      <c r="AK249" s="257"/>
      <c r="AL249" s="257"/>
      <c r="AM249" s="52"/>
      <c r="AN249" s="88"/>
    </row>
    <row r="250" spans="1:40" s="29" customFormat="1" ht="17.25" customHeight="1">
      <c r="A250" s="48"/>
      <c r="B250" s="49"/>
      <c r="C250" s="220"/>
      <c r="D250" s="220"/>
      <c r="E250" s="220"/>
      <c r="F250" s="220"/>
      <c r="G250" s="220"/>
      <c r="H250" s="220"/>
      <c r="I250" s="220"/>
      <c r="J250" s="220"/>
      <c r="K250" s="220"/>
      <c r="L250" s="220"/>
      <c r="M250" s="220"/>
      <c r="N250" s="220"/>
      <c r="O250" s="220"/>
      <c r="P250" s="220"/>
      <c r="Q250" s="220"/>
      <c r="R250" s="220"/>
      <c r="S250" s="220"/>
      <c r="T250" s="220"/>
      <c r="U250" s="220"/>
      <c r="V250" s="220"/>
      <c r="W250" s="220"/>
      <c r="X250" s="220"/>
      <c r="Y250" s="220"/>
      <c r="Z250" s="220"/>
      <c r="AA250" s="220"/>
      <c r="AB250" s="220"/>
      <c r="AC250" s="220"/>
      <c r="AD250" s="220"/>
      <c r="AE250" s="220"/>
      <c r="AF250" s="220"/>
      <c r="AG250" s="220"/>
      <c r="AH250" s="220"/>
      <c r="AI250" s="220"/>
      <c r="AJ250" s="50"/>
      <c r="AK250" s="257"/>
      <c r="AL250" s="257"/>
      <c r="AM250" s="52"/>
      <c r="AN250" s="88"/>
    </row>
    <row r="251" spans="1:40" s="29" customFormat="1" ht="17.25" customHeight="1">
      <c r="A251" s="48"/>
      <c r="B251" s="49"/>
      <c r="C251" s="220"/>
      <c r="D251" s="220"/>
      <c r="E251" s="220"/>
      <c r="F251" s="220"/>
      <c r="G251" s="220"/>
      <c r="H251" s="220"/>
      <c r="I251" s="220"/>
      <c r="J251" s="220"/>
      <c r="K251" s="220"/>
      <c r="L251" s="220"/>
      <c r="M251" s="220"/>
      <c r="N251" s="220"/>
      <c r="O251" s="220"/>
      <c r="P251" s="220"/>
      <c r="Q251" s="220"/>
      <c r="R251" s="220"/>
      <c r="S251" s="220"/>
      <c r="T251" s="220"/>
      <c r="U251" s="220"/>
      <c r="V251" s="220"/>
      <c r="W251" s="220"/>
      <c r="X251" s="220"/>
      <c r="Y251" s="220"/>
      <c r="Z251" s="220"/>
      <c r="AA251" s="220"/>
      <c r="AB251" s="220"/>
      <c r="AC251" s="220"/>
      <c r="AD251" s="220"/>
      <c r="AE251" s="220"/>
      <c r="AF251" s="220"/>
      <c r="AG251" s="220"/>
      <c r="AH251" s="220"/>
      <c r="AI251" s="220"/>
      <c r="AJ251" s="50"/>
      <c r="AK251" s="257"/>
      <c r="AL251" s="257"/>
      <c r="AM251" s="52"/>
      <c r="AN251" s="88"/>
    </row>
    <row r="252" spans="1:40" s="29" customFormat="1" ht="17.25" customHeight="1">
      <c r="A252" s="48"/>
      <c r="B252" s="49"/>
      <c r="C252" s="220"/>
      <c r="D252" s="220"/>
      <c r="E252" s="220"/>
      <c r="F252" s="220"/>
      <c r="G252" s="220"/>
      <c r="H252" s="220"/>
      <c r="I252" s="220"/>
      <c r="J252" s="220"/>
      <c r="K252" s="220"/>
      <c r="L252" s="220"/>
      <c r="M252" s="220"/>
      <c r="N252" s="220"/>
      <c r="O252" s="220"/>
      <c r="P252" s="220"/>
      <c r="Q252" s="220"/>
      <c r="R252" s="220"/>
      <c r="S252" s="220"/>
      <c r="T252" s="220"/>
      <c r="U252" s="220"/>
      <c r="V252" s="220"/>
      <c r="W252" s="220"/>
      <c r="X252" s="220"/>
      <c r="Y252" s="220"/>
      <c r="Z252" s="220"/>
      <c r="AA252" s="220"/>
      <c r="AB252" s="220"/>
      <c r="AC252" s="220"/>
      <c r="AD252" s="220"/>
      <c r="AE252" s="220"/>
      <c r="AF252" s="220"/>
      <c r="AG252" s="220"/>
      <c r="AH252" s="220"/>
      <c r="AI252" s="220"/>
      <c r="AJ252" s="50"/>
      <c r="AK252" s="257"/>
      <c r="AL252" s="257"/>
      <c r="AM252" s="52"/>
      <c r="AN252" s="88"/>
    </row>
    <row r="253" spans="1:40" s="29" customFormat="1" ht="17.25" customHeight="1">
      <c r="A253" s="48"/>
      <c r="B253" s="49"/>
      <c r="C253" s="220"/>
      <c r="D253" s="220"/>
      <c r="E253" s="220"/>
      <c r="F253" s="220"/>
      <c r="G253" s="220"/>
      <c r="H253" s="220"/>
      <c r="I253" s="220"/>
      <c r="J253" s="220"/>
      <c r="K253" s="220"/>
      <c r="L253" s="220"/>
      <c r="M253" s="220"/>
      <c r="N253" s="220"/>
      <c r="O253" s="220"/>
      <c r="P253" s="220"/>
      <c r="Q253" s="220"/>
      <c r="R253" s="220"/>
      <c r="S253" s="220"/>
      <c r="T253" s="220"/>
      <c r="U253" s="220"/>
      <c r="V253" s="220"/>
      <c r="W253" s="220"/>
      <c r="X253" s="220"/>
      <c r="Y253" s="220"/>
      <c r="Z253" s="220"/>
      <c r="AA253" s="220"/>
      <c r="AB253" s="220"/>
      <c r="AC253" s="220"/>
      <c r="AD253" s="220"/>
      <c r="AE253" s="220"/>
      <c r="AF253" s="220"/>
      <c r="AG253" s="220"/>
      <c r="AH253" s="220"/>
      <c r="AI253" s="220"/>
      <c r="AJ253" s="50"/>
      <c r="AK253" s="257"/>
      <c r="AL253" s="257"/>
      <c r="AM253" s="52"/>
      <c r="AN253" s="88"/>
    </row>
    <row r="254" spans="1:40" s="29" customFormat="1" ht="17.25" customHeight="1">
      <c r="A254" s="48"/>
      <c r="B254" s="49"/>
      <c r="C254" s="220"/>
      <c r="D254" s="220"/>
      <c r="E254" s="220"/>
      <c r="F254" s="220"/>
      <c r="G254" s="220"/>
      <c r="H254" s="220"/>
      <c r="I254" s="220"/>
      <c r="J254" s="220"/>
      <c r="K254" s="220"/>
      <c r="L254" s="220"/>
      <c r="M254" s="220"/>
      <c r="N254" s="220"/>
      <c r="O254" s="220"/>
      <c r="P254" s="220"/>
      <c r="Q254" s="220"/>
      <c r="R254" s="220"/>
      <c r="S254" s="220"/>
      <c r="T254" s="220"/>
      <c r="U254" s="220"/>
      <c r="V254" s="220"/>
      <c r="W254" s="220"/>
      <c r="X254" s="220"/>
      <c r="Y254" s="220"/>
      <c r="Z254" s="220"/>
      <c r="AA254" s="220"/>
      <c r="AB254" s="220"/>
      <c r="AC254" s="220"/>
      <c r="AD254" s="220"/>
      <c r="AE254" s="220"/>
      <c r="AF254" s="220"/>
      <c r="AG254" s="220"/>
      <c r="AH254" s="220"/>
      <c r="AI254" s="220"/>
      <c r="AJ254" s="50"/>
      <c r="AK254" s="257"/>
      <c r="AL254" s="257"/>
      <c r="AM254" s="52"/>
      <c r="AN254" s="88"/>
    </row>
    <row r="255" spans="1:40" s="29" customFormat="1" ht="17.25" customHeight="1">
      <c r="A255" s="48"/>
      <c r="B255" s="49"/>
      <c r="C255" s="220"/>
      <c r="D255" s="220"/>
      <c r="E255" s="220"/>
      <c r="F255" s="220"/>
      <c r="G255" s="220"/>
      <c r="H255" s="220"/>
      <c r="I255" s="220"/>
      <c r="J255" s="220"/>
      <c r="K255" s="220"/>
      <c r="L255" s="220"/>
      <c r="M255" s="220"/>
      <c r="N255" s="220"/>
      <c r="O255" s="220"/>
      <c r="P255" s="220"/>
      <c r="Q255" s="220"/>
      <c r="R255" s="220"/>
      <c r="S255" s="220"/>
      <c r="T255" s="220"/>
      <c r="U255" s="220"/>
      <c r="V255" s="220"/>
      <c r="W255" s="220"/>
      <c r="X255" s="220"/>
      <c r="Y255" s="220"/>
      <c r="Z255" s="220"/>
      <c r="AA255" s="220"/>
      <c r="AB255" s="220"/>
      <c r="AC255" s="220"/>
      <c r="AD255" s="220"/>
      <c r="AE255" s="220"/>
      <c r="AF255" s="220"/>
      <c r="AG255" s="220"/>
      <c r="AH255" s="220"/>
      <c r="AI255" s="220"/>
      <c r="AJ255" s="50"/>
      <c r="AK255" s="257"/>
      <c r="AL255" s="257"/>
      <c r="AM255" s="52"/>
      <c r="AN255" s="88"/>
    </row>
    <row r="256" spans="1:40" s="29" customFormat="1" ht="17.25" customHeight="1">
      <c r="A256" s="48"/>
      <c r="B256" s="49"/>
      <c r="C256" s="220"/>
      <c r="D256" s="220"/>
      <c r="E256" s="220"/>
      <c r="F256" s="220"/>
      <c r="G256" s="220"/>
      <c r="H256" s="220"/>
      <c r="I256" s="220"/>
      <c r="J256" s="220"/>
      <c r="K256" s="220"/>
      <c r="L256" s="220"/>
      <c r="M256" s="220"/>
      <c r="N256" s="220"/>
      <c r="O256" s="220"/>
      <c r="P256" s="220"/>
      <c r="Q256" s="220"/>
      <c r="R256" s="220"/>
      <c r="S256" s="220"/>
      <c r="T256" s="220"/>
      <c r="U256" s="220"/>
      <c r="V256" s="220"/>
      <c r="W256" s="220"/>
      <c r="X256" s="220"/>
      <c r="Y256" s="220"/>
      <c r="Z256" s="220"/>
      <c r="AA256" s="220"/>
      <c r="AB256" s="220"/>
      <c r="AC256" s="220"/>
      <c r="AD256" s="220"/>
      <c r="AE256" s="220"/>
      <c r="AF256" s="220"/>
      <c r="AG256" s="220"/>
      <c r="AH256" s="220"/>
      <c r="AI256" s="220"/>
      <c r="AJ256" s="50"/>
      <c r="AK256" s="257"/>
      <c r="AL256" s="257"/>
      <c r="AM256" s="52"/>
      <c r="AN256" s="88"/>
    </row>
    <row r="257" spans="1:40" s="29" customFormat="1" ht="17.25" customHeight="1">
      <c r="A257" s="48"/>
      <c r="B257" s="49"/>
      <c r="C257" s="220"/>
      <c r="D257" s="220"/>
      <c r="E257" s="220"/>
      <c r="F257" s="220"/>
      <c r="G257" s="220"/>
      <c r="H257" s="220"/>
      <c r="I257" s="220"/>
      <c r="J257" s="220"/>
      <c r="K257" s="220"/>
      <c r="L257" s="220"/>
      <c r="M257" s="220"/>
      <c r="N257" s="220"/>
      <c r="O257" s="220"/>
      <c r="P257" s="220"/>
      <c r="Q257" s="220"/>
      <c r="R257" s="220"/>
      <c r="S257" s="220"/>
      <c r="T257" s="220"/>
      <c r="U257" s="220"/>
      <c r="V257" s="220"/>
      <c r="W257" s="220"/>
      <c r="X257" s="220"/>
      <c r="Y257" s="220"/>
      <c r="Z257" s="220"/>
      <c r="AA257" s="220"/>
      <c r="AB257" s="220"/>
      <c r="AC257" s="220"/>
      <c r="AD257" s="220"/>
      <c r="AE257" s="220"/>
      <c r="AF257" s="220"/>
      <c r="AG257" s="220"/>
      <c r="AH257" s="220"/>
      <c r="AI257" s="220"/>
      <c r="AJ257" s="50"/>
      <c r="AK257" s="257"/>
      <c r="AL257" s="257"/>
      <c r="AM257" s="52"/>
      <c r="AN257" s="88"/>
    </row>
    <row r="258" spans="1:40" s="29" customFormat="1" ht="17.25" customHeight="1">
      <c r="A258" s="48"/>
      <c r="B258" s="49"/>
      <c r="C258" s="220"/>
      <c r="D258" s="220"/>
      <c r="E258" s="220"/>
      <c r="F258" s="220"/>
      <c r="G258" s="220"/>
      <c r="H258" s="220"/>
      <c r="I258" s="220"/>
      <c r="J258" s="220"/>
      <c r="K258" s="220"/>
      <c r="L258" s="220"/>
      <c r="M258" s="220"/>
      <c r="N258" s="220"/>
      <c r="O258" s="220"/>
      <c r="P258" s="220"/>
      <c r="Q258" s="220"/>
      <c r="R258" s="220"/>
      <c r="S258" s="220"/>
      <c r="T258" s="220"/>
      <c r="U258" s="220"/>
      <c r="V258" s="220"/>
      <c r="W258" s="220"/>
      <c r="X258" s="220"/>
      <c r="Y258" s="220"/>
      <c r="Z258" s="220"/>
      <c r="AA258" s="220"/>
      <c r="AB258" s="220"/>
      <c r="AC258" s="220"/>
      <c r="AD258" s="220"/>
      <c r="AE258" s="220"/>
      <c r="AF258" s="220"/>
      <c r="AG258" s="220"/>
      <c r="AH258" s="220"/>
      <c r="AI258" s="220"/>
      <c r="AJ258" s="50"/>
      <c r="AK258" s="257"/>
      <c r="AL258" s="257"/>
      <c r="AM258" s="52"/>
      <c r="AN258" s="88"/>
    </row>
    <row r="259" spans="1:40" s="29" customFormat="1" ht="17.25" customHeight="1">
      <c r="A259" s="48"/>
      <c r="B259" s="49"/>
      <c r="C259" s="220"/>
      <c r="D259" s="220"/>
      <c r="E259" s="220"/>
      <c r="F259" s="220"/>
      <c r="G259" s="220"/>
      <c r="H259" s="220"/>
      <c r="I259" s="220"/>
      <c r="J259" s="220"/>
      <c r="K259" s="220"/>
      <c r="L259" s="220"/>
      <c r="M259" s="220"/>
      <c r="N259" s="220"/>
      <c r="O259" s="220"/>
      <c r="P259" s="220"/>
      <c r="Q259" s="220"/>
      <c r="R259" s="220"/>
      <c r="S259" s="220"/>
      <c r="T259" s="220"/>
      <c r="U259" s="220"/>
      <c r="V259" s="220"/>
      <c r="W259" s="220"/>
      <c r="X259" s="220"/>
      <c r="Y259" s="220"/>
      <c r="Z259" s="220"/>
      <c r="AA259" s="220"/>
      <c r="AB259" s="220"/>
      <c r="AC259" s="220"/>
      <c r="AD259" s="220"/>
      <c r="AE259" s="220"/>
      <c r="AF259" s="220"/>
      <c r="AG259" s="220"/>
      <c r="AH259" s="220"/>
      <c r="AI259" s="220"/>
      <c r="AJ259" s="50"/>
      <c r="AK259" s="257"/>
      <c r="AL259" s="257"/>
      <c r="AM259" s="52"/>
      <c r="AN259" s="88"/>
    </row>
    <row r="260" spans="1:40" s="29" customFormat="1" ht="17.25" customHeight="1">
      <c r="A260" s="48"/>
      <c r="B260" s="49"/>
      <c r="C260" s="220"/>
      <c r="D260" s="220"/>
      <c r="E260" s="220"/>
      <c r="F260" s="220"/>
      <c r="G260" s="220"/>
      <c r="H260" s="220"/>
      <c r="I260" s="220"/>
      <c r="J260" s="220"/>
      <c r="K260" s="220"/>
      <c r="L260" s="220"/>
      <c r="M260" s="220"/>
      <c r="N260" s="220"/>
      <c r="O260" s="220"/>
      <c r="P260" s="220"/>
      <c r="Q260" s="220"/>
      <c r="R260" s="220"/>
      <c r="S260" s="220"/>
      <c r="T260" s="220"/>
      <c r="U260" s="220"/>
      <c r="V260" s="220"/>
      <c r="W260" s="220"/>
      <c r="X260" s="220"/>
      <c r="Y260" s="220"/>
      <c r="Z260" s="220"/>
      <c r="AA260" s="220"/>
      <c r="AB260" s="220"/>
      <c r="AC260" s="220"/>
      <c r="AD260" s="220"/>
      <c r="AE260" s="220"/>
      <c r="AF260" s="220"/>
      <c r="AG260" s="220"/>
      <c r="AH260" s="220"/>
      <c r="AI260" s="220"/>
      <c r="AJ260" s="50"/>
      <c r="AK260" s="257"/>
      <c r="AL260" s="257"/>
      <c r="AM260" s="52"/>
      <c r="AN260" s="88"/>
    </row>
    <row r="261" spans="1:40" s="29" customFormat="1" ht="17.25" customHeight="1">
      <c r="A261" s="48"/>
      <c r="B261" s="49"/>
      <c r="C261" s="220"/>
      <c r="D261" s="220"/>
      <c r="E261" s="220"/>
      <c r="F261" s="220"/>
      <c r="G261" s="220"/>
      <c r="H261" s="220"/>
      <c r="I261" s="220"/>
      <c r="J261" s="220"/>
      <c r="K261" s="220"/>
      <c r="L261" s="220"/>
      <c r="M261" s="220"/>
      <c r="N261" s="220"/>
      <c r="O261" s="220"/>
      <c r="P261" s="220"/>
      <c r="Q261" s="220"/>
      <c r="R261" s="220"/>
      <c r="S261" s="220"/>
      <c r="T261" s="220"/>
      <c r="U261" s="220"/>
      <c r="V261" s="220"/>
      <c r="W261" s="220"/>
      <c r="X261" s="220"/>
      <c r="Y261" s="220"/>
      <c r="Z261" s="220"/>
      <c r="AA261" s="220"/>
      <c r="AB261" s="220"/>
      <c r="AC261" s="220"/>
      <c r="AD261" s="220"/>
      <c r="AE261" s="220"/>
      <c r="AF261" s="220"/>
      <c r="AG261" s="220"/>
      <c r="AH261" s="220"/>
      <c r="AI261" s="220"/>
      <c r="AJ261" s="50"/>
      <c r="AK261" s="257"/>
      <c r="AL261" s="257"/>
      <c r="AM261" s="52"/>
      <c r="AN261" s="88"/>
    </row>
    <row r="262" spans="1:40" s="29" customFormat="1" ht="17.25" customHeight="1">
      <c r="A262" s="48"/>
      <c r="B262" s="49"/>
      <c r="C262" s="220"/>
      <c r="D262" s="220"/>
      <c r="E262" s="220"/>
      <c r="F262" s="220"/>
      <c r="G262" s="220"/>
      <c r="H262" s="220"/>
      <c r="I262" s="220"/>
      <c r="J262" s="220"/>
      <c r="K262" s="220"/>
      <c r="L262" s="220"/>
      <c r="M262" s="220"/>
      <c r="N262" s="220"/>
      <c r="O262" s="220"/>
      <c r="P262" s="220"/>
      <c r="Q262" s="220"/>
      <c r="R262" s="220"/>
      <c r="S262" s="220"/>
      <c r="T262" s="220"/>
      <c r="U262" s="220"/>
      <c r="V262" s="220"/>
      <c r="W262" s="220"/>
      <c r="X262" s="220"/>
      <c r="Y262" s="220"/>
      <c r="Z262" s="220"/>
      <c r="AA262" s="220"/>
      <c r="AB262" s="220"/>
      <c r="AC262" s="220"/>
      <c r="AD262" s="220"/>
      <c r="AE262" s="220"/>
      <c r="AF262" s="220"/>
      <c r="AG262" s="220"/>
      <c r="AH262" s="220"/>
      <c r="AI262" s="220"/>
      <c r="AJ262" s="50"/>
      <c r="AK262" s="257"/>
      <c r="AL262" s="257"/>
      <c r="AM262" s="52"/>
      <c r="AN262" s="88"/>
    </row>
    <row r="263" spans="1:40" s="29" customFormat="1" ht="17.25" customHeight="1">
      <c r="A263" s="48"/>
      <c r="B263" s="49"/>
      <c r="C263" s="220"/>
      <c r="D263" s="220"/>
      <c r="E263" s="220"/>
      <c r="F263" s="220"/>
      <c r="G263" s="220"/>
      <c r="H263" s="220"/>
      <c r="I263" s="220"/>
      <c r="J263" s="220"/>
      <c r="K263" s="220"/>
      <c r="L263" s="220"/>
      <c r="M263" s="220"/>
      <c r="N263" s="220"/>
      <c r="O263" s="220"/>
      <c r="P263" s="220"/>
      <c r="Q263" s="220"/>
      <c r="R263" s="220"/>
      <c r="S263" s="220"/>
      <c r="T263" s="220"/>
      <c r="U263" s="220"/>
      <c r="V263" s="220"/>
      <c r="W263" s="220"/>
      <c r="X263" s="220"/>
      <c r="Y263" s="220"/>
      <c r="Z263" s="220"/>
      <c r="AA263" s="220"/>
      <c r="AB263" s="220"/>
      <c r="AC263" s="220"/>
      <c r="AD263" s="220"/>
      <c r="AE263" s="220"/>
      <c r="AF263" s="220"/>
      <c r="AG263" s="220"/>
      <c r="AH263" s="220"/>
      <c r="AI263" s="220"/>
      <c r="AJ263" s="50"/>
      <c r="AK263" s="257"/>
      <c r="AL263" s="257"/>
      <c r="AM263" s="52"/>
      <c r="AN263" s="88"/>
    </row>
    <row r="264" spans="1:40" s="29" customFormat="1" ht="17.25" customHeight="1">
      <c r="A264" s="48"/>
      <c r="B264" s="49"/>
      <c r="C264" s="220"/>
      <c r="D264" s="220"/>
      <c r="E264" s="220"/>
      <c r="F264" s="220"/>
      <c r="G264" s="220"/>
      <c r="H264" s="220"/>
      <c r="I264" s="220"/>
      <c r="J264" s="220"/>
      <c r="K264" s="220"/>
      <c r="L264" s="220"/>
      <c r="M264" s="220"/>
      <c r="N264" s="220"/>
      <c r="O264" s="220"/>
      <c r="P264" s="220"/>
      <c r="Q264" s="220"/>
      <c r="R264" s="220"/>
      <c r="S264" s="220"/>
      <c r="T264" s="220"/>
      <c r="U264" s="220"/>
      <c r="V264" s="220"/>
      <c r="W264" s="220"/>
      <c r="X264" s="220"/>
      <c r="Y264" s="220"/>
      <c r="Z264" s="220"/>
      <c r="AA264" s="220"/>
      <c r="AB264" s="220"/>
      <c r="AC264" s="220"/>
      <c r="AD264" s="220"/>
      <c r="AE264" s="220"/>
      <c r="AF264" s="220"/>
      <c r="AG264" s="220"/>
      <c r="AH264" s="220"/>
      <c r="AI264" s="220"/>
      <c r="AJ264" s="50"/>
      <c r="AK264" s="257"/>
      <c r="AL264" s="257"/>
      <c r="AM264" s="52"/>
      <c r="AN264" s="88"/>
    </row>
    <row r="265" spans="1:40" s="29" customFormat="1" ht="17.25" customHeight="1">
      <c r="A265" s="48"/>
      <c r="B265" s="49"/>
      <c r="C265" s="220"/>
      <c r="D265" s="220"/>
      <c r="E265" s="220"/>
      <c r="F265" s="220"/>
      <c r="G265" s="220"/>
      <c r="H265" s="220"/>
      <c r="I265" s="220"/>
      <c r="J265" s="220"/>
      <c r="K265" s="220"/>
      <c r="L265" s="220"/>
      <c r="M265" s="220"/>
      <c r="N265" s="220"/>
      <c r="O265" s="220"/>
      <c r="P265" s="220"/>
      <c r="Q265" s="220"/>
      <c r="R265" s="220"/>
      <c r="S265" s="220"/>
      <c r="T265" s="220"/>
      <c r="U265" s="220"/>
      <c r="V265" s="220"/>
      <c r="W265" s="220"/>
      <c r="X265" s="220"/>
      <c r="Y265" s="220"/>
      <c r="Z265" s="220"/>
      <c r="AA265" s="220"/>
      <c r="AB265" s="220"/>
      <c r="AC265" s="220"/>
      <c r="AD265" s="220"/>
      <c r="AE265" s="220"/>
      <c r="AF265" s="220"/>
      <c r="AG265" s="220"/>
      <c r="AH265" s="220"/>
      <c r="AI265" s="220"/>
      <c r="AJ265" s="50"/>
      <c r="AK265" s="257"/>
      <c r="AL265" s="257"/>
      <c r="AM265" s="52"/>
      <c r="AN265" s="88"/>
    </row>
    <row r="266" spans="1:40" s="29" customFormat="1" ht="17.25" customHeight="1">
      <c r="A266" s="48"/>
      <c r="B266" s="49"/>
      <c r="C266" s="220"/>
      <c r="D266" s="220"/>
      <c r="E266" s="220"/>
      <c r="F266" s="220"/>
      <c r="G266" s="220"/>
      <c r="H266" s="220"/>
      <c r="I266" s="220"/>
      <c r="J266" s="220"/>
      <c r="K266" s="220"/>
      <c r="L266" s="220"/>
      <c r="M266" s="220"/>
      <c r="N266" s="220"/>
      <c r="O266" s="220"/>
      <c r="P266" s="220"/>
      <c r="Q266" s="220"/>
      <c r="R266" s="220"/>
      <c r="S266" s="220"/>
      <c r="T266" s="220"/>
      <c r="U266" s="220"/>
      <c r="V266" s="220"/>
      <c r="W266" s="220"/>
      <c r="X266" s="220"/>
      <c r="Y266" s="220"/>
      <c r="Z266" s="220"/>
      <c r="AA266" s="220"/>
      <c r="AB266" s="220"/>
      <c r="AC266" s="220"/>
      <c r="AD266" s="220"/>
      <c r="AE266" s="220"/>
      <c r="AF266" s="220"/>
      <c r="AG266" s="220"/>
      <c r="AH266" s="220"/>
      <c r="AI266" s="220"/>
      <c r="AJ266" s="50"/>
      <c r="AK266" s="257"/>
      <c r="AL266" s="257"/>
      <c r="AM266" s="52"/>
      <c r="AN266" s="88"/>
    </row>
    <row r="267" spans="1:40" s="29" customFormat="1" ht="17.25" customHeight="1">
      <c r="A267" s="48"/>
      <c r="B267" s="49"/>
      <c r="C267" s="220"/>
      <c r="D267" s="220"/>
      <c r="E267" s="220"/>
      <c r="F267" s="220"/>
      <c r="G267" s="220"/>
      <c r="H267" s="220"/>
      <c r="I267" s="220"/>
      <c r="J267" s="220"/>
      <c r="K267" s="220"/>
      <c r="L267" s="220"/>
      <c r="M267" s="220"/>
      <c r="N267" s="220"/>
      <c r="O267" s="220"/>
      <c r="P267" s="220"/>
      <c r="Q267" s="220"/>
      <c r="R267" s="220"/>
      <c r="S267" s="220"/>
      <c r="T267" s="220"/>
      <c r="U267" s="220"/>
      <c r="V267" s="220"/>
      <c r="W267" s="220"/>
      <c r="X267" s="220"/>
      <c r="Y267" s="220"/>
      <c r="Z267" s="220"/>
      <c r="AA267" s="220"/>
      <c r="AB267" s="220"/>
      <c r="AC267" s="220"/>
      <c r="AD267" s="220"/>
      <c r="AE267" s="220"/>
      <c r="AF267" s="220"/>
      <c r="AG267" s="220"/>
      <c r="AH267" s="220"/>
      <c r="AI267" s="220"/>
      <c r="AJ267" s="50"/>
      <c r="AK267" s="257"/>
      <c r="AL267" s="257"/>
      <c r="AM267" s="52"/>
      <c r="AN267" s="88"/>
    </row>
    <row r="268" spans="1:40" s="29" customFormat="1" ht="17.25" customHeight="1">
      <c r="A268" s="48"/>
      <c r="B268" s="49"/>
      <c r="C268" s="220"/>
      <c r="D268" s="220"/>
      <c r="E268" s="220"/>
      <c r="F268" s="220"/>
      <c r="G268" s="220"/>
      <c r="H268" s="220"/>
      <c r="I268" s="220"/>
      <c r="J268" s="220"/>
      <c r="K268" s="220"/>
      <c r="L268" s="220"/>
      <c r="M268" s="220"/>
      <c r="N268" s="220"/>
      <c r="O268" s="220"/>
      <c r="P268" s="220"/>
      <c r="Q268" s="220"/>
      <c r="R268" s="220"/>
      <c r="S268" s="220"/>
      <c r="T268" s="220"/>
      <c r="U268" s="220"/>
      <c r="V268" s="220"/>
      <c r="W268" s="220"/>
      <c r="X268" s="220"/>
      <c r="Y268" s="220"/>
      <c r="Z268" s="220"/>
      <c r="AA268" s="220"/>
      <c r="AB268" s="220"/>
      <c r="AC268" s="220"/>
      <c r="AD268" s="220"/>
      <c r="AE268" s="220"/>
      <c r="AF268" s="220"/>
      <c r="AG268" s="220"/>
      <c r="AH268" s="220"/>
      <c r="AI268" s="220"/>
      <c r="AJ268" s="50"/>
      <c r="AK268" s="257"/>
      <c r="AL268" s="257"/>
      <c r="AM268" s="52"/>
      <c r="AN268" s="88"/>
    </row>
    <row r="269" spans="1:40" s="29" customFormat="1" ht="17.25" customHeight="1">
      <c r="A269" s="48"/>
      <c r="B269" s="49"/>
      <c r="C269" s="220"/>
      <c r="D269" s="220"/>
      <c r="E269" s="220"/>
      <c r="F269" s="220"/>
      <c r="G269" s="220"/>
      <c r="H269" s="220"/>
      <c r="I269" s="220"/>
      <c r="J269" s="220"/>
      <c r="K269" s="220"/>
      <c r="L269" s="220"/>
      <c r="M269" s="220"/>
      <c r="N269" s="220"/>
      <c r="O269" s="220"/>
      <c r="P269" s="220"/>
      <c r="Q269" s="220"/>
      <c r="R269" s="220"/>
      <c r="S269" s="220"/>
      <c r="T269" s="220"/>
      <c r="U269" s="220"/>
      <c r="V269" s="220"/>
      <c r="W269" s="220"/>
      <c r="X269" s="220"/>
      <c r="Y269" s="220"/>
      <c r="Z269" s="220"/>
      <c r="AA269" s="220"/>
      <c r="AB269" s="220"/>
      <c r="AC269" s="220"/>
      <c r="AD269" s="220"/>
      <c r="AE269" s="220"/>
      <c r="AF269" s="220"/>
      <c r="AG269" s="220"/>
      <c r="AH269" s="220"/>
      <c r="AI269" s="220"/>
      <c r="AJ269" s="50"/>
      <c r="AK269" s="257"/>
      <c r="AL269" s="257"/>
      <c r="AM269" s="52"/>
      <c r="AN269" s="88"/>
    </row>
    <row r="270" spans="1:40" s="29" customFormat="1" ht="17.25" customHeight="1">
      <c r="A270" s="48"/>
      <c r="B270" s="49"/>
      <c r="C270" s="220"/>
      <c r="D270" s="220"/>
      <c r="E270" s="220"/>
      <c r="F270" s="220"/>
      <c r="G270" s="220"/>
      <c r="H270" s="220"/>
      <c r="I270" s="220"/>
      <c r="J270" s="220"/>
      <c r="K270" s="220"/>
      <c r="L270" s="220"/>
      <c r="M270" s="220"/>
      <c r="N270" s="220"/>
      <c r="O270" s="220"/>
      <c r="P270" s="220"/>
      <c r="Q270" s="220"/>
      <c r="R270" s="220"/>
      <c r="S270" s="220"/>
      <c r="T270" s="220"/>
      <c r="U270" s="220"/>
      <c r="V270" s="220"/>
      <c r="W270" s="220"/>
      <c r="X270" s="220"/>
      <c r="Y270" s="220"/>
      <c r="Z270" s="220"/>
      <c r="AA270" s="220"/>
      <c r="AB270" s="220"/>
      <c r="AC270" s="220"/>
      <c r="AD270" s="220"/>
      <c r="AE270" s="220"/>
      <c r="AF270" s="220"/>
      <c r="AG270" s="220"/>
      <c r="AH270" s="220"/>
      <c r="AI270" s="220"/>
      <c r="AJ270" s="50"/>
      <c r="AK270" s="257"/>
      <c r="AL270" s="257"/>
      <c r="AM270" s="52"/>
      <c r="AN270" s="88"/>
    </row>
    <row r="271" spans="1:40" s="29" customFormat="1" ht="17.25" customHeight="1">
      <c r="A271" s="48"/>
      <c r="B271" s="49"/>
      <c r="C271" s="220"/>
      <c r="D271" s="220"/>
      <c r="E271" s="220"/>
      <c r="F271" s="220"/>
      <c r="G271" s="220"/>
      <c r="H271" s="220"/>
      <c r="I271" s="220"/>
      <c r="J271" s="220"/>
      <c r="K271" s="220"/>
      <c r="L271" s="220"/>
      <c r="M271" s="220"/>
      <c r="N271" s="220"/>
      <c r="O271" s="220"/>
      <c r="P271" s="220"/>
      <c r="Q271" s="220"/>
      <c r="R271" s="220"/>
      <c r="S271" s="220"/>
      <c r="T271" s="220"/>
      <c r="U271" s="220"/>
      <c r="V271" s="220"/>
      <c r="W271" s="220"/>
      <c r="X271" s="220"/>
      <c r="Y271" s="220"/>
      <c r="Z271" s="220"/>
      <c r="AA271" s="220"/>
      <c r="AB271" s="220"/>
      <c r="AC271" s="220"/>
      <c r="AD271" s="220"/>
      <c r="AE271" s="220"/>
      <c r="AF271" s="220"/>
      <c r="AG271" s="220"/>
      <c r="AH271" s="220"/>
      <c r="AI271" s="220"/>
      <c r="AJ271" s="50"/>
      <c r="AK271" s="257"/>
      <c r="AL271" s="257"/>
      <c r="AM271" s="52"/>
      <c r="AN271" s="88"/>
    </row>
    <row r="272" spans="1:40" s="29" customFormat="1" ht="17.25" customHeight="1">
      <c r="A272" s="48"/>
      <c r="B272" s="49"/>
      <c r="C272" s="220"/>
      <c r="D272" s="220"/>
      <c r="E272" s="220"/>
      <c r="F272" s="220"/>
      <c r="G272" s="220"/>
      <c r="H272" s="220"/>
      <c r="I272" s="220"/>
      <c r="J272" s="220"/>
      <c r="K272" s="220"/>
      <c r="L272" s="220"/>
      <c r="M272" s="220"/>
      <c r="N272" s="220"/>
      <c r="O272" s="220"/>
      <c r="P272" s="220"/>
      <c r="Q272" s="220"/>
      <c r="R272" s="220"/>
      <c r="S272" s="220"/>
      <c r="T272" s="220"/>
      <c r="U272" s="220"/>
      <c r="V272" s="220"/>
      <c r="W272" s="220"/>
      <c r="X272" s="220"/>
      <c r="Y272" s="220"/>
      <c r="Z272" s="220"/>
      <c r="AA272" s="220"/>
      <c r="AB272" s="220"/>
      <c r="AC272" s="220"/>
      <c r="AD272" s="220"/>
      <c r="AE272" s="220"/>
      <c r="AF272" s="220"/>
      <c r="AG272" s="220"/>
      <c r="AH272" s="220"/>
      <c r="AI272" s="220"/>
      <c r="AJ272" s="50"/>
      <c r="AK272" s="257"/>
      <c r="AL272" s="257"/>
      <c r="AM272" s="52"/>
      <c r="AN272" s="88"/>
    </row>
    <row r="273" spans="1:40" s="29" customFormat="1" ht="17.25" customHeight="1">
      <c r="A273" s="48"/>
      <c r="B273" s="49"/>
      <c r="C273" s="220"/>
      <c r="D273" s="220"/>
      <c r="E273" s="220"/>
      <c r="F273" s="220"/>
      <c r="G273" s="220"/>
      <c r="H273" s="220"/>
      <c r="I273" s="220"/>
      <c r="J273" s="220"/>
      <c r="K273" s="220"/>
      <c r="L273" s="220"/>
      <c r="M273" s="220"/>
      <c r="N273" s="220"/>
      <c r="O273" s="220"/>
      <c r="P273" s="220"/>
      <c r="Q273" s="220"/>
      <c r="R273" s="220"/>
      <c r="S273" s="220"/>
      <c r="T273" s="220"/>
      <c r="U273" s="220"/>
      <c r="V273" s="220"/>
      <c r="W273" s="220"/>
      <c r="X273" s="220"/>
      <c r="Y273" s="220"/>
      <c r="Z273" s="220"/>
      <c r="AA273" s="220"/>
      <c r="AB273" s="220"/>
      <c r="AC273" s="220"/>
      <c r="AD273" s="220"/>
      <c r="AE273" s="220"/>
      <c r="AF273" s="220"/>
      <c r="AG273" s="220"/>
      <c r="AH273" s="220"/>
      <c r="AI273" s="220"/>
      <c r="AJ273" s="50"/>
      <c r="AK273" s="257"/>
      <c r="AL273" s="257"/>
      <c r="AM273" s="52"/>
      <c r="AN273" s="88"/>
    </row>
    <row r="274" spans="1:40" s="29" customFormat="1" ht="17.25" customHeight="1">
      <c r="A274" s="48"/>
      <c r="B274" s="49"/>
      <c r="C274" s="220"/>
      <c r="D274" s="220"/>
      <c r="E274" s="220"/>
      <c r="F274" s="220"/>
      <c r="G274" s="220"/>
      <c r="H274" s="220"/>
      <c r="I274" s="220"/>
      <c r="J274" s="220"/>
      <c r="K274" s="220"/>
      <c r="L274" s="220"/>
      <c r="M274" s="220"/>
      <c r="N274" s="220"/>
      <c r="O274" s="220"/>
      <c r="P274" s="220"/>
      <c r="Q274" s="220"/>
      <c r="R274" s="220"/>
      <c r="S274" s="220"/>
      <c r="T274" s="220"/>
      <c r="U274" s="220"/>
      <c r="V274" s="220"/>
      <c r="W274" s="220"/>
      <c r="X274" s="220"/>
      <c r="Y274" s="220"/>
      <c r="Z274" s="220"/>
      <c r="AA274" s="220"/>
      <c r="AB274" s="220"/>
      <c r="AC274" s="220"/>
      <c r="AD274" s="220"/>
      <c r="AE274" s="220"/>
      <c r="AF274" s="220"/>
      <c r="AG274" s="220"/>
      <c r="AH274" s="220"/>
      <c r="AI274" s="220"/>
      <c r="AJ274" s="50"/>
      <c r="AK274" s="257"/>
      <c r="AL274" s="257"/>
      <c r="AM274" s="52"/>
      <c r="AN274" s="88"/>
    </row>
    <row r="275" spans="1:40" s="29" customFormat="1" ht="17.25" customHeight="1">
      <c r="A275" s="48"/>
      <c r="B275" s="49"/>
      <c r="C275" s="220"/>
      <c r="D275" s="220"/>
      <c r="E275" s="220"/>
      <c r="F275" s="220"/>
      <c r="G275" s="220"/>
      <c r="H275" s="220"/>
      <c r="I275" s="220"/>
      <c r="J275" s="220"/>
      <c r="K275" s="220"/>
      <c r="L275" s="220"/>
      <c r="M275" s="220"/>
      <c r="N275" s="220"/>
      <c r="O275" s="220"/>
      <c r="P275" s="220"/>
      <c r="Q275" s="220"/>
      <c r="R275" s="220"/>
      <c r="S275" s="220"/>
      <c r="T275" s="220"/>
      <c r="U275" s="220"/>
      <c r="V275" s="220"/>
      <c r="W275" s="220"/>
      <c r="X275" s="220"/>
      <c r="Y275" s="220"/>
      <c r="Z275" s="220"/>
      <c r="AA275" s="220"/>
      <c r="AB275" s="220"/>
      <c r="AC275" s="220"/>
      <c r="AD275" s="220"/>
      <c r="AE275" s="220"/>
      <c r="AF275" s="220"/>
      <c r="AG275" s="220"/>
      <c r="AH275" s="220"/>
      <c r="AI275" s="220"/>
      <c r="AJ275" s="50"/>
      <c r="AK275" s="257"/>
      <c r="AL275" s="257"/>
      <c r="AM275" s="52"/>
      <c r="AN275" s="88"/>
    </row>
    <row r="276" spans="1:40" s="29" customFormat="1" ht="17.25" customHeight="1">
      <c r="A276" s="48"/>
      <c r="B276" s="49"/>
      <c r="C276" s="220"/>
      <c r="D276" s="220"/>
      <c r="E276" s="220"/>
      <c r="F276" s="220"/>
      <c r="G276" s="220"/>
      <c r="H276" s="220"/>
      <c r="I276" s="220"/>
      <c r="J276" s="220"/>
      <c r="K276" s="220"/>
      <c r="L276" s="220"/>
      <c r="M276" s="220"/>
      <c r="N276" s="220"/>
      <c r="O276" s="220"/>
      <c r="P276" s="220"/>
      <c r="Q276" s="220"/>
      <c r="R276" s="220"/>
      <c r="S276" s="220"/>
      <c r="T276" s="220"/>
      <c r="U276" s="220"/>
      <c r="V276" s="220"/>
      <c r="W276" s="220"/>
      <c r="X276" s="220"/>
      <c r="Y276" s="220"/>
      <c r="Z276" s="220"/>
      <c r="AA276" s="220"/>
      <c r="AB276" s="220"/>
      <c r="AC276" s="220"/>
      <c r="AD276" s="220"/>
      <c r="AE276" s="220"/>
      <c r="AF276" s="220"/>
      <c r="AG276" s="220"/>
      <c r="AH276" s="220"/>
      <c r="AI276" s="220"/>
      <c r="AJ276" s="50"/>
      <c r="AK276" s="257"/>
      <c r="AL276" s="257"/>
      <c r="AM276" s="52"/>
      <c r="AN276" s="88"/>
    </row>
    <row r="277" spans="1:40" s="29" customFormat="1" ht="17.25" customHeight="1">
      <c r="A277" s="48"/>
      <c r="B277" s="49"/>
      <c r="C277" s="220"/>
      <c r="D277" s="220"/>
      <c r="E277" s="220"/>
      <c r="F277" s="220"/>
      <c r="G277" s="220"/>
      <c r="H277" s="220"/>
      <c r="I277" s="220"/>
      <c r="J277" s="220"/>
      <c r="K277" s="220"/>
      <c r="L277" s="220"/>
      <c r="M277" s="220"/>
      <c r="N277" s="220"/>
      <c r="O277" s="220"/>
      <c r="P277" s="220"/>
      <c r="Q277" s="220"/>
      <c r="R277" s="220"/>
      <c r="S277" s="220"/>
      <c r="T277" s="220"/>
      <c r="U277" s="220"/>
      <c r="V277" s="220"/>
      <c r="W277" s="220"/>
      <c r="X277" s="220"/>
      <c r="Y277" s="220"/>
      <c r="Z277" s="220"/>
      <c r="AA277" s="220"/>
      <c r="AB277" s="220"/>
      <c r="AC277" s="220"/>
      <c r="AD277" s="220"/>
      <c r="AE277" s="220"/>
      <c r="AF277" s="220"/>
      <c r="AG277" s="220"/>
      <c r="AH277" s="220"/>
      <c r="AI277" s="220"/>
      <c r="AJ277" s="50"/>
      <c r="AK277" s="257"/>
      <c r="AL277" s="257"/>
      <c r="AM277" s="52"/>
      <c r="AN277" s="88"/>
    </row>
    <row r="278" spans="1:40" s="29" customFormat="1" ht="17.25" customHeight="1">
      <c r="A278" s="48"/>
      <c r="B278" s="49"/>
      <c r="C278" s="220"/>
      <c r="D278" s="220"/>
      <c r="E278" s="220"/>
      <c r="F278" s="220"/>
      <c r="G278" s="220"/>
      <c r="H278" s="220"/>
      <c r="I278" s="220"/>
      <c r="J278" s="220"/>
      <c r="K278" s="220"/>
      <c r="L278" s="220"/>
      <c r="M278" s="220"/>
      <c r="N278" s="220"/>
      <c r="O278" s="220"/>
      <c r="P278" s="220"/>
      <c r="Q278" s="220"/>
      <c r="R278" s="220"/>
      <c r="S278" s="220"/>
      <c r="T278" s="220"/>
      <c r="U278" s="220"/>
      <c r="V278" s="220"/>
      <c r="W278" s="220"/>
      <c r="X278" s="220"/>
      <c r="Y278" s="220"/>
      <c r="Z278" s="220"/>
      <c r="AA278" s="220"/>
      <c r="AB278" s="220"/>
      <c r="AC278" s="220"/>
      <c r="AD278" s="220"/>
      <c r="AE278" s="220"/>
      <c r="AF278" s="220"/>
      <c r="AG278" s="220"/>
      <c r="AH278" s="220"/>
      <c r="AI278" s="220"/>
      <c r="AJ278" s="50"/>
      <c r="AK278" s="257"/>
      <c r="AL278" s="257"/>
      <c r="AM278" s="52"/>
      <c r="AN278" s="88"/>
    </row>
    <row r="279" spans="1:40" s="29" customFormat="1" ht="17.25" customHeight="1">
      <c r="A279" s="48"/>
      <c r="B279" s="49"/>
      <c r="C279" s="220"/>
      <c r="D279" s="220"/>
      <c r="E279" s="220"/>
      <c r="F279" s="220"/>
      <c r="G279" s="220"/>
      <c r="H279" s="220"/>
      <c r="I279" s="220"/>
      <c r="J279" s="220"/>
      <c r="K279" s="220"/>
      <c r="L279" s="220"/>
      <c r="M279" s="220"/>
      <c r="N279" s="220"/>
      <c r="O279" s="220"/>
      <c r="P279" s="220"/>
      <c r="Q279" s="220"/>
      <c r="R279" s="220"/>
      <c r="S279" s="220"/>
      <c r="T279" s="220"/>
      <c r="U279" s="220"/>
      <c r="V279" s="220"/>
      <c r="W279" s="220"/>
      <c r="X279" s="220"/>
      <c r="Y279" s="220"/>
      <c r="Z279" s="220"/>
      <c r="AA279" s="220"/>
      <c r="AB279" s="220"/>
      <c r="AC279" s="220"/>
      <c r="AD279" s="220"/>
      <c r="AE279" s="220"/>
      <c r="AF279" s="220"/>
      <c r="AG279" s="220"/>
      <c r="AH279" s="220"/>
      <c r="AI279" s="220"/>
      <c r="AJ279" s="50"/>
      <c r="AK279" s="257"/>
      <c r="AL279" s="257"/>
      <c r="AM279" s="52"/>
      <c r="AN279" s="88"/>
    </row>
    <row r="280" spans="1:40" s="29" customFormat="1" ht="17.25" customHeight="1">
      <c r="A280" s="48"/>
      <c r="B280" s="49"/>
      <c r="C280" s="220"/>
      <c r="D280" s="220"/>
      <c r="E280" s="220"/>
      <c r="F280" s="220"/>
      <c r="G280" s="220"/>
      <c r="H280" s="220"/>
      <c r="I280" s="220"/>
      <c r="J280" s="220"/>
      <c r="K280" s="220"/>
      <c r="L280" s="220"/>
      <c r="M280" s="220"/>
      <c r="N280" s="220"/>
      <c r="O280" s="220"/>
      <c r="P280" s="220"/>
      <c r="Q280" s="220"/>
      <c r="R280" s="220"/>
      <c r="S280" s="220"/>
      <c r="T280" s="220"/>
      <c r="U280" s="220"/>
      <c r="V280" s="220"/>
      <c r="W280" s="220"/>
      <c r="X280" s="220"/>
      <c r="Y280" s="220"/>
      <c r="Z280" s="220"/>
      <c r="AA280" s="220"/>
      <c r="AB280" s="220"/>
      <c r="AC280" s="220"/>
      <c r="AD280" s="220"/>
      <c r="AE280" s="220"/>
      <c r="AF280" s="220"/>
      <c r="AG280" s="220"/>
      <c r="AH280" s="220"/>
      <c r="AI280" s="220"/>
      <c r="AJ280" s="50"/>
      <c r="AK280" s="257"/>
      <c r="AL280" s="257"/>
      <c r="AM280" s="52"/>
      <c r="AN280" s="88"/>
    </row>
    <row r="281" spans="1:40" s="29" customFormat="1" ht="17.25" customHeight="1">
      <c r="A281" s="48"/>
      <c r="B281" s="49"/>
      <c r="C281" s="220"/>
      <c r="D281" s="220"/>
      <c r="E281" s="220"/>
      <c r="F281" s="220"/>
      <c r="G281" s="220"/>
      <c r="H281" s="220"/>
      <c r="I281" s="220"/>
      <c r="J281" s="220"/>
      <c r="K281" s="220"/>
      <c r="L281" s="220"/>
      <c r="M281" s="220"/>
      <c r="N281" s="220"/>
      <c r="O281" s="220"/>
      <c r="P281" s="220"/>
      <c r="Q281" s="220"/>
      <c r="R281" s="220"/>
      <c r="S281" s="220"/>
      <c r="T281" s="220"/>
      <c r="U281" s="220"/>
      <c r="V281" s="220"/>
      <c r="W281" s="220"/>
      <c r="X281" s="220"/>
      <c r="Y281" s="220"/>
      <c r="Z281" s="220"/>
      <c r="AA281" s="220"/>
      <c r="AB281" s="220"/>
      <c r="AC281" s="220"/>
      <c r="AD281" s="220"/>
      <c r="AE281" s="220"/>
      <c r="AF281" s="220"/>
      <c r="AG281" s="220"/>
      <c r="AH281" s="220"/>
      <c r="AI281" s="220"/>
      <c r="AJ281" s="50"/>
      <c r="AK281" s="257"/>
      <c r="AL281" s="257"/>
      <c r="AM281" s="52"/>
      <c r="AN281" s="88"/>
    </row>
    <row r="282" spans="1:40" s="29" customFormat="1" ht="17.25" customHeight="1">
      <c r="A282" s="48"/>
      <c r="B282" s="49"/>
      <c r="C282" s="220"/>
      <c r="D282" s="220"/>
      <c r="E282" s="220"/>
      <c r="F282" s="220"/>
      <c r="G282" s="220"/>
      <c r="H282" s="220"/>
      <c r="I282" s="220"/>
      <c r="J282" s="220"/>
      <c r="K282" s="220"/>
      <c r="L282" s="220"/>
      <c r="M282" s="220"/>
      <c r="N282" s="220"/>
      <c r="O282" s="220"/>
      <c r="P282" s="220"/>
      <c r="Q282" s="220"/>
      <c r="R282" s="220"/>
      <c r="S282" s="220"/>
      <c r="T282" s="220"/>
      <c r="U282" s="220"/>
      <c r="V282" s="220"/>
      <c r="W282" s="220"/>
      <c r="X282" s="220"/>
      <c r="Y282" s="220"/>
      <c r="Z282" s="220"/>
      <c r="AA282" s="220"/>
      <c r="AB282" s="220"/>
      <c r="AC282" s="220"/>
      <c r="AD282" s="220"/>
      <c r="AE282" s="220"/>
      <c r="AF282" s="220"/>
      <c r="AG282" s="220"/>
      <c r="AH282" s="220"/>
      <c r="AI282" s="220"/>
      <c r="AJ282" s="50"/>
      <c r="AK282" s="257"/>
      <c r="AL282" s="257"/>
      <c r="AM282" s="52"/>
      <c r="AN282" s="88"/>
    </row>
    <row r="283" spans="1:40" s="29" customFormat="1" ht="17.25" customHeight="1">
      <c r="A283" s="48"/>
      <c r="B283" s="49"/>
      <c r="C283" s="220"/>
      <c r="D283" s="220"/>
      <c r="E283" s="220"/>
      <c r="F283" s="220"/>
      <c r="G283" s="220"/>
      <c r="H283" s="220"/>
      <c r="I283" s="220"/>
      <c r="J283" s="220"/>
      <c r="K283" s="220"/>
      <c r="L283" s="220"/>
      <c r="M283" s="220"/>
      <c r="N283" s="220"/>
      <c r="O283" s="220"/>
      <c r="P283" s="220"/>
      <c r="Q283" s="220"/>
      <c r="R283" s="220"/>
      <c r="S283" s="220"/>
      <c r="T283" s="220"/>
      <c r="U283" s="220"/>
      <c r="V283" s="220"/>
      <c r="W283" s="220"/>
      <c r="X283" s="220"/>
      <c r="Y283" s="220"/>
      <c r="Z283" s="220"/>
      <c r="AA283" s="220"/>
      <c r="AB283" s="220"/>
      <c r="AC283" s="220"/>
      <c r="AD283" s="220"/>
      <c r="AE283" s="220"/>
      <c r="AF283" s="220"/>
      <c r="AG283" s="220"/>
      <c r="AH283" s="220"/>
      <c r="AI283" s="220"/>
      <c r="AJ283" s="50"/>
      <c r="AK283" s="257"/>
      <c r="AL283" s="257"/>
      <c r="AM283" s="52"/>
      <c r="AN283" s="88"/>
    </row>
    <row r="284" spans="1:40" s="29" customFormat="1" ht="17.25" customHeight="1">
      <c r="A284" s="48"/>
      <c r="B284" s="49"/>
      <c r="C284" s="220"/>
      <c r="D284" s="220"/>
      <c r="E284" s="220"/>
      <c r="F284" s="220"/>
      <c r="G284" s="220"/>
      <c r="H284" s="220"/>
      <c r="I284" s="220"/>
      <c r="J284" s="220"/>
      <c r="K284" s="220"/>
      <c r="L284" s="220"/>
      <c r="M284" s="220"/>
      <c r="N284" s="220"/>
      <c r="O284" s="220"/>
      <c r="P284" s="220"/>
      <c r="Q284" s="220"/>
      <c r="R284" s="220"/>
      <c r="S284" s="220"/>
      <c r="T284" s="220"/>
      <c r="U284" s="220"/>
      <c r="V284" s="220"/>
      <c r="W284" s="220"/>
      <c r="X284" s="220"/>
      <c r="Y284" s="220"/>
      <c r="Z284" s="220"/>
      <c r="AA284" s="220"/>
      <c r="AB284" s="220"/>
      <c r="AC284" s="220"/>
      <c r="AD284" s="220"/>
      <c r="AE284" s="220"/>
      <c r="AF284" s="220"/>
      <c r="AG284" s="220"/>
      <c r="AH284" s="220"/>
      <c r="AI284" s="220"/>
      <c r="AJ284" s="50"/>
      <c r="AK284" s="257"/>
      <c r="AL284" s="257"/>
      <c r="AM284" s="52"/>
      <c r="AN284" s="88"/>
    </row>
    <row r="285" spans="1:40" s="29" customFormat="1" ht="17.25" customHeight="1">
      <c r="A285" s="48"/>
      <c r="B285" s="49"/>
      <c r="C285" s="220"/>
      <c r="D285" s="220"/>
      <c r="E285" s="220"/>
      <c r="F285" s="220"/>
      <c r="G285" s="220"/>
      <c r="H285" s="220"/>
      <c r="I285" s="220"/>
      <c r="J285" s="220"/>
      <c r="K285" s="220"/>
      <c r="L285" s="220"/>
      <c r="M285" s="220"/>
      <c r="N285" s="220"/>
      <c r="O285" s="220"/>
      <c r="P285" s="220"/>
      <c r="Q285" s="220"/>
      <c r="R285" s="220"/>
      <c r="S285" s="220"/>
      <c r="T285" s="220"/>
      <c r="U285" s="220"/>
      <c r="V285" s="220"/>
      <c r="W285" s="220"/>
      <c r="X285" s="220"/>
      <c r="Y285" s="220"/>
      <c r="Z285" s="220"/>
      <c r="AA285" s="220"/>
      <c r="AB285" s="220"/>
      <c r="AC285" s="220"/>
      <c r="AD285" s="220"/>
      <c r="AE285" s="220"/>
      <c r="AF285" s="220"/>
      <c r="AG285" s="220"/>
      <c r="AH285" s="220"/>
      <c r="AI285" s="220"/>
      <c r="AJ285" s="50"/>
      <c r="AK285" s="257"/>
      <c r="AL285" s="257"/>
      <c r="AM285" s="52"/>
      <c r="AN285" s="88"/>
    </row>
    <row r="286" spans="1:40" s="29" customFormat="1" ht="17.25" customHeight="1">
      <c r="A286" s="48"/>
      <c r="B286" s="49"/>
      <c r="C286" s="220"/>
      <c r="D286" s="220"/>
      <c r="E286" s="220"/>
      <c r="F286" s="220"/>
      <c r="G286" s="220"/>
      <c r="H286" s="220"/>
      <c r="I286" s="220"/>
      <c r="J286" s="220"/>
      <c r="K286" s="220"/>
      <c r="L286" s="220"/>
      <c r="M286" s="220"/>
      <c r="N286" s="220"/>
      <c r="O286" s="220"/>
      <c r="P286" s="220"/>
      <c r="Q286" s="220"/>
      <c r="R286" s="220"/>
      <c r="S286" s="220"/>
      <c r="T286" s="220"/>
      <c r="U286" s="220"/>
      <c r="V286" s="220"/>
      <c r="W286" s="220"/>
      <c r="X286" s="220"/>
      <c r="Y286" s="220"/>
      <c r="Z286" s="220"/>
      <c r="AA286" s="220"/>
      <c r="AB286" s="220"/>
      <c r="AC286" s="220"/>
      <c r="AD286" s="220"/>
      <c r="AE286" s="220"/>
      <c r="AF286" s="220"/>
      <c r="AG286" s="220"/>
      <c r="AH286" s="220"/>
      <c r="AI286" s="220"/>
      <c r="AJ286" s="50"/>
      <c r="AK286" s="257"/>
      <c r="AL286" s="257"/>
      <c r="AM286" s="52"/>
      <c r="AN286" s="88"/>
    </row>
    <row r="287" spans="1:40" s="29" customFormat="1" ht="17.25" customHeight="1">
      <c r="A287" s="48"/>
      <c r="B287" s="49"/>
      <c r="C287" s="220"/>
      <c r="D287" s="220"/>
      <c r="E287" s="220"/>
      <c r="F287" s="220"/>
      <c r="G287" s="220"/>
      <c r="H287" s="220"/>
      <c r="I287" s="220"/>
      <c r="J287" s="220"/>
      <c r="K287" s="220"/>
      <c r="L287" s="220"/>
      <c r="M287" s="220"/>
      <c r="N287" s="220"/>
      <c r="O287" s="220"/>
      <c r="P287" s="220"/>
      <c r="Q287" s="220"/>
      <c r="R287" s="220"/>
      <c r="S287" s="220"/>
      <c r="T287" s="220"/>
      <c r="U287" s="220"/>
      <c r="V287" s="220"/>
      <c r="W287" s="220"/>
      <c r="X287" s="220"/>
      <c r="Y287" s="220"/>
      <c r="Z287" s="220"/>
      <c r="AA287" s="220"/>
      <c r="AB287" s="220"/>
      <c r="AC287" s="220"/>
      <c r="AD287" s="220"/>
      <c r="AE287" s="220"/>
      <c r="AF287" s="220"/>
      <c r="AG287" s="220"/>
      <c r="AH287" s="220"/>
      <c r="AI287" s="220"/>
      <c r="AJ287" s="50"/>
      <c r="AK287" s="257"/>
      <c r="AL287" s="257"/>
      <c r="AM287" s="52"/>
      <c r="AN287" s="88"/>
    </row>
    <row r="288" spans="1:40" s="29" customFormat="1" ht="17.25" customHeight="1">
      <c r="A288" s="48"/>
      <c r="B288" s="49"/>
      <c r="C288" s="220"/>
      <c r="D288" s="220"/>
      <c r="E288" s="220"/>
      <c r="F288" s="220"/>
      <c r="G288" s="220"/>
      <c r="H288" s="220"/>
      <c r="I288" s="220"/>
      <c r="J288" s="220"/>
      <c r="K288" s="220"/>
      <c r="L288" s="220"/>
      <c r="M288" s="220"/>
      <c r="N288" s="220"/>
      <c r="O288" s="220"/>
      <c r="P288" s="220"/>
      <c r="Q288" s="220"/>
      <c r="R288" s="220"/>
      <c r="S288" s="220"/>
      <c r="T288" s="220"/>
      <c r="U288" s="220"/>
      <c r="V288" s="220"/>
      <c r="W288" s="220"/>
      <c r="X288" s="220"/>
      <c r="Y288" s="220"/>
      <c r="Z288" s="220"/>
      <c r="AA288" s="220"/>
      <c r="AB288" s="220"/>
      <c r="AC288" s="220"/>
      <c r="AD288" s="220"/>
      <c r="AE288" s="220"/>
      <c r="AF288" s="220"/>
      <c r="AG288" s="220"/>
      <c r="AH288" s="220"/>
      <c r="AI288" s="220"/>
      <c r="AJ288" s="50"/>
      <c r="AK288" s="257"/>
      <c r="AL288" s="257"/>
      <c r="AM288" s="52"/>
      <c r="AN288" s="88"/>
    </row>
    <row r="289" spans="1:40" s="29" customFormat="1" ht="17.25" customHeight="1">
      <c r="A289" s="48"/>
      <c r="B289" s="49"/>
      <c r="C289" s="220"/>
      <c r="D289" s="220"/>
      <c r="E289" s="220"/>
      <c r="F289" s="220"/>
      <c r="G289" s="220"/>
      <c r="H289" s="220"/>
      <c r="I289" s="220"/>
      <c r="J289" s="220"/>
      <c r="K289" s="220"/>
      <c r="L289" s="220"/>
      <c r="M289" s="220"/>
      <c r="N289" s="220"/>
      <c r="O289" s="220"/>
      <c r="P289" s="220"/>
      <c r="Q289" s="220"/>
      <c r="R289" s="220"/>
      <c r="S289" s="220"/>
      <c r="T289" s="220"/>
      <c r="U289" s="220"/>
      <c r="V289" s="220"/>
      <c r="W289" s="220"/>
      <c r="X289" s="220"/>
      <c r="Y289" s="220"/>
      <c r="Z289" s="220"/>
      <c r="AA289" s="220"/>
      <c r="AB289" s="220"/>
      <c r="AC289" s="220"/>
      <c r="AD289" s="220"/>
      <c r="AE289" s="220"/>
      <c r="AF289" s="220"/>
      <c r="AG289" s="220"/>
      <c r="AH289" s="220"/>
      <c r="AI289" s="220"/>
      <c r="AJ289" s="50"/>
      <c r="AK289" s="257"/>
      <c r="AL289" s="257"/>
      <c r="AM289" s="52"/>
      <c r="AN289" s="88"/>
    </row>
    <row r="290" spans="1:40" s="29" customFormat="1" ht="17.25" customHeight="1">
      <c r="A290" s="48"/>
      <c r="B290" s="49"/>
      <c r="C290" s="220"/>
      <c r="D290" s="220"/>
      <c r="E290" s="220"/>
      <c r="F290" s="220"/>
      <c r="G290" s="220"/>
      <c r="H290" s="220"/>
      <c r="I290" s="220"/>
      <c r="J290" s="220"/>
      <c r="K290" s="220"/>
      <c r="L290" s="220"/>
      <c r="M290" s="220"/>
      <c r="N290" s="220"/>
      <c r="O290" s="220"/>
      <c r="P290" s="220"/>
      <c r="Q290" s="220"/>
      <c r="R290" s="220"/>
      <c r="S290" s="220"/>
      <c r="T290" s="220"/>
      <c r="U290" s="220"/>
      <c r="V290" s="220"/>
      <c r="W290" s="220"/>
      <c r="X290" s="220"/>
      <c r="Y290" s="220"/>
      <c r="Z290" s="220"/>
      <c r="AA290" s="220"/>
      <c r="AB290" s="220"/>
      <c r="AC290" s="220"/>
      <c r="AD290" s="220"/>
      <c r="AE290" s="220"/>
      <c r="AF290" s="220"/>
      <c r="AG290" s="220"/>
      <c r="AH290" s="220"/>
      <c r="AI290" s="220"/>
      <c r="AJ290" s="50"/>
      <c r="AK290" s="257"/>
      <c r="AL290" s="257"/>
      <c r="AM290" s="52"/>
      <c r="AN290" s="88"/>
    </row>
    <row r="291" spans="1:40" s="29" customFormat="1" ht="17.25" customHeight="1">
      <c r="A291" s="48"/>
      <c r="B291" s="49"/>
      <c r="C291" s="220"/>
      <c r="D291" s="220"/>
      <c r="E291" s="220"/>
      <c r="F291" s="220"/>
      <c r="G291" s="220"/>
      <c r="H291" s="220"/>
      <c r="I291" s="220"/>
      <c r="J291" s="220"/>
      <c r="K291" s="220"/>
      <c r="L291" s="220"/>
      <c r="M291" s="220"/>
      <c r="N291" s="220"/>
      <c r="O291" s="220"/>
      <c r="P291" s="220"/>
      <c r="Q291" s="220"/>
      <c r="R291" s="220"/>
      <c r="S291" s="220"/>
      <c r="T291" s="220"/>
      <c r="U291" s="220"/>
      <c r="V291" s="220"/>
      <c r="W291" s="220"/>
      <c r="X291" s="220"/>
      <c r="Y291" s="220"/>
      <c r="Z291" s="220"/>
      <c r="AA291" s="220"/>
      <c r="AB291" s="220"/>
      <c r="AC291" s="220"/>
      <c r="AD291" s="220"/>
      <c r="AE291" s="220"/>
      <c r="AF291" s="220"/>
      <c r="AG291" s="220"/>
      <c r="AH291" s="220"/>
      <c r="AI291" s="220"/>
      <c r="AJ291" s="50"/>
      <c r="AK291" s="257"/>
      <c r="AL291" s="257"/>
      <c r="AM291" s="52"/>
      <c r="AN291" s="88"/>
    </row>
    <row r="292" spans="1:40" s="29" customFormat="1" ht="17.25" customHeight="1">
      <c r="A292" s="48"/>
      <c r="B292" s="49"/>
      <c r="C292" s="220"/>
      <c r="D292" s="220"/>
      <c r="E292" s="220"/>
      <c r="F292" s="220"/>
      <c r="G292" s="220"/>
      <c r="H292" s="220"/>
      <c r="I292" s="220"/>
      <c r="J292" s="220"/>
      <c r="K292" s="220"/>
      <c r="L292" s="220"/>
      <c r="M292" s="220"/>
      <c r="N292" s="220"/>
      <c r="O292" s="220"/>
      <c r="P292" s="220"/>
      <c r="Q292" s="220"/>
      <c r="R292" s="220"/>
      <c r="S292" s="220"/>
      <c r="T292" s="220"/>
      <c r="U292" s="220"/>
      <c r="V292" s="220"/>
      <c r="W292" s="220"/>
      <c r="X292" s="220"/>
      <c r="Y292" s="220"/>
      <c r="Z292" s="220"/>
      <c r="AA292" s="220"/>
      <c r="AB292" s="220"/>
      <c r="AC292" s="220"/>
      <c r="AD292" s="220"/>
      <c r="AE292" s="220"/>
      <c r="AF292" s="220"/>
      <c r="AG292" s="220"/>
      <c r="AH292" s="220"/>
      <c r="AI292" s="220"/>
      <c r="AJ292" s="50"/>
      <c r="AK292" s="257"/>
      <c r="AL292" s="257"/>
      <c r="AM292" s="52"/>
      <c r="AN292" s="88"/>
    </row>
    <row r="293" spans="1:40" s="29" customFormat="1" ht="17.25" customHeight="1">
      <c r="A293" s="48"/>
      <c r="B293" s="49"/>
      <c r="C293" s="220"/>
      <c r="D293" s="220"/>
      <c r="E293" s="220"/>
      <c r="F293" s="220"/>
      <c r="G293" s="220"/>
      <c r="H293" s="220"/>
      <c r="I293" s="220"/>
      <c r="J293" s="220"/>
      <c r="K293" s="220"/>
      <c r="L293" s="220"/>
      <c r="M293" s="220"/>
      <c r="N293" s="220"/>
      <c r="O293" s="220"/>
      <c r="P293" s="220"/>
      <c r="Q293" s="220"/>
      <c r="R293" s="220"/>
      <c r="S293" s="220"/>
      <c r="T293" s="220"/>
      <c r="U293" s="220"/>
      <c r="V293" s="220"/>
      <c r="W293" s="220"/>
      <c r="X293" s="220"/>
      <c r="Y293" s="220"/>
      <c r="Z293" s="220"/>
      <c r="AA293" s="220"/>
      <c r="AB293" s="220"/>
      <c r="AC293" s="220"/>
      <c r="AD293" s="220"/>
      <c r="AE293" s="220"/>
      <c r="AF293" s="220"/>
      <c r="AG293" s="220"/>
      <c r="AH293" s="220"/>
      <c r="AI293" s="220"/>
      <c r="AJ293" s="50"/>
      <c r="AK293" s="257"/>
      <c r="AL293" s="257"/>
      <c r="AM293" s="52"/>
      <c r="AN293" s="88"/>
    </row>
    <row r="294" spans="1:40" s="29" customFormat="1" ht="17.25" customHeight="1">
      <c r="A294" s="48"/>
      <c r="B294" s="49"/>
      <c r="C294" s="220"/>
      <c r="D294" s="220"/>
      <c r="E294" s="220"/>
      <c r="F294" s="220"/>
      <c r="G294" s="220"/>
      <c r="H294" s="220"/>
      <c r="I294" s="220"/>
      <c r="J294" s="220"/>
      <c r="K294" s="220"/>
      <c r="L294" s="220"/>
      <c r="M294" s="220"/>
      <c r="N294" s="220"/>
      <c r="O294" s="220"/>
      <c r="P294" s="220"/>
      <c r="Q294" s="220"/>
      <c r="R294" s="220"/>
      <c r="S294" s="220"/>
      <c r="T294" s="220"/>
      <c r="U294" s="220"/>
      <c r="V294" s="220"/>
      <c r="W294" s="220"/>
      <c r="X294" s="220"/>
      <c r="Y294" s="220"/>
      <c r="Z294" s="220"/>
      <c r="AA294" s="220"/>
      <c r="AB294" s="220"/>
      <c r="AC294" s="220"/>
      <c r="AD294" s="220"/>
      <c r="AE294" s="220"/>
      <c r="AF294" s="220"/>
      <c r="AG294" s="220"/>
      <c r="AH294" s="220"/>
      <c r="AI294" s="220"/>
      <c r="AJ294" s="50"/>
      <c r="AK294" s="257"/>
      <c r="AL294" s="257"/>
      <c r="AM294" s="52"/>
      <c r="AN294" s="88"/>
    </row>
    <row r="295" spans="1:40" s="29" customFormat="1" ht="17.25" customHeight="1">
      <c r="A295" s="48"/>
      <c r="B295" s="49"/>
      <c r="C295" s="220"/>
      <c r="D295" s="220"/>
      <c r="E295" s="220"/>
      <c r="F295" s="220"/>
      <c r="G295" s="220"/>
      <c r="H295" s="220"/>
      <c r="I295" s="220"/>
      <c r="J295" s="220"/>
      <c r="K295" s="220"/>
      <c r="L295" s="220"/>
      <c r="M295" s="220"/>
      <c r="N295" s="220"/>
      <c r="O295" s="220"/>
      <c r="P295" s="220"/>
      <c r="Q295" s="220"/>
      <c r="R295" s="220"/>
      <c r="S295" s="220"/>
      <c r="T295" s="220"/>
      <c r="U295" s="220"/>
      <c r="V295" s="220"/>
      <c r="W295" s="220"/>
      <c r="X295" s="220"/>
      <c r="Y295" s="220"/>
      <c r="Z295" s="220"/>
      <c r="AA295" s="220"/>
      <c r="AB295" s="220"/>
      <c r="AC295" s="220"/>
      <c r="AD295" s="220"/>
      <c r="AE295" s="220"/>
      <c r="AF295" s="220"/>
      <c r="AG295" s="220"/>
      <c r="AH295" s="220"/>
      <c r="AI295" s="220"/>
      <c r="AJ295" s="50"/>
      <c r="AK295" s="257"/>
      <c r="AL295" s="257"/>
      <c r="AM295" s="52"/>
      <c r="AN295" s="88"/>
    </row>
    <row r="296" spans="1:40" s="29" customFormat="1" ht="17.25" customHeight="1">
      <c r="A296" s="48"/>
      <c r="B296" s="49"/>
      <c r="C296" s="220"/>
      <c r="D296" s="220"/>
      <c r="E296" s="220"/>
      <c r="F296" s="220"/>
      <c r="G296" s="220"/>
      <c r="H296" s="220"/>
      <c r="I296" s="220"/>
      <c r="J296" s="220"/>
      <c r="K296" s="220"/>
      <c r="L296" s="220"/>
      <c r="M296" s="220"/>
      <c r="N296" s="220"/>
      <c r="O296" s="220"/>
      <c r="P296" s="220"/>
      <c r="Q296" s="220"/>
      <c r="R296" s="220"/>
      <c r="S296" s="220"/>
      <c r="T296" s="220"/>
      <c r="U296" s="220"/>
      <c r="V296" s="220"/>
      <c r="W296" s="220"/>
      <c r="X296" s="220"/>
      <c r="Y296" s="220"/>
      <c r="Z296" s="220"/>
      <c r="AA296" s="220"/>
      <c r="AB296" s="220"/>
      <c r="AC296" s="220"/>
      <c r="AD296" s="220"/>
      <c r="AE296" s="220"/>
      <c r="AF296" s="220"/>
      <c r="AG296" s="220"/>
      <c r="AH296" s="220"/>
      <c r="AI296" s="220"/>
      <c r="AJ296" s="50"/>
      <c r="AK296" s="257"/>
      <c r="AL296" s="257"/>
      <c r="AM296" s="52"/>
      <c r="AN296" s="88"/>
    </row>
    <row r="297" spans="1:40" s="29" customFormat="1" ht="17.25" customHeight="1">
      <c r="A297" s="48"/>
      <c r="B297" s="49"/>
      <c r="C297" s="220"/>
      <c r="D297" s="220"/>
      <c r="E297" s="220"/>
      <c r="F297" s="220"/>
      <c r="G297" s="220"/>
      <c r="H297" s="220"/>
      <c r="I297" s="220"/>
      <c r="J297" s="220"/>
      <c r="K297" s="220"/>
      <c r="L297" s="220"/>
      <c r="M297" s="220"/>
      <c r="N297" s="220"/>
      <c r="O297" s="220"/>
      <c r="P297" s="220"/>
      <c r="Q297" s="220"/>
      <c r="R297" s="220"/>
      <c r="S297" s="220"/>
      <c r="T297" s="220"/>
      <c r="U297" s="220"/>
      <c r="V297" s="220"/>
      <c r="W297" s="220"/>
      <c r="X297" s="220"/>
      <c r="Y297" s="220"/>
      <c r="Z297" s="220"/>
      <c r="AA297" s="220"/>
      <c r="AB297" s="220"/>
      <c r="AC297" s="220"/>
      <c r="AD297" s="220"/>
      <c r="AE297" s="220"/>
      <c r="AF297" s="220"/>
      <c r="AG297" s="220"/>
      <c r="AH297" s="220"/>
      <c r="AI297" s="220"/>
      <c r="AJ297" s="50"/>
      <c r="AK297" s="257"/>
      <c r="AL297" s="257"/>
      <c r="AM297" s="52"/>
      <c r="AN297" s="88"/>
    </row>
    <row r="298" spans="1:40" s="29" customFormat="1" ht="17.25" customHeight="1">
      <c r="A298" s="48"/>
      <c r="B298" s="49"/>
      <c r="C298" s="220"/>
      <c r="D298" s="220"/>
      <c r="E298" s="220"/>
      <c r="F298" s="220"/>
      <c r="G298" s="220"/>
      <c r="H298" s="220"/>
      <c r="I298" s="220"/>
      <c r="J298" s="220"/>
      <c r="K298" s="220"/>
      <c r="L298" s="220"/>
      <c r="M298" s="220"/>
      <c r="N298" s="220"/>
      <c r="O298" s="220"/>
      <c r="P298" s="220"/>
      <c r="Q298" s="220"/>
      <c r="R298" s="220"/>
      <c r="S298" s="220"/>
      <c r="T298" s="220"/>
      <c r="U298" s="220"/>
      <c r="V298" s="220"/>
      <c r="W298" s="220"/>
      <c r="X298" s="220"/>
      <c r="Y298" s="220"/>
      <c r="Z298" s="220"/>
      <c r="AA298" s="220"/>
      <c r="AB298" s="220"/>
      <c r="AC298" s="220"/>
      <c r="AD298" s="220"/>
      <c r="AE298" s="220"/>
      <c r="AF298" s="220"/>
      <c r="AG298" s="220"/>
      <c r="AH298" s="220"/>
      <c r="AI298" s="220"/>
      <c r="AJ298" s="50"/>
      <c r="AK298" s="257"/>
      <c r="AL298" s="257"/>
      <c r="AM298" s="52"/>
      <c r="AN298" s="88"/>
    </row>
    <row r="299" spans="1:40" s="29" customFormat="1" ht="17.25" customHeight="1">
      <c r="A299" s="48"/>
      <c r="B299" s="49"/>
      <c r="C299" s="220"/>
      <c r="D299" s="220"/>
      <c r="E299" s="220"/>
      <c r="F299" s="220"/>
      <c r="G299" s="220"/>
      <c r="H299" s="220"/>
      <c r="I299" s="220"/>
      <c r="J299" s="220"/>
      <c r="K299" s="220"/>
      <c r="L299" s="220"/>
      <c r="M299" s="220"/>
      <c r="N299" s="220"/>
      <c r="O299" s="220"/>
      <c r="P299" s="220"/>
      <c r="Q299" s="220"/>
      <c r="R299" s="220"/>
      <c r="S299" s="220"/>
      <c r="T299" s="220"/>
      <c r="U299" s="220"/>
      <c r="V299" s="220"/>
      <c r="W299" s="220"/>
      <c r="X299" s="220"/>
      <c r="Y299" s="220"/>
      <c r="Z299" s="220"/>
      <c r="AA299" s="220"/>
      <c r="AB299" s="220"/>
      <c r="AC299" s="220"/>
      <c r="AD299" s="220"/>
      <c r="AE299" s="220"/>
      <c r="AF299" s="220"/>
      <c r="AG299" s="220"/>
      <c r="AH299" s="220"/>
      <c r="AI299" s="220"/>
      <c r="AJ299" s="50"/>
      <c r="AK299" s="257"/>
      <c r="AL299" s="257"/>
      <c r="AM299" s="52"/>
      <c r="AN299" s="88"/>
    </row>
    <row r="300" spans="1:40" s="29" customFormat="1" ht="17.25" customHeight="1">
      <c r="A300" s="48"/>
      <c r="B300" s="49"/>
      <c r="C300" s="220"/>
      <c r="D300" s="220"/>
      <c r="E300" s="220"/>
      <c r="F300" s="220"/>
      <c r="G300" s="220"/>
      <c r="H300" s="220"/>
      <c r="I300" s="220"/>
      <c r="J300" s="220"/>
      <c r="K300" s="220"/>
      <c r="L300" s="220"/>
      <c r="M300" s="220"/>
      <c r="N300" s="220"/>
      <c r="O300" s="220"/>
      <c r="P300" s="220"/>
      <c r="Q300" s="220"/>
      <c r="R300" s="220"/>
      <c r="S300" s="220"/>
      <c r="T300" s="220"/>
      <c r="U300" s="220"/>
      <c r="V300" s="220"/>
      <c r="W300" s="220"/>
      <c r="X300" s="220"/>
      <c r="Y300" s="220"/>
      <c r="Z300" s="220"/>
      <c r="AA300" s="220"/>
      <c r="AB300" s="220"/>
      <c r="AC300" s="220"/>
      <c r="AD300" s="220"/>
      <c r="AE300" s="220"/>
      <c r="AF300" s="220"/>
      <c r="AG300" s="220"/>
      <c r="AH300" s="220"/>
      <c r="AI300" s="220"/>
      <c r="AJ300" s="50"/>
      <c r="AK300" s="257"/>
      <c r="AL300" s="257"/>
      <c r="AM300" s="52"/>
      <c r="AN300" s="88"/>
    </row>
    <row r="301" spans="1:40" s="29" customFormat="1" ht="17.25" customHeight="1">
      <c r="A301" s="48"/>
      <c r="B301" s="49"/>
      <c r="C301" s="220"/>
      <c r="D301" s="220"/>
      <c r="E301" s="220"/>
      <c r="F301" s="220"/>
      <c r="G301" s="220"/>
      <c r="H301" s="220"/>
      <c r="I301" s="220"/>
      <c r="J301" s="220"/>
      <c r="K301" s="220"/>
      <c r="L301" s="220"/>
      <c r="M301" s="220"/>
      <c r="N301" s="220"/>
      <c r="O301" s="220"/>
      <c r="P301" s="220"/>
      <c r="Q301" s="220"/>
      <c r="R301" s="220"/>
      <c r="S301" s="220"/>
      <c r="T301" s="220"/>
      <c r="U301" s="220"/>
      <c r="V301" s="220"/>
      <c r="W301" s="220"/>
      <c r="X301" s="220"/>
      <c r="Y301" s="220"/>
      <c r="Z301" s="220"/>
      <c r="AA301" s="220"/>
      <c r="AB301" s="220"/>
      <c r="AC301" s="220"/>
      <c r="AD301" s="220"/>
      <c r="AE301" s="220"/>
      <c r="AF301" s="220"/>
      <c r="AG301" s="220"/>
      <c r="AH301" s="220"/>
      <c r="AI301" s="220"/>
      <c r="AJ301" s="50"/>
      <c r="AK301" s="257"/>
      <c r="AL301" s="257"/>
      <c r="AM301" s="52"/>
      <c r="AN301" s="88"/>
    </row>
    <row r="302" spans="1:40" s="29" customFormat="1" ht="17.25" customHeight="1">
      <c r="A302" s="48"/>
      <c r="B302" s="49"/>
      <c r="C302" s="220"/>
      <c r="D302" s="220"/>
      <c r="E302" s="220"/>
      <c r="F302" s="220"/>
      <c r="G302" s="220"/>
      <c r="H302" s="220"/>
      <c r="I302" s="220"/>
      <c r="J302" s="220"/>
      <c r="K302" s="220"/>
      <c r="L302" s="220"/>
      <c r="M302" s="220"/>
      <c r="N302" s="220"/>
      <c r="O302" s="220"/>
      <c r="P302" s="220"/>
      <c r="Q302" s="220"/>
      <c r="R302" s="220"/>
      <c r="S302" s="220"/>
      <c r="T302" s="220"/>
      <c r="U302" s="220"/>
      <c r="V302" s="220"/>
      <c r="W302" s="220"/>
      <c r="X302" s="220"/>
      <c r="Y302" s="220"/>
      <c r="Z302" s="220"/>
      <c r="AA302" s="220"/>
      <c r="AB302" s="220"/>
      <c r="AC302" s="220"/>
      <c r="AD302" s="220"/>
      <c r="AE302" s="220"/>
      <c r="AF302" s="220"/>
      <c r="AG302" s="220"/>
      <c r="AH302" s="220"/>
      <c r="AI302" s="220"/>
      <c r="AJ302" s="50"/>
      <c r="AK302" s="257"/>
      <c r="AL302" s="257"/>
      <c r="AM302" s="52"/>
      <c r="AN302" s="88"/>
    </row>
    <row r="303" spans="1:40" s="29" customFormat="1" ht="17.25" customHeight="1">
      <c r="A303" s="48"/>
      <c r="B303" s="49"/>
      <c r="C303" s="220"/>
      <c r="D303" s="220"/>
      <c r="E303" s="220"/>
      <c r="F303" s="220"/>
      <c r="G303" s="220"/>
      <c r="H303" s="220"/>
      <c r="I303" s="220"/>
      <c r="J303" s="220"/>
      <c r="K303" s="220"/>
      <c r="L303" s="220"/>
      <c r="M303" s="220"/>
      <c r="N303" s="220"/>
      <c r="O303" s="220"/>
      <c r="P303" s="220"/>
      <c r="Q303" s="220"/>
      <c r="R303" s="220"/>
      <c r="S303" s="220"/>
      <c r="T303" s="220"/>
      <c r="U303" s="220"/>
      <c r="V303" s="220"/>
      <c r="W303" s="220"/>
      <c r="X303" s="220"/>
      <c r="Y303" s="220"/>
      <c r="Z303" s="220"/>
      <c r="AA303" s="220"/>
      <c r="AB303" s="220"/>
      <c r="AC303" s="220"/>
      <c r="AD303" s="220"/>
      <c r="AE303" s="220"/>
      <c r="AF303" s="220"/>
      <c r="AG303" s="220"/>
      <c r="AH303" s="220"/>
      <c r="AI303" s="220"/>
      <c r="AJ303" s="50"/>
      <c r="AK303" s="257"/>
      <c r="AL303" s="257"/>
      <c r="AM303" s="52"/>
      <c r="AN303" s="88"/>
    </row>
    <row r="304" spans="1:40" s="29" customFormat="1" ht="17.25" customHeight="1">
      <c r="A304" s="48"/>
      <c r="B304" s="49"/>
      <c r="C304" s="220"/>
      <c r="D304" s="220"/>
      <c r="E304" s="220"/>
      <c r="F304" s="220"/>
      <c r="G304" s="220"/>
      <c r="H304" s="220"/>
      <c r="I304" s="220"/>
      <c r="J304" s="220"/>
      <c r="K304" s="220"/>
      <c r="L304" s="220"/>
      <c r="M304" s="220"/>
      <c r="N304" s="220"/>
      <c r="O304" s="220"/>
      <c r="P304" s="220"/>
      <c r="Q304" s="220"/>
      <c r="R304" s="220"/>
      <c r="S304" s="220"/>
      <c r="T304" s="220"/>
      <c r="U304" s="220"/>
      <c r="V304" s="220"/>
      <c r="W304" s="220"/>
      <c r="X304" s="220"/>
      <c r="Y304" s="220"/>
      <c r="Z304" s="220"/>
      <c r="AA304" s="220"/>
      <c r="AB304" s="220"/>
      <c r="AC304" s="220"/>
      <c r="AD304" s="220"/>
      <c r="AE304" s="220"/>
      <c r="AF304" s="220"/>
      <c r="AG304" s="220"/>
      <c r="AH304" s="220"/>
      <c r="AI304" s="220"/>
      <c r="AJ304" s="50"/>
      <c r="AK304" s="257"/>
      <c r="AL304" s="257"/>
      <c r="AM304" s="52"/>
      <c r="AN304" s="88"/>
    </row>
    <row r="305" spans="1:40" s="29" customFormat="1" ht="17.25" customHeight="1">
      <c r="A305" s="48"/>
      <c r="B305" s="49"/>
      <c r="C305" s="220"/>
      <c r="D305" s="220"/>
      <c r="E305" s="220"/>
      <c r="F305" s="220"/>
      <c r="G305" s="220"/>
      <c r="H305" s="220"/>
      <c r="I305" s="220"/>
      <c r="J305" s="220"/>
      <c r="K305" s="220"/>
      <c r="L305" s="220"/>
      <c r="M305" s="220"/>
      <c r="N305" s="220"/>
      <c r="O305" s="220"/>
      <c r="P305" s="220"/>
      <c r="Q305" s="220"/>
      <c r="R305" s="220"/>
      <c r="S305" s="220"/>
      <c r="T305" s="220"/>
      <c r="U305" s="220"/>
      <c r="V305" s="220"/>
      <c r="W305" s="220"/>
      <c r="X305" s="220"/>
      <c r="Y305" s="220"/>
      <c r="Z305" s="220"/>
      <c r="AA305" s="220"/>
      <c r="AB305" s="220"/>
      <c r="AC305" s="220"/>
      <c r="AD305" s="220"/>
      <c r="AE305" s="220"/>
      <c r="AF305" s="220"/>
      <c r="AG305" s="220"/>
      <c r="AH305" s="220"/>
      <c r="AI305" s="220"/>
      <c r="AJ305" s="50"/>
      <c r="AK305" s="257"/>
      <c r="AL305" s="257"/>
      <c r="AM305" s="52"/>
      <c r="AN305" s="88"/>
    </row>
    <row r="306" spans="1:40" s="29" customFormat="1" ht="17.25" customHeight="1">
      <c r="A306" s="48"/>
      <c r="B306" s="49"/>
      <c r="C306" s="220"/>
      <c r="D306" s="220"/>
      <c r="E306" s="220"/>
      <c r="F306" s="220"/>
      <c r="G306" s="220"/>
      <c r="H306" s="220"/>
      <c r="I306" s="220"/>
      <c r="J306" s="220"/>
      <c r="K306" s="220"/>
      <c r="L306" s="220"/>
      <c r="M306" s="220"/>
      <c r="N306" s="220"/>
      <c r="O306" s="220"/>
      <c r="P306" s="220"/>
      <c r="Q306" s="220"/>
      <c r="R306" s="220"/>
      <c r="S306" s="220"/>
      <c r="T306" s="220"/>
      <c r="U306" s="220"/>
      <c r="V306" s="220"/>
      <c r="W306" s="220"/>
      <c r="X306" s="220"/>
      <c r="Y306" s="220"/>
      <c r="Z306" s="220"/>
      <c r="AA306" s="220"/>
      <c r="AB306" s="220"/>
      <c r="AC306" s="220"/>
      <c r="AD306" s="220"/>
      <c r="AE306" s="220"/>
      <c r="AF306" s="220"/>
      <c r="AG306" s="220"/>
      <c r="AH306" s="220"/>
      <c r="AI306" s="220"/>
      <c r="AJ306" s="50"/>
      <c r="AK306" s="257"/>
      <c r="AL306" s="257"/>
      <c r="AM306" s="52"/>
      <c r="AN306" s="88"/>
    </row>
    <row r="307" spans="1:40" s="29" customFormat="1" ht="17.25" customHeight="1">
      <c r="A307" s="48"/>
      <c r="B307" s="49"/>
      <c r="C307" s="220"/>
      <c r="D307" s="220"/>
      <c r="E307" s="220"/>
      <c r="F307" s="220"/>
      <c r="G307" s="220"/>
      <c r="H307" s="220"/>
      <c r="I307" s="220"/>
      <c r="J307" s="220"/>
      <c r="K307" s="220"/>
      <c r="L307" s="220"/>
      <c r="M307" s="220"/>
      <c r="N307" s="220"/>
      <c r="O307" s="220"/>
      <c r="P307" s="220"/>
      <c r="Q307" s="220"/>
      <c r="R307" s="220"/>
      <c r="S307" s="220"/>
      <c r="T307" s="220"/>
      <c r="U307" s="220"/>
      <c r="V307" s="220"/>
      <c r="W307" s="220"/>
      <c r="X307" s="220"/>
      <c r="Y307" s="220"/>
      <c r="Z307" s="220"/>
      <c r="AA307" s="220"/>
      <c r="AB307" s="220"/>
      <c r="AC307" s="220"/>
      <c r="AD307" s="220"/>
      <c r="AE307" s="220"/>
      <c r="AF307" s="220"/>
      <c r="AG307" s="220"/>
      <c r="AH307" s="220"/>
      <c r="AI307" s="220"/>
      <c r="AJ307" s="50"/>
      <c r="AK307" s="257"/>
      <c r="AL307" s="257"/>
      <c r="AM307" s="52"/>
      <c r="AN307" s="88"/>
    </row>
    <row r="308" spans="1:40" s="29" customFormat="1" ht="17.25" customHeight="1">
      <c r="A308" s="48"/>
      <c r="B308" s="49"/>
      <c r="C308" s="220"/>
      <c r="D308" s="220"/>
      <c r="E308" s="220"/>
      <c r="F308" s="220"/>
      <c r="G308" s="220"/>
      <c r="H308" s="220"/>
      <c r="I308" s="220"/>
      <c r="J308" s="220"/>
      <c r="K308" s="220"/>
      <c r="L308" s="220"/>
      <c r="M308" s="220"/>
      <c r="N308" s="220"/>
      <c r="O308" s="220"/>
      <c r="P308" s="220"/>
      <c r="Q308" s="220"/>
      <c r="R308" s="220"/>
      <c r="S308" s="220"/>
      <c r="T308" s="220"/>
      <c r="U308" s="220"/>
      <c r="V308" s="220"/>
      <c r="W308" s="220"/>
      <c r="X308" s="220"/>
      <c r="Y308" s="220"/>
      <c r="Z308" s="220"/>
      <c r="AA308" s="220"/>
      <c r="AB308" s="220"/>
      <c r="AC308" s="220"/>
      <c r="AD308" s="220"/>
      <c r="AE308" s="220"/>
      <c r="AF308" s="220"/>
      <c r="AG308" s="220"/>
      <c r="AH308" s="220"/>
      <c r="AI308" s="220"/>
      <c r="AJ308" s="50"/>
      <c r="AK308" s="257"/>
      <c r="AL308" s="257"/>
      <c r="AM308" s="52"/>
      <c r="AN308" s="88"/>
    </row>
    <row r="309" spans="1:40" s="29" customFormat="1" ht="17.25" customHeight="1">
      <c r="A309" s="48"/>
      <c r="B309" s="49"/>
      <c r="C309" s="220"/>
      <c r="D309" s="220"/>
      <c r="E309" s="220"/>
      <c r="F309" s="220"/>
      <c r="G309" s="220"/>
      <c r="H309" s="220"/>
      <c r="I309" s="220"/>
      <c r="J309" s="220"/>
      <c r="K309" s="220"/>
      <c r="L309" s="220"/>
      <c r="M309" s="220"/>
      <c r="N309" s="220"/>
      <c r="O309" s="220"/>
      <c r="P309" s="220"/>
      <c r="Q309" s="220"/>
      <c r="R309" s="220"/>
      <c r="S309" s="220"/>
      <c r="T309" s="220"/>
      <c r="U309" s="220"/>
      <c r="V309" s="220"/>
      <c r="W309" s="220"/>
      <c r="X309" s="220"/>
      <c r="Y309" s="220"/>
      <c r="Z309" s="220"/>
      <c r="AA309" s="220"/>
      <c r="AB309" s="220"/>
      <c r="AC309" s="220"/>
      <c r="AD309" s="220"/>
      <c r="AE309" s="220"/>
      <c r="AF309" s="220"/>
      <c r="AG309" s="220"/>
      <c r="AH309" s="220"/>
      <c r="AI309" s="220"/>
      <c r="AJ309" s="50"/>
      <c r="AK309" s="257"/>
      <c r="AL309" s="257"/>
      <c r="AM309" s="52"/>
      <c r="AN309" s="88"/>
    </row>
    <row r="310" spans="1:40" s="29" customFormat="1" ht="17.25" customHeight="1">
      <c r="A310" s="48"/>
      <c r="B310" s="49"/>
      <c r="C310" s="220"/>
      <c r="D310" s="220"/>
      <c r="E310" s="220"/>
      <c r="F310" s="220"/>
      <c r="G310" s="220"/>
      <c r="H310" s="220"/>
      <c r="I310" s="220"/>
      <c r="J310" s="220"/>
      <c r="K310" s="220"/>
      <c r="L310" s="220"/>
      <c r="M310" s="220"/>
      <c r="N310" s="220"/>
      <c r="O310" s="220"/>
      <c r="P310" s="220"/>
      <c r="Q310" s="220"/>
      <c r="R310" s="220"/>
      <c r="S310" s="220"/>
      <c r="T310" s="220"/>
      <c r="U310" s="220"/>
      <c r="V310" s="220"/>
      <c r="W310" s="220"/>
      <c r="X310" s="220"/>
      <c r="Y310" s="220"/>
      <c r="Z310" s="220"/>
      <c r="AA310" s="220"/>
      <c r="AB310" s="220"/>
      <c r="AC310" s="220"/>
      <c r="AD310" s="220"/>
      <c r="AE310" s="220"/>
      <c r="AF310" s="220"/>
      <c r="AG310" s="220"/>
      <c r="AH310" s="220"/>
      <c r="AI310" s="220"/>
      <c r="AJ310" s="50"/>
      <c r="AK310" s="257"/>
      <c r="AL310" s="257"/>
      <c r="AM310" s="52"/>
      <c r="AN310" s="88"/>
    </row>
    <row r="311" spans="1:40" s="29" customFormat="1" ht="17.25" customHeight="1">
      <c r="A311" s="48"/>
      <c r="B311" s="49"/>
      <c r="C311" s="220"/>
      <c r="D311" s="220"/>
      <c r="E311" s="220"/>
      <c r="F311" s="220"/>
      <c r="G311" s="220"/>
      <c r="H311" s="220"/>
      <c r="I311" s="220"/>
      <c r="J311" s="220"/>
      <c r="K311" s="220"/>
      <c r="L311" s="220"/>
      <c r="M311" s="220"/>
      <c r="N311" s="220"/>
      <c r="O311" s="220"/>
      <c r="P311" s="220"/>
      <c r="Q311" s="220"/>
      <c r="R311" s="220"/>
      <c r="S311" s="220"/>
      <c r="T311" s="220"/>
      <c r="U311" s="220"/>
      <c r="V311" s="220"/>
      <c r="W311" s="220"/>
      <c r="X311" s="220"/>
      <c r="Y311" s="220"/>
      <c r="Z311" s="220"/>
      <c r="AA311" s="220"/>
      <c r="AB311" s="220"/>
      <c r="AC311" s="220"/>
      <c r="AD311" s="220"/>
      <c r="AE311" s="220"/>
      <c r="AF311" s="220"/>
      <c r="AG311" s="220"/>
      <c r="AH311" s="220"/>
      <c r="AI311" s="220"/>
      <c r="AJ311" s="50"/>
      <c r="AK311" s="257"/>
      <c r="AL311" s="257"/>
      <c r="AM311" s="52"/>
      <c r="AN311" s="88"/>
    </row>
    <row r="312" spans="1:40" s="29" customFormat="1" ht="17.25" customHeight="1">
      <c r="A312" s="48"/>
      <c r="B312" s="49"/>
      <c r="C312" s="220"/>
      <c r="D312" s="220"/>
      <c r="E312" s="220"/>
      <c r="F312" s="220"/>
      <c r="G312" s="220"/>
      <c r="H312" s="220"/>
      <c r="I312" s="220"/>
      <c r="J312" s="220"/>
      <c r="K312" s="220"/>
      <c r="L312" s="220"/>
      <c r="M312" s="220"/>
      <c r="N312" s="220"/>
      <c r="O312" s="220"/>
      <c r="P312" s="220"/>
      <c r="Q312" s="220"/>
      <c r="R312" s="220"/>
      <c r="S312" s="220"/>
      <c r="T312" s="220"/>
      <c r="U312" s="220"/>
      <c r="V312" s="220"/>
      <c r="W312" s="220"/>
      <c r="X312" s="220"/>
      <c r="Y312" s="220"/>
      <c r="Z312" s="220"/>
      <c r="AA312" s="220"/>
      <c r="AB312" s="220"/>
      <c r="AC312" s="220"/>
      <c r="AD312" s="220"/>
      <c r="AE312" s="220"/>
      <c r="AF312" s="220"/>
      <c r="AG312" s="220"/>
      <c r="AH312" s="220"/>
      <c r="AI312" s="220"/>
      <c r="AJ312" s="50"/>
      <c r="AK312" s="257"/>
      <c r="AL312" s="257"/>
      <c r="AM312" s="52"/>
      <c r="AN312" s="88"/>
    </row>
    <row r="313" spans="1:40" s="29" customFormat="1" ht="17.25" customHeight="1">
      <c r="A313" s="48"/>
      <c r="B313" s="49"/>
      <c r="C313" s="220"/>
      <c r="D313" s="220"/>
      <c r="E313" s="220"/>
      <c r="F313" s="220"/>
      <c r="G313" s="220"/>
      <c r="H313" s="220"/>
      <c r="I313" s="220"/>
      <c r="J313" s="220"/>
      <c r="K313" s="220"/>
      <c r="L313" s="220"/>
      <c r="M313" s="220"/>
      <c r="N313" s="220"/>
      <c r="O313" s="220"/>
      <c r="P313" s="220"/>
      <c r="Q313" s="220"/>
      <c r="R313" s="220"/>
      <c r="S313" s="220"/>
      <c r="T313" s="220"/>
      <c r="U313" s="220"/>
      <c r="V313" s="220"/>
      <c r="W313" s="220"/>
      <c r="X313" s="220"/>
      <c r="Y313" s="220"/>
      <c r="Z313" s="220"/>
      <c r="AA313" s="220"/>
      <c r="AB313" s="220"/>
      <c r="AC313" s="220"/>
      <c r="AD313" s="220"/>
      <c r="AE313" s="220"/>
      <c r="AF313" s="220"/>
      <c r="AG313" s="220"/>
      <c r="AH313" s="220"/>
      <c r="AI313" s="220"/>
      <c r="AJ313" s="50"/>
      <c r="AK313" s="257"/>
      <c r="AL313" s="257"/>
      <c r="AM313" s="52"/>
      <c r="AN313" s="88"/>
    </row>
    <row r="314" spans="1:40" s="29" customFormat="1" ht="17.25" customHeight="1">
      <c r="A314" s="48"/>
      <c r="B314" s="49"/>
      <c r="C314" s="220"/>
      <c r="D314" s="220"/>
      <c r="E314" s="220"/>
      <c r="F314" s="220"/>
      <c r="G314" s="220"/>
      <c r="H314" s="220"/>
      <c r="I314" s="220"/>
      <c r="J314" s="220"/>
      <c r="K314" s="220"/>
      <c r="L314" s="220"/>
      <c r="M314" s="220"/>
      <c r="N314" s="220"/>
      <c r="O314" s="220"/>
      <c r="P314" s="220"/>
      <c r="Q314" s="220"/>
      <c r="R314" s="220"/>
      <c r="S314" s="220"/>
      <c r="T314" s="220"/>
      <c r="U314" s="220"/>
      <c r="V314" s="220"/>
      <c r="W314" s="220"/>
      <c r="X314" s="220"/>
      <c r="Y314" s="220"/>
      <c r="Z314" s="220"/>
      <c r="AA314" s="220"/>
      <c r="AB314" s="220"/>
      <c r="AC314" s="220"/>
      <c r="AD314" s="220"/>
      <c r="AE314" s="220"/>
      <c r="AF314" s="220"/>
      <c r="AG314" s="220"/>
      <c r="AH314" s="220"/>
      <c r="AI314" s="220"/>
      <c r="AJ314" s="50"/>
      <c r="AK314" s="257"/>
      <c r="AL314" s="257"/>
      <c r="AM314" s="52"/>
      <c r="AN314" s="88"/>
    </row>
    <row r="315" spans="1:40" s="29" customFormat="1" ht="17.25" customHeight="1">
      <c r="A315" s="48"/>
      <c r="B315" s="49"/>
      <c r="C315" s="220"/>
      <c r="D315" s="220"/>
      <c r="E315" s="220"/>
      <c r="F315" s="220"/>
      <c r="G315" s="220"/>
      <c r="H315" s="220"/>
      <c r="I315" s="220"/>
      <c r="J315" s="220"/>
      <c r="K315" s="220"/>
      <c r="L315" s="220"/>
      <c r="M315" s="220"/>
      <c r="N315" s="220"/>
      <c r="O315" s="220"/>
      <c r="P315" s="220"/>
      <c r="Q315" s="220"/>
      <c r="R315" s="220"/>
      <c r="S315" s="220"/>
      <c r="T315" s="220"/>
      <c r="U315" s="220"/>
      <c r="V315" s="220"/>
      <c r="W315" s="220"/>
      <c r="X315" s="220"/>
      <c r="Y315" s="220"/>
      <c r="Z315" s="220"/>
      <c r="AA315" s="220"/>
      <c r="AB315" s="220"/>
      <c r="AC315" s="220"/>
      <c r="AD315" s="220"/>
      <c r="AE315" s="220"/>
      <c r="AF315" s="220"/>
      <c r="AG315" s="220"/>
      <c r="AH315" s="220"/>
      <c r="AI315" s="220"/>
      <c r="AJ315" s="50"/>
      <c r="AK315" s="257"/>
      <c r="AL315" s="257"/>
      <c r="AM315" s="52"/>
      <c r="AN315" s="88"/>
    </row>
    <row r="316" spans="1:40" s="29" customFormat="1" ht="17.25" customHeight="1">
      <c r="A316" s="48"/>
      <c r="B316" s="49"/>
      <c r="C316" s="220"/>
      <c r="D316" s="220"/>
      <c r="E316" s="220"/>
      <c r="F316" s="220"/>
      <c r="G316" s="220"/>
      <c r="H316" s="220"/>
      <c r="I316" s="220"/>
      <c r="J316" s="220"/>
      <c r="K316" s="220"/>
      <c r="L316" s="220"/>
      <c r="M316" s="220"/>
      <c r="N316" s="220"/>
      <c r="O316" s="220"/>
      <c r="P316" s="220"/>
      <c r="Q316" s="220"/>
      <c r="R316" s="220"/>
      <c r="S316" s="220"/>
      <c r="T316" s="220"/>
      <c r="U316" s="220"/>
      <c r="V316" s="220"/>
      <c r="W316" s="220"/>
      <c r="X316" s="220"/>
      <c r="Y316" s="220"/>
      <c r="Z316" s="220"/>
      <c r="AA316" s="220"/>
      <c r="AB316" s="220"/>
      <c r="AC316" s="220"/>
      <c r="AD316" s="220"/>
      <c r="AE316" s="220"/>
      <c r="AF316" s="220"/>
      <c r="AG316" s="220"/>
      <c r="AH316" s="220"/>
      <c r="AI316" s="220"/>
      <c r="AJ316" s="50"/>
      <c r="AK316" s="257"/>
      <c r="AL316" s="257"/>
      <c r="AM316" s="52"/>
      <c r="AN316" s="88"/>
    </row>
    <row r="317" spans="1:40" s="29" customFormat="1" ht="17.25" customHeight="1">
      <c r="A317" s="48"/>
      <c r="B317" s="49"/>
      <c r="C317" s="220"/>
      <c r="D317" s="220"/>
      <c r="E317" s="220"/>
      <c r="F317" s="220"/>
      <c r="G317" s="220"/>
      <c r="H317" s="220"/>
      <c r="I317" s="220"/>
      <c r="J317" s="220"/>
      <c r="K317" s="220"/>
      <c r="L317" s="220"/>
      <c r="M317" s="220"/>
      <c r="N317" s="220"/>
      <c r="O317" s="220"/>
      <c r="P317" s="220"/>
      <c r="Q317" s="220"/>
      <c r="R317" s="220"/>
      <c r="S317" s="220"/>
      <c r="T317" s="220"/>
      <c r="U317" s="220"/>
      <c r="V317" s="220"/>
      <c r="W317" s="220"/>
      <c r="X317" s="220"/>
      <c r="Y317" s="220"/>
      <c r="Z317" s="220"/>
      <c r="AA317" s="220"/>
      <c r="AB317" s="220"/>
      <c r="AC317" s="220"/>
      <c r="AD317" s="220"/>
      <c r="AE317" s="220"/>
      <c r="AF317" s="220"/>
      <c r="AG317" s="220"/>
      <c r="AH317" s="220"/>
      <c r="AI317" s="220"/>
      <c r="AJ317" s="50"/>
      <c r="AK317" s="257"/>
      <c r="AL317" s="257"/>
      <c r="AM317" s="52"/>
      <c r="AN317" s="88"/>
    </row>
    <row r="318" spans="1:40" s="29" customFormat="1" ht="17.25" customHeight="1">
      <c r="A318" s="48"/>
      <c r="B318" s="49"/>
      <c r="C318" s="220"/>
      <c r="D318" s="220"/>
      <c r="E318" s="220"/>
      <c r="F318" s="220"/>
      <c r="G318" s="220"/>
      <c r="H318" s="220"/>
      <c r="I318" s="220"/>
      <c r="J318" s="220"/>
      <c r="K318" s="220"/>
      <c r="L318" s="220"/>
      <c r="M318" s="220"/>
      <c r="N318" s="220"/>
      <c r="O318" s="220"/>
      <c r="P318" s="220"/>
      <c r="Q318" s="220"/>
      <c r="R318" s="220"/>
      <c r="S318" s="220"/>
      <c r="T318" s="220"/>
      <c r="U318" s="220"/>
      <c r="V318" s="220"/>
      <c r="W318" s="220"/>
      <c r="X318" s="220"/>
      <c r="Y318" s="220"/>
      <c r="Z318" s="220"/>
      <c r="AA318" s="220"/>
      <c r="AB318" s="220"/>
      <c r="AC318" s="220"/>
      <c r="AD318" s="220"/>
      <c r="AE318" s="220"/>
      <c r="AF318" s="220"/>
      <c r="AG318" s="220"/>
      <c r="AH318" s="220"/>
      <c r="AI318" s="220"/>
      <c r="AJ318" s="50"/>
      <c r="AK318" s="257"/>
      <c r="AL318" s="257"/>
      <c r="AM318" s="52"/>
      <c r="AN318" s="88"/>
    </row>
    <row r="319" spans="1:40" s="29" customFormat="1" ht="17.25" customHeight="1">
      <c r="A319" s="48"/>
      <c r="B319" s="49"/>
      <c r="C319" s="220"/>
      <c r="D319" s="220"/>
      <c r="E319" s="220"/>
      <c r="F319" s="220"/>
      <c r="G319" s="220"/>
      <c r="H319" s="220"/>
      <c r="I319" s="220"/>
      <c r="J319" s="220"/>
      <c r="K319" s="220"/>
      <c r="L319" s="220"/>
      <c r="M319" s="220"/>
      <c r="N319" s="220"/>
      <c r="O319" s="220"/>
      <c r="P319" s="220"/>
      <c r="Q319" s="220"/>
      <c r="R319" s="220"/>
      <c r="S319" s="220"/>
      <c r="T319" s="220"/>
      <c r="U319" s="220"/>
      <c r="V319" s="220"/>
      <c r="W319" s="220"/>
      <c r="X319" s="220"/>
      <c r="Y319" s="220"/>
      <c r="Z319" s="220"/>
      <c r="AA319" s="220"/>
      <c r="AB319" s="220"/>
      <c r="AC319" s="220"/>
      <c r="AD319" s="220"/>
      <c r="AE319" s="220"/>
      <c r="AF319" s="220"/>
      <c r="AG319" s="220"/>
      <c r="AH319" s="220"/>
      <c r="AI319" s="220"/>
      <c r="AJ319" s="50"/>
      <c r="AK319" s="257"/>
      <c r="AL319" s="257"/>
      <c r="AM319" s="52"/>
      <c r="AN319" s="88"/>
    </row>
    <row r="320" spans="1:40" ht="31.5" customHeight="1">
      <c r="AK320" s="257"/>
    </row>
    <row r="321" spans="37:37" ht="31.5" customHeight="1">
      <c r="AK321" s="257"/>
    </row>
    <row r="322" spans="37:37" ht="31.5" customHeight="1"/>
    <row r="323" spans="37:37" ht="31.5" customHeight="1"/>
  </sheetData>
  <mergeCells count="23">
    <mergeCell ref="D8:D9"/>
    <mergeCell ref="E8:E9"/>
    <mergeCell ref="AF8:AH8"/>
    <mergeCell ref="G8:I8"/>
    <mergeCell ref="L8:N8"/>
    <mergeCell ref="Q8:S8"/>
    <mergeCell ref="V8:X8"/>
    <mergeCell ref="AA8:AC8"/>
    <mergeCell ref="A6:C6"/>
    <mergeCell ref="A1:AN1"/>
    <mergeCell ref="A2:AN2"/>
    <mergeCell ref="A3:AN3"/>
    <mergeCell ref="A4:AN4"/>
    <mergeCell ref="A5:C5"/>
    <mergeCell ref="AM8:AN8"/>
    <mergeCell ref="AJ8:AJ9"/>
    <mergeCell ref="AK8:AK9"/>
    <mergeCell ref="AL8:AL9"/>
    <mergeCell ref="A7:C7"/>
    <mergeCell ref="AC7:AG7"/>
    <mergeCell ref="A8:A10"/>
    <mergeCell ref="B8:B10"/>
    <mergeCell ref="C8:C9"/>
  </mergeCells>
  <printOptions horizontalCentered="1" verticalCentered="1"/>
  <pageMargins left="0.39370078740157483" right="0.31496062992125984" top="0.51181102362204722" bottom="0.31496062992125984" header="0.31496062992125984" footer="0.11811023622047245"/>
  <pageSetup paperSize="9" scale="46" orientation="landscape" r:id="rId1"/>
  <headerFooter>
    <oddFooter>&amp;R&amp;"Times New Roman,Italic"&amp;10Trang &amp;P</oddFooter>
  </headerFooter>
  <colBreaks count="1" manualBreakCount="1">
    <brk id="40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2DE3-67F5-4DC5-9BA4-E024E19B1DFB}">
  <sheetPr>
    <tabColor rgb="FF7030A0"/>
  </sheetPr>
  <dimension ref="A1:AO322"/>
  <sheetViews>
    <sheetView tabSelected="1" view="pageBreakPreview" topLeftCell="A219" zoomScaleNormal="55" zoomScaleSheetLayoutView="100" workbookViewId="0">
      <selection activeCell="AF235" sqref="AF235"/>
    </sheetView>
  </sheetViews>
  <sheetFormatPr defaultColWidth="8.90625" defaultRowHeight="15.6"/>
  <cols>
    <col min="1" max="1" width="4" style="18" customWidth="1"/>
    <col min="2" max="2" width="9.453125" style="22" customWidth="1"/>
    <col min="3" max="3" width="5.90625" style="22" customWidth="1"/>
    <col min="4" max="4" width="6.54296875" style="189" customWidth="1"/>
    <col min="5" max="5" width="6" style="18" customWidth="1"/>
    <col min="6" max="6" width="6" style="18" hidden="1" customWidth="1"/>
    <col min="7" max="7" width="5.453125" style="18" customWidth="1"/>
    <col min="8" max="8" width="5" style="18" customWidth="1"/>
    <col min="9" max="9" width="5.1796875" style="18" customWidth="1"/>
    <col min="10" max="11" width="7.453125" style="18" hidden="1" customWidth="1"/>
    <col min="12" max="14" width="6.6328125" style="18" customWidth="1"/>
    <col min="15" max="15" width="7.08984375" style="18" hidden="1" customWidth="1"/>
    <col min="16" max="16" width="6.6328125" style="18" hidden="1" customWidth="1"/>
    <col min="17" max="19" width="5.6328125" style="18" customWidth="1"/>
    <col min="20" max="20" width="6.54296875" style="18" hidden="1" customWidth="1"/>
    <col min="21" max="21" width="6.36328125" style="18" hidden="1" customWidth="1"/>
    <col min="22" max="22" width="7.08984375" style="18" customWidth="1"/>
    <col min="23" max="23" width="7.36328125" style="18" customWidth="1"/>
    <col min="24" max="24" width="7" style="18" customWidth="1"/>
    <col min="25" max="26" width="7" style="18" hidden="1" customWidth="1"/>
    <col min="27" max="29" width="5.6328125" style="20" customWidth="1"/>
    <col min="30" max="31" width="7.08984375" style="20" hidden="1" customWidth="1"/>
    <col min="32" max="32" width="5.36328125" style="18" customWidth="1"/>
    <col min="33" max="34" width="4.90625" style="18" customWidth="1"/>
    <col min="35" max="35" width="6.1796875" style="18" hidden="1" customWidth="1"/>
    <col min="36" max="36" width="6.08984375" style="18" customWidth="1"/>
    <col min="37" max="37" width="6.81640625" style="18" customWidth="1"/>
    <col min="38" max="38" width="7.453125" style="18" customWidth="1"/>
    <col min="39" max="39" width="10.54296875" style="18" customWidth="1"/>
    <col min="40" max="40" width="10.08984375" style="18" customWidth="1"/>
    <col min="41" max="41" width="15.453125" style="18" customWidth="1"/>
    <col min="42" max="249" width="8.90625" style="18" customWidth="1"/>
    <col min="250" max="16384" width="8.90625" style="18"/>
  </cols>
  <sheetData>
    <row r="1" spans="1:40" ht="17.25" customHeight="1">
      <c r="A1" s="342" t="s">
        <v>147</v>
      </c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  <c r="Q1" s="343"/>
      <c r="R1" s="343"/>
      <c r="S1" s="343"/>
      <c r="T1" s="343"/>
      <c r="U1" s="343"/>
      <c r="V1" s="343"/>
      <c r="W1" s="343"/>
      <c r="X1" s="343"/>
      <c r="Y1" s="343"/>
      <c r="Z1" s="343"/>
      <c r="AA1" s="343"/>
      <c r="AB1" s="343"/>
      <c r="AC1" s="343"/>
      <c r="AD1" s="343"/>
      <c r="AE1" s="343"/>
      <c r="AF1" s="343"/>
      <c r="AG1" s="343"/>
      <c r="AH1" s="343"/>
      <c r="AI1" s="343"/>
      <c r="AJ1" s="343"/>
      <c r="AK1" s="343"/>
      <c r="AL1" s="343"/>
      <c r="AM1" s="343"/>
      <c r="AN1" s="344"/>
    </row>
    <row r="2" spans="1:40" ht="17.25" customHeight="1">
      <c r="A2" s="345" t="s">
        <v>148</v>
      </c>
      <c r="B2" s="346"/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46"/>
      <c r="R2" s="346"/>
      <c r="S2" s="346"/>
      <c r="T2" s="346"/>
      <c r="U2" s="346"/>
      <c r="V2" s="346"/>
      <c r="W2" s="346"/>
      <c r="X2" s="346"/>
      <c r="Y2" s="346"/>
      <c r="Z2" s="346"/>
      <c r="AA2" s="346"/>
      <c r="AB2" s="346"/>
      <c r="AC2" s="346"/>
      <c r="AD2" s="346"/>
      <c r="AE2" s="346"/>
      <c r="AF2" s="346"/>
      <c r="AG2" s="346"/>
      <c r="AH2" s="346"/>
      <c r="AI2" s="346"/>
      <c r="AJ2" s="346"/>
      <c r="AK2" s="346"/>
      <c r="AL2" s="346"/>
      <c r="AM2" s="346"/>
      <c r="AN2" s="347"/>
    </row>
    <row r="3" spans="1:40" ht="17.25" customHeight="1">
      <c r="A3" s="345" t="s">
        <v>149</v>
      </c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  <c r="Q3" s="346"/>
      <c r="R3" s="346"/>
      <c r="S3" s="346"/>
      <c r="T3" s="346"/>
      <c r="U3" s="346"/>
      <c r="V3" s="346"/>
      <c r="W3" s="346"/>
      <c r="X3" s="346"/>
      <c r="Y3" s="346"/>
      <c r="Z3" s="346"/>
      <c r="AA3" s="346"/>
      <c r="AB3" s="346"/>
      <c r="AC3" s="346"/>
      <c r="AD3" s="346"/>
      <c r="AE3" s="346"/>
      <c r="AF3" s="346"/>
      <c r="AG3" s="346"/>
      <c r="AH3" s="346"/>
      <c r="AI3" s="346"/>
      <c r="AJ3" s="346"/>
      <c r="AK3" s="346"/>
      <c r="AL3" s="346"/>
      <c r="AM3" s="346"/>
      <c r="AN3" s="347"/>
    </row>
    <row r="4" spans="1:40" s="19" customFormat="1" ht="17.25" customHeight="1">
      <c r="A4" s="348" t="s">
        <v>121</v>
      </c>
      <c r="B4" s="349"/>
      <c r="C4" s="349"/>
      <c r="D4" s="349"/>
      <c r="E4" s="349"/>
      <c r="F4" s="349"/>
      <c r="G4" s="349"/>
      <c r="H4" s="349"/>
      <c r="I4" s="349"/>
      <c r="J4" s="349"/>
      <c r="K4" s="349"/>
      <c r="L4" s="349"/>
      <c r="M4" s="349"/>
      <c r="N4" s="349"/>
      <c r="O4" s="349"/>
      <c r="P4" s="349"/>
      <c r="Q4" s="349"/>
      <c r="R4" s="349"/>
      <c r="S4" s="349"/>
      <c r="T4" s="349"/>
      <c r="U4" s="349"/>
      <c r="V4" s="349"/>
      <c r="W4" s="349"/>
      <c r="X4" s="349"/>
      <c r="Y4" s="349"/>
      <c r="Z4" s="349"/>
      <c r="AA4" s="349"/>
      <c r="AB4" s="349"/>
      <c r="AC4" s="349"/>
      <c r="AD4" s="349"/>
      <c r="AE4" s="349"/>
      <c r="AF4" s="349"/>
      <c r="AG4" s="349"/>
      <c r="AH4" s="349"/>
      <c r="AI4" s="349"/>
      <c r="AJ4" s="349"/>
      <c r="AK4" s="349"/>
      <c r="AL4" s="349"/>
      <c r="AM4" s="349"/>
      <c r="AN4" s="350"/>
    </row>
    <row r="5" spans="1:40" s="19" customFormat="1" ht="17.25" customHeight="1">
      <c r="A5" s="351" t="s">
        <v>122</v>
      </c>
      <c r="B5" s="352"/>
      <c r="C5" s="352"/>
      <c r="D5" s="234"/>
      <c r="E5" s="234"/>
      <c r="F5" s="234"/>
      <c r="G5" s="234"/>
      <c r="H5" s="234"/>
      <c r="I5" s="234"/>
      <c r="J5" s="234"/>
      <c r="K5" s="234"/>
      <c r="L5" s="234"/>
      <c r="M5" s="235"/>
      <c r="N5" s="235"/>
      <c r="O5" s="235"/>
      <c r="P5" s="235"/>
      <c r="Q5" s="235"/>
      <c r="R5" s="234"/>
      <c r="S5" s="234"/>
      <c r="T5" s="234"/>
      <c r="U5" s="234"/>
      <c r="V5" s="234"/>
      <c r="W5" s="234"/>
      <c r="X5" s="234"/>
      <c r="Y5" s="234"/>
      <c r="Z5" s="234"/>
      <c r="AA5" s="234" t="s">
        <v>123</v>
      </c>
      <c r="AB5" s="234"/>
      <c r="AC5" s="234"/>
      <c r="AD5" s="234"/>
      <c r="AE5" s="234"/>
      <c r="AF5" s="234"/>
      <c r="AG5" s="234"/>
      <c r="AH5" s="234"/>
      <c r="AI5" s="234"/>
      <c r="AJ5" s="234"/>
      <c r="AK5" s="234"/>
      <c r="AL5" s="234"/>
      <c r="AM5" s="234"/>
      <c r="AN5" s="238"/>
    </row>
    <row r="6" spans="1:40" s="19" customFormat="1" ht="17.25" customHeight="1">
      <c r="A6" s="353" t="s">
        <v>124</v>
      </c>
      <c r="B6" s="354"/>
      <c r="C6" s="354"/>
      <c r="D6" s="236"/>
      <c r="E6" s="236"/>
      <c r="F6" s="236"/>
      <c r="G6" s="236"/>
      <c r="H6" s="236"/>
      <c r="I6" s="236"/>
      <c r="J6" s="236"/>
      <c r="K6" s="236"/>
      <c r="L6" s="236"/>
      <c r="M6" s="237"/>
      <c r="N6" s="237"/>
      <c r="O6" s="237"/>
      <c r="P6" s="237"/>
      <c r="Q6" s="237"/>
      <c r="R6" s="236"/>
      <c r="S6" s="236"/>
      <c r="T6" s="236"/>
      <c r="U6" s="236"/>
      <c r="V6" s="236"/>
      <c r="W6" s="236"/>
      <c r="X6" s="236"/>
      <c r="Y6" s="236"/>
      <c r="Z6" s="236"/>
      <c r="AA6" s="236" t="s">
        <v>125</v>
      </c>
      <c r="AB6" s="236"/>
      <c r="AC6" s="220">
        <f>C11</f>
        <v>1049</v>
      </c>
      <c r="AD6" s="258"/>
      <c r="AE6" s="258"/>
      <c r="AF6" s="236"/>
      <c r="AG6" s="236"/>
      <c r="AH6" s="236"/>
      <c r="AI6" s="236"/>
      <c r="AJ6" s="236"/>
      <c r="AK6" s="236"/>
      <c r="AL6" s="236"/>
      <c r="AM6" s="236"/>
      <c r="AN6" s="239"/>
    </row>
    <row r="7" spans="1:40" s="19" customFormat="1" ht="17.25" customHeight="1">
      <c r="A7" s="339" t="s">
        <v>126</v>
      </c>
      <c r="B7" s="340" t="s">
        <v>143</v>
      </c>
      <c r="C7" s="340"/>
      <c r="D7" s="240" t="s">
        <v>157</v>
      </c>
      <c r="E7" s="240"/>
      <c r="F7" s="240"/>
      <c r="G7" s="240"/>
      <c r="H7" s="240"/>
      <c r="I7" s="240"/>
      <c r="J7" s="240"/>
      <c r="K7" s="240"/>
      <c r="L7" s="240"/>
      <c r="M7" s="241"/>
      <c r="N7" s="241"/>
      <c r="O7" s="241"/>
      <c r="P7" s="241"/>
      <c r="Q7" s="241"/>
      <c r="R7" s="240"/>
      <c r="S7" s="240"/>
      <c r="T7" s="240"/>
      <c r="U7" s="240"/>
      <c r="V7" s="240"/>
      <c r="W7" s="240"/>
      <c r="X7" s="240"/>
      <c r="Y7" s="240"/>
      <c r="Z7" s="240"/>
      <c r="AA7" s="240" t="s">
        <v>127</v>
      </c>
      <c r="AB7" s="240"/>
      <c r="AC7" s="341">
        <f>B11</f>
        <v>45585</v>
      </c>
      <c r="AD7" s="341"/>
      <c r="AE7" s="341"/>
      <c r="AF7" s="341"/>
      <c r="AG7" s="341"/>
      <c r="AH7" s="240"/>
      <c r="AI7" s="240"/>
      <c r="AJ7" s="240"/>
      <c r="AK7" s="240"/>
      <c r="AL7" s="240"/>
      <c r="AM7" s="240"/>
      <c r="AN7" s="242"/>
    </row>
    <row r="8" spans="1:40" s="46" customFormat="1" ht="47.25" customHeight="1">
      <c r="A8" s="357" t="s">
        <v>1</v>
      </c>
      <c r="B8" s="359" t="s">
        <v>2</v>
      </c>
      <c r="C8" s="360" t="s">
        <v>10</v>
      </c>
      <c r="D8" s="360" t="s">
        <v>3</v>
      </c>
      <c r="E8" s="357" t="s">
        <v>11</v>
      </c>
      <c r="F8" s="265" t="s">
        <v>70</v>
      </c>
      <c r="G8" s="362" t="s">
        <v>70</v>
      </c>
      <c r="H8" s="363"/>
      <c r="I8" s="363"/>
      <c r="J8" s="266"/>
      <c r="K8" s="265" t="s">
        <v>98</v>
      </c>
      <c r="L8" s="362" t="s">
        <v>98</v>
      </c>
      <c r="M8" s="363"/>
      <c r="N8" s="363"/>
      <c r="O8" s="266"/>
      <c r="P8" s="267" t="s">
        <v>99</v>
      </c>
      <c r="Q8" s="362" t="s">
        <v>99</v>
      </c>
      <c r="R8" s="363"/>
      <c r="S8" s="364"/>
      <c r="T8" s="267"/>
      <c r="U8" s="267" t="s">
        <v>71</v>
      </c>
      <c r="V8" s="362" t="s">
        <v>71</v>
      </c>
      <c r="W8" s="363"/>
      <c r="X8" s="364"/>
      <c r="Y8" s="267"/>
      <c r="Z8" s="268" t="s">
        <v>100</v>
      </c>
      <c r="AA8" s="355" t="s">
        <v>100</v>
      </c>
      <c r="AB8" s="358"/>
      <c r="AC8" s="356"/>
      <c r="AD8" s="268"/>
      <c r="AE8" s="268" t="s">
        <v>101</v>
      </c>
      <c r="AF8" s="355" t="s">
        <v>101</v>
      </c>
      <c r="AG8" s="358"/>
      <c r="AH8" s="356"/>
      <c r="AI8" s="269"/>
      <c r="AJ8" s="357" t="s">
        <v>73</v>
      </c>
      <c r="AK8" s="357" t="s">
        <v>72</v>
      </c>
      <c r="AL8" s="357" t="s">
        <v>144</v>
      </c>
      <c r="AM8" s="355" t="s">
        <v>66</v>
      </c>
      <c r="AN8" s="356"/>
    </row>
    <row r="9" spans="1:40" s="29" customFormat="1" ht="40.5" customHeight="1">
      <c r="A9" s="357"/>
      <c r="B9" s="359"/>
      <c r="C9" s="361"/>
      <c r="D9" s="361"/>
      <c r="E9" s="357"/>
      <c r="F9" s="47" t="s">
        <v>145</v>
      </c>
      <c r="G9" s="47" t="s">
        <v>6</v>
      </c>
      <c r="H9" s="47" t="s">
        <v>7</v>
      </c>
      <c r="I9" s="47" t="s">
        <v>8</v>
      </c>
      <c r="J9" s="47" t="s">
        <v>146</v>
      </c>
      <c r="K9" s="47" t="s">
        <v>145</v>
      </c>
      <c r="L9" s="47" t="s">
        <v>6</v>
      </c>
      <c r="M9" s="47" t="s">
        <v>7</v>
      </c>
      <c r="N9" s="47" t="s">
        <v>8</v>
      </c>
      <c r="O9" s="47" t="s">
        <v>146</v>
      </c>
      <c r="P9" s="47" t="s">
        <v>145</v>
      </c>
      <c r="Q9" s="47" t="s">
        <v>6</v>
      </c>
      <c r="R9" s="47" t="s">
        <v>7</v>
      </c>
      <c r="S9" s="47" t="s">
        <v>8</v>
      </c>
      <c r="T9" s="47" t="s">
        <v>146</v>
      </c>
      <c r="U9" s="47" t="s">
        <v>145</v>
      </c>
      <c r="V9" s="47" t="s">
        <v>6</v>
      </c>
      <c r="W9" s="47" t="s">
        <v>7</v>
      </c>
      <c r="X9" s="47" t="s">
        <v>8</v>
      </c>
      <c r="Y9" s="47" t="s">
        <v>146</v>
      </c>
      <c r="Z9" s="47" t="s">
        <v>145</v>
      </c>
      <c r="AA9" s="47" t="s">
        <v>6</v>
      </c>
      <c r="AB9" s="47" t="s">
        <v>7</v>
      </c>
      <c r="AC9" s="47" t="s">
        <v>8</v>
      </c>
      <c r="AD9" s="47" t="s">
        <v>146</v>
      </c>
      <c r="AE9" s="47" t="s">
        <v>145</v>
      </c>
      <c r="AF9" s="47" t="s">
        <v>6</v>
      </c>
      <c r="AG9" s="47" t="s">
        <v>7</v>
      </c>
      <c r="AH9" s="47" t="s">
        <v>8</v>
      </c>
      <c r="AI9" s="47" t="s">
        <v>146</v>
      </c>
      <c r="AJ9" s="357"/>
      <c r="AK9" s="357"/>
      <c r="AL9" s="357"/>
      <c r="AM9" s="47" t="s">
        <v>67</v>
      </c>
      <c r="AN9" s="87" t="s">
        <v>68</v>
      </c>
    </row>
    <row r="10" spans="1:40" s="29" customFormat="1" ht="20.100000000000001" customHeight="1">
      <c r="A10" s="357"/>
      <c r="B10" s="359"/>
      <c r="C10" s="49" t="s">
        <v>0</v>
      </c>
      <c r="D10" s="49" t="s">
        <v>0</v>
      </c>
      <c r="E10" s="48" t="s">
        <v>0</v>
      </c>
      <c r="F10" s="48" t="s">
        <v>0</v>
      </c>
      <c r="G10" s="48" t="s">
        <v>0</v>
      </c>
      <c r="H10" s="48" t="s">
        <v>0</v>
      </c>
      <c r="I10" s="48" t="s">
        <v>0</v>
      </c>
      <c r="J10" s="48" t="s">
        <v>0</v>
      </c>
      <c r="K10" s="48" t="s">
        <v>0</v>
      </c>
      <c r="L10" s="48" t="s">
        <v>0</v>
      </c>
      <c r="M10" s="48" t="s">
        <v>0</v>
      </c>
      <c r="N10" s="48" t="s">
        <v>0</v>
      </c>
      <c r="O10" s="48" t="s">
        <v>0</v>
      </c>
      <c r="P10" s="48" t="s">
        <v>0</v>
      </c>
      <c r="Q10" s="48" t="s">
        <v>0</v>
      </c>
      <c r="R10" s="48" t="s">
        <v>0</v>
      </c>
      <c r="S10" s="48" t="s">
        <v>0</v>
      </c>
      <c r="T10" s="48" t="s">
        <v>0</v>
      </c>
      <c r="U10" s="48" t="s">
        <v>0</v>
      </c>
      <c r="V10" s="48" t="s">
        <v>0</v>
      </c>
      <c r="W10" s="48" t="s">
        <v>0</v>
      </c>
      <c r="X10" s="48" t="s">
        <v>0</v>
      </c>
      <c r="Y10" s="48" t="s">
        <v>0</v>
      </c>
      <c r="Z10" s="48" t="s">
        <v>9</v>
      </c>
      <c r="AA10" s="48" t="s">
        <v>9</v>
      </c>
      <c r="AB10" s="48" t="s">
        <v>9</v>
      </c>
      <c r="AC10" s="48" t="s">
        <v>9</v>
      </c>
      <c r="AD10" s="48" t="s">
        <v>9</v>
      </c>
      <c r="AE10" s="48" t="s">
        <v>9</v>
      </c>
      <c r="AF10" s="48" t="s">
        <v>9</v>
      </c>
      <c r="AG10" s="48" t="s">
        <v>9</v>
      </c>
      <c r="AH10" s="48" t="s">
        <v>9</v>
      </c>
      <c r="AI10" s="48" t="s">
        <v>9</v>
      </c>
      <c r="AJ10" s="48" t="s">
        <v>0</v>
      </c>
      <c r="AK10" s="48" t="s">
        <v>0</v>
      </c>
      <c r="AL10" s="48" t="s">
        <v>0</v>
      </c>
      <c r="AM10" s="48"/>
      <c r="AN10" s="67"/>
    </row>
    <row r="11" spans="1:40" s="29" customFormat="1" ht="17.25" customHeight="1">
      <c r="A11" s="48">
        <v>1</v>
      </c>
      <c r="B11" s="49">
        <v>45585</v>
      </c>
      <c r="C11" s="220">
        <v>1049</v>
      </c>
      <c r="D11" s="264">
        <v>2433</v>
      </c>
      <c r="E11" s="220">
        <v>3502</v>
      </c>
      <c r="F11" s="220">
        <f>E11-K11</f>
        <v>853</v>
      </c>
      <c r="G11" s="220">
        <v>785</v>
      </c>
      <c r="H11" s="220">
        <v>885</v>
      </c>
      <c r="I11" s="220">
        <v>870</v>
      </c>
      <c r="J11" s="220">
        <f>E11-O11</f>
        <v>943</v>
      </c>
      <c r="K11" s="220">
        <f>P11+U11</f>
        <v>2649</v>
      </c>
      <c r="L11" s="220">
        <v>2717</v>
      </c>
      <c r="M11" s="220">
        <v>2617</v>
      </c>
      <c r="N11" s="220">
        <v>2632</v>
      </c>
      <c r="O11" s="220">
        <f>T11+Y11</f>
        <v>2559</v>
      </c>
      <c r="P11" s="220">
        <v>2000</v>
      </c>
      <c r="Q11" s="220">
        <v>2150</v>
      </c>
      <c r="R11" s="220">
        <v>2150</v>
      </c>
      <c r="S11" s="220">
        <v>2150</v>
      </c>
      <c r="T11" s="220">
        <v>2000</v>
      </c>
      <c r="U11" s="220">
        <v>649</v>
      </c>
      <c r="V11" s="220">
        <v>567</v>
      </c>
      <c r="W11" s="220">
        <v>467</v>
      </c>
      <c r="X11" s="220">
        <v>482</v>
      </c>
      <c r="Y11" s="220">
        <v>559</v>
      </c>
      <c r="Z11" s="220">
        <v>0</v>
      </c>
      <c r="AA11" s="220">
        <v>0</v>
      </c>
      <c r="AB11" s="220">
        <v>0</v>
      </c>
      <c r="AC11" s="220">
        <v>0</v>
      </c>
      <c r="AD11" s="220">
        <v>0</v>
      </c>
      <c r="AE11" s="220">
        <v>0</v>
      </c>
      <c r="AF11" s="220">
        <v>0</v>
      </c>
      <c r="AG11" s="220">
        <v>0</v>
      </c>
      <c r="AH11" s="220">
        <v>0</v>
      </c>
      <c r="AI11" s="220">
        <v>0</v>
      </c>
      <c r="AJ11" s="50">
        <f>W11/1000</f>
        <v>0.46700000000000003</v>
      </c>
      <c r="AK11" s="257"/>
      <c r="AL11" s="257">
        <f>AK11</f>
        <v>0</v>
      </c>
      <c r="AM11" s="52"/>
      <c r="AN11" s="88"/>
    </row>
    <row r="12" spans="1:40" s="261" customFormat="1" ht="17.25" customHeight="1">
      <c r="A12" s="76">
        <v>2</v>
      </c>
      <c r="B12" s="77">
        <f>B11+1</f>
        <v>45586</v>
      </c>
      <c r="C12" s="213">
        <f>+C11</f>
        <v>1049</v>
      </c>
      <c r="D12" s="213">
        <f>D11+15</f>
        <v>2448</v>
      </c>
      <c r="E12" s="213">
        <f>+C12+D12</f>
        <v>3497</v>
      </c>
      <c r="F12" s="213">
        <f t="shared" ref="F12:F75" si="0">E12-K12</f>
        <v>852</v>
      </c>
      <c r="G12" s="213">
        <f t="shared" ref="G12:G75" si="1">E12-L12</f>
        <v>784</v>
      </c>
      <c r="H12" s="213">
        <f t="shared" ref="H12:H75" si="2">E12-M12</f>
        <v>884</v>
      </c>
      <c r="I12" s="213">
        <f t="shared" ref="I12:I75" si="3">E12-N12</f>
        <v>870</v>
      </c>
      <c r="J12" s="213">
        <f t="shared" ref="J12:J75" si="4">E12-O12</f>
        <v>942</v>
      </c>
      <c r="K12" s="213">
        <f t="shared" ref="K12:O62" si="5">P12+U12</f>
        <v>2645</v>
      </c>
      <c r="L12" s="213">
        <f t="shared" si="5"/>
        <v>2713</v>
      </c>
      <c r="M12" s="213">
        <f t="shared" si="5"/>
        <v>2613</v>
      </c>
      <c r="N12" s="213">
        <f t="shared" si="5"/>
        <v>2627</v>
      </c>
      <c r="O12" s="213">
        <f t="shared" si="5"/>
        <v>2555</v>
      </c>
      <c r="P12" s="213">
        <f>+P11</f>
        <v>2000</v>
      </c>
      <c r="Q12" s="213">
        <f>+Q11</f>
        <v>2150</v>
      </c>
      <c r="R12" s="213">
        <f>+R11</f>
        <v>2150</v>
      </c>
      <c r="S12" s="213">
        <f>+S11</f>
        <v>2150</v>
      </c>
      <c r="T12" s="213">
        <f>+T11</f>
        <v>2000</v>
      </c>
      <c r="U12" s="213">
        <f>U11-Z12</f>
        <v>645</v>
      </c>
      <c r="V12" s="213">
        <f>V11-AA12</f>
        <v>563</v>
      </c>
      <c r="W12" s="213">
        <f>W11-AB12</f>
        <v>463</v>
      </c>
      <c r="X12" s="213">
        <f>X11-AC12</f>
        <v>477</v>
      </c>
      <c r="Y12" s="213">
        <f>Y11-AD12</f>
        <v>555</v>
      </c>
      <c r="Z12" s="213">
        <v>4</v>
      </c>
      <c r="AA12" s="213">
        <v>4</v>
      </c>
      <c r="AB12" s="213">
        <v>4</v>
      </c>
      <c r="AC12" s="213">
        <v>5</v>
      </c>
      <c r="AD12" s="213">
        <v>4</v>
      </c>
      <c r="AE12" s="213">
        <f>AE11-Z12</f>
        <v>-4</v>
      </c>
      <c r="AF12" s="213">
        <f>AF11-AA12</f>
        <v>-4</v>
      </c>
      <c r="AG12" s="213">
        <f>AG11-AB12</f>
        <v>-4</v>
      </c>
      <c r="AH12" s="213">
        <f>AH11-AC12</f>
        <v>-5</v>
      </c>
      <c r="AI12" s="213">
        <f>AI11-AD12</f>
        <v>-4</v>
      </c>
      <c r="AJ12" s="78">
        <f>AJ11-AB12/1000+AK12</f>
        <v>0.76300000000000001</v>
      </c>
      <c r="AK12" s="259">
        <v>0.3</v>
      </c>
      <c r="AL12" s="259">
        <f>AL11+AK12</f>
        <v>0.3</v>
      </c>
      <c r="AM12" s="81"/>
      <c r="AN12" s="260"/>
    </row>
    <row r="13" spans="1:40" s="29" customFormat="1" ht="17.25" customHeight="1">
      <c r="A13" s="48">
        <v>3</v>
      </c>
      <c r="B13" s="49">
        <f t="shared" ref="B13:B76" si="6">B12+1</f>
        <v>45587</v>
      </c>
      <c r="C13" s="220">
        <f t="shared" ref="C13:C76" si="7">+C12</f>
        <v>1049</v>
      </c>
      <c r="D13" s="220">
        <f>D12+26</f>
        <v>2474</v>
      </c>
      <c r="E13" s="220">
        <f t="shared" ref="E13:E76" si="8">+C13+D13</f>
        <v>3523</v>
      </c>
      <c r="F13" s="220">
        <f t="shared" si="0"/>
        <v>881</v>
      </c>
      <c r="G13" s="220">
        <f t="shared" si="1"/>
        <v>814</v>
      </c>
      <c r="H13" s="220">
        <f t="shared" si="2"/>
        <v>913</v>
      </c>
      <c r="I13" s="220">
        <f t="shared" si="3"/>
        <v>901</v>
      </c>
      <c r="J13" s="220">
        <f t="shared" si="4"/>
        <v>971</v>
      </c>
      <c r="K13" s="220">
        <f t="shared" si="5"/>
        <v>2642</v>
      </c>
      <c r="L13" s="220">
        <f t="shared" si="5"/>
        <v>2709</v>
      </c>
      <c r="M13" s="220">
        <f t="shared" si="5"/>
        <v>2610</v>
      </c>
      <c r="N13" s="220">
        <f t="shared" si="5"/>
        <v>2622</v>
      </c>
      <c r="O13" s="220">
        <f t="shared" si="5"/>
        <v>2552</v>
      </c>
      <c r="P13" s="220">
        <f t="shared" ref="P13:T28" si="9">+P12</f>
        <v>2000</v>
      </c>
      <c r="Q13" s="220">
        <f t="shared" si="9"/>
        <v>2150</v>
      </c>
      <c r="R13" s="220">
        <f t="shared" si="9"/>
        <v>2150</v>
      </c>
      <c r="S13" s="220">
        <f t="shared" si="9"/>
        <v>2150</v>
      </c>
      <c r="T13" s="220">
        <f t="shared" si="9"/>
        <v>2000</v>
      </c>
      <c r="U13" s="220">
        <f t="shared" ref="U13:Y28" si="10">U12-Z13</f>
        <v>642</v>
      </c>
      <c r="V13" s="220">
        <f t="shared" si="10"/>
        <v>559</v>
      </c>
      <c r="W13" s="220">
        <f t="shared" si="10"/>
        <v>460</v>
      </c>
      <c r="X13" s="220">
        <f t="shared" si="10"/>
        <v>472</v>
      </c>
      <c r="Y13" s="220">
        <f t="shared" si="10"/>
        <v>552</v>
      </c>
      <c r="Z13" s="220">
        <v>3</v>
      </c>
      <c r="AA13" s="220">
        <v>4</v>
      </c>
      <c r="AB13" s="220">
        <v>3</v>
      </c>
      <c r="AC13" s="220">
        <v>5</v>
      </c>
      <c r="AD13" s="220">
        <v>3</v>
      </c>
      <c r="AE13" s="220">
        <f t="shared" ref="AE13:AI28" si="11">AE12-Z13</f>
        <v>-7</v>
      </c>
      <c r="AF13" s="220">
        <f t="shared" si="11"/>
        <v>-8</v>
      </c>
      <c r="AG13" s="220">
        <f t="shared" si="11"/>
        <v>-7</v>
      </c>
      <c r="AH13" s="220">
        <f t="shared" si="11"/>
        <v>-10</v>
      </c>
      <c r="AI13" s="220">
        <f t="shared" si="11"/>
        <v>-7</v>
      </c>
      <c r="AJ13" s="50">
        <f t="shared" ref="AJ13:AJ76" si="12">AJ12-AB13/1000+AK13</f>
        <v>0.76</v>
      </c>
      <c r="AK13" s="257"/>
      <c r="AL13" s="257">
        <f t="shared" ref="AL13:AL76" si="13">AL12+AK13</f>
        <v>0.3</v>
      </c>
      <c r="AM13" s="52"/>
      <c r="AN13" s="88"/>
    </row>
    <row r="14" spans="1:40" s="29" customFormat="1" ht="17.25" customHeight="1">
      <c r="A14" s="48">
        <v>4</v>
      </c>
      <c r="B14" s="49">
        <f t="shared" si="6"/>
        <v>45588</v>
      </c>
      <c r="C14" s="220">
        <f t="shared" si="7"/>
        <v>1049</v>
      </c>
      <c r="D14" s="220">
        <f>D13+32</f>
        <v>2506</v>
      </c>
      <c r="E14" s="220">
        <f t="shared" si="8"/>
        <v>3555</v>
      </c>
      <c r="F14" s="220">
        <f t="shared" si="0"/>
        <v>916</v>
      </c>
      <c r="G14" s="220">
        <f t="shared" si="1"/>
        <v>853</v>
      </c>
      <c r="H14" s="220">
        <f t="shared" si="2"/>
        <v>953</v>
      </c>
      <c r="I14" s="220">
        <f t="shared" si="3"/>
        <v>938</v>
      </c>
      <c r="J14" s="220">
        <f t="shared" si="4"/>
        <v>1006</v>
      </c>
      <c r="K14" s="220">
        <f t="shared" si="5"/>
        <v>2639</v>
      </c>
      <c r="L14" s="220">
        <f t="shared" si="5"/>
        <v>2702</v>
      </c>
      <c r="M14" s="220">
        <f t="shared" si="5"/>
        <v>2602</v>
      </c>
      <c r="N14" s="220">
        <f t="shared" si="5"/>
        <v>2617</v>
      </c>
      <c r="O14" s="220">
        <f t="shared" si="5"/>
        <v>2549</v>
      </c>
      <c r="P14" s="220">
        <f t="shared" si="9"/>
        <v>2000</v>
      </c>
      <c r="Q14" s="220">
        <f t="shared" si="9"/>
        <v>2150</v>
      </c>
      <c r="R14" s="220">
        <f t="shared" si="9"/>
        <v>2150</v>
      </c>
      <c r="S14" s="220">
        <f t="shared" si="9"/>
        <v>2150</v>
      </c>
      <c r="T14" s="220">
        <f t="shared" si="9"/>
        <v>2000</v>
      </c>
      <c r="U14" s="220">
        <f t="shared" si="10"/>
        <v>639</v>
      </c>
      <c r="V14" s="220">
        <f t="shared" si="10"/>
        <v>552</v>
      </c>
      <c r="W14" s="220">
        <f t="shared" si="10"/>
        <v>452</v>
      </c>
      <c r="X14" s="220">
        <f t="shared" si="10"/>
        <v>467</v>
      </c>
      <c r="Y14" s="220">
        <f t="shared" si="10"/>
        <v>549</v>
      </c>
      <c r="Z14" s="220">
        <v>3</v>
      </c>
      <c r="AA14" s="220">
        <v>7</v>
      </c>
      <c r="AB14" s="220">
        <v>8</v>
      </c>
      <c r="AC14" s="220">
        <v>5</v>
      </c>
      <c r="AD14" s="220">
        <v>3</v>
      </c>
      <c r="AE14" s="220">
        <f t="shared" si="11"/>
        <v>-10</v>
      </c>
      <c r="AF14" s="220">
        <f t="shared" si="11"/>
        <v>-15</v>
      </c>
      <c r="AG14" s="220">
        <f t="shared" si="11"/>
        <v>-15</v>
      </c>
      <c r="AH14" s="220">
        <f t="shared" si="11"/>
        <v>-15</v>
      </c>
      <c r="AI14" s="220">
        <f t="shared" si="11"/>
        <v>-10</v>
      </c>
      <c r="AJ14" s="50">
        <f t="shared" si="12"/>
        <v>0.752</v>
      </c>
      <c r="AK14" s="257"/>
      <c r="AL14" s="257">
        <f t="shared" si="13"/>
        <v>0.3</v>
      </c>
      <c r="AM14" s="52"/>
      <c r="AN14" s="88"/>
    </row>
    <row r="15" spans="1:40" s="29" customFormat="1" ht="17.25" customHeight="1">
      <c r="A15" s="48">
        <v>5</v>
      </c>
      <c r="B15" s="49">
        <f t="shared" si="6"/>
        <v>45589</v>
      </c>
      <c r="C15" s="220">
        <f t="shared" si="7"/>
        <v>1049</v>
      </c>
      <c r="D15" s="220">
        <f>D14-18</f>
        <v>2488</v>
      </c>
      <c r="E15" s="220">
        <f t="shared" si="8"/>
        <v>3537</v>
      </c>
      <c r="F15" s="220">
        <f t="shared" si="0"/>
        <v>900</v>
      </c>
      <c r="G15" s="220">
        <f t="shared" si="1"/>
        <v>841</v>
      </c>
      <c r="H15" s="220">
        <f t="shared" si="2"/>
        <v>942</v>
      </c>
      <c r="I15" s="220">
        <f t="shared" si="3"/>
        <v>924</v>
      </c>
      <c r="J15" s="220">
        <f t="shared" si="4"/>
        <v>990</v>
      </c>
      <c r="K15" s="220">
        <f t="shared" si="5"/>
        <v>2637</v>
      </c>
      <c r="L15" s="220">
        <f t="shared" si="5"/>
        <v>2696</v>
      </c>
      <c r="M15" s="220">
        <f t="shared" si="5"/>
        <v>2595</v>
      </c>
      <c r="N15" s="220">
        <f t="shared" si="5"/>
        <v>2613</v>
      </c>
      <c r="O15" s="220">
        <f t="shared" si="5"/>
        <v>2547</v>
      </c>
      <c r="P15" s="220">
        <f t="shared" si="9"/>
        <v>2000</v>
      </c>
      <c r="Q15" s="220">
        <f t="shared" si="9"/>
        <v>2150</v>
      </c>
      <c r="R15" s="220">
        <f t="shared" si="9"/>
        <v>2150</v>
      </c>
      <c r="S15" s="220">
        <f t="shared" si="9"/>
        <v>2150</v>
      </c>
      <c r="T15" s="220">
        <f t="shared" si="9"/>
        <v>2000</v>
      </c>
      <c r="U15" s="220">
        <f t="shared" si="10"/>
        <v>637</v>
      </c>
      <c r="V15" s="220">
        <f t="shared" si="10"/>
        <v>546</v>
      </c>
      <c r="W15" s="220">
        <f t="shared" si="10"/>
        <v>445</v>
      </c>
      <c r="X15" s="220">
        <f t="shared" si="10"/>
        <v>463</v>
      </c>
      <c r="Y15" s="220">
        <f t="shared" si="10"/>
        <v>547</v>
      </c>
      <c r="Z15" s="220">
        <v>2</v>
      </c>
      <c r="AA15" s="220">
        <v>6</v>
      </c>
      <c r="AB15" s="220">
        <v>7</v>
      </c>
      <c r="AC15" s="220">
        <v>4</v>
      </c>
      <c r="AD15" s="220">
        <v>2</v>
      </c>
      <c r="AE15" s="220">
        <f t="shared" si="11"/>
        <v>-12</v>
      </c>
      <c r="AF15" s="220">
        <f t="shared" si="11"/>
        <v>-21</v>
      </c>
      <c r="AG15" s="220">
        <f t="shared" si="11"/>
        <v>-22</v>
      </c>
      <c r="AH15" s="220">
        <f t="shared" si="11"/>
        <v>-19</v>
      </c>
      <c r="AI15" s="220">
        <f t="shared" si="11"/>
        <v>-12</v>
      </c>
      <c r="AJ15" s="50">
        <f t="shared" si="12"/>
        <v>0.745</v>
      </c>
      <c r="AK15" s="257"/>
      <c r="AL15" s="257">
        <f t="shared" si="13"/>
        <v>0.3</v>
      </c>
      <c r="AM15" s="52"/>
      <c r="AN15" s="88"/>
    </row>
    <row r="16" spans="1:40" s="29" customFormat="1" ht="17.25" customHeight="1">
      <c r="A16" s="48">
        <v>6</v>
      </c>
      <c r="B16" s="49">
        <f t="shared" si="6"/>
        <v>45590</v>
      </c>
      <c r="C16" s="220">
        <f t="shared" si="7"/>
        <v>1049</v>
      </c>
      <c r="D16" s="220">
        <f>D15-26</f>
        <v>2462</v>
      </c>
      <c r="E16" s="220">
        <f t="shared" si="8"/>
        <v>3511</v>
      </c>
      <c r="F16" s="220">
        <f t="shared" si="0"/>
        <v>878</v>
      </c>
      <c r="G16" s="220">
        <f t="shared" si="1"/>
        <v>824</v>
      </c>
      <c r="H16" s="220">
        <f t="shared" si="2"/>
        <v>925</v>
      </c>
      <c r="I16" s="220">
        <f t="shared" si="3"/>
        <v>907</v>
      </c>
      <c r="J16" s="220">
        <f t="shared" si="4"/>
        <v>968</v>
      </c>
      <c r="K16" s="220">
        <f t="shared" si="5"/>
        <v>2633</v>
      </c>
      <c r="L16" s="220">
        <f t="shared" si="5"/>
        <v>2687</v>
      </c>
      <c r="M16" s="220">
        <f t="shared" si="5"/>
        <v>2586</v>
      </c>
      <c r="N16" s="220">
        <f t="shared" si="5"/>
        <v>2604</v>
      </c>
      <c r="O16" s="220">
        <f t="shared" si="5"/>
        <v>2543</v>
      </c>
      <c r="P16" s="220">
        <f t="shared" si="9"/>
        <v>2000</v>
      </c>
      <c r="Q16" s="220">
        <f t="shared" si="9"/>
        <v>2150</v>
      </c>
      <c r="R16" s="220">
        <f t="shared" si="9"/>
        <v>2150</v>
      </c>
      <c r="S16" s="220">
        <f t="shared" si="9"/>
        <v>2150</v>
      </c>
      <c r="T16" s="220">
        <f t="shared" si="9"/>
        <v>2000</v>
      </c>
      <c r="U16" s="220">
        <f t="shared" si="10"/>
        <v>633</v>
      </c>
      <c r="V16" s="220">
        <f t="shared" si="10"/>
        <v>537</v>
      </c>
      <c r="W16" s="220">
        <f t="shared" si="10"/>
        <v>436</v>
      </c>
      <c r="X16" s="220">
        <f t="shared" si="10"/>
        <v>454</v>
      </c>
      <c r="Y16" s="220">
        <f t="shared" si="10"/>
        <v>543</v>
      </c>
      <c r="Z16" s="220">
        <v>4</v>
      </c>
      <c r="AA16" s="220">
        <v>9</v>
      </c>
      <c r="AB16" s="220">
        <v>9</v>
      </c>
      <c r="AC16" s="220">
        <v>9</v>
      </c>
      <c r="AD16" s="220">
        <v>4</v>
      </c>
      <c r="AE16" s="220">
        <f t="shared" si="11"/>
        <v>-16</v>
      </c>
      <c r="AF16" s="220">
        <f t="shared" si="11"/>
        <v>-30</v>
      </c>
      <c r="AG16" s="220">
        <f t="shared" si="11"/>
        <v>-31</v>
      </c>
      <c r="AH16" s="220">
        <f t="shared" si="11"/>
        <v>-28</v>
      </c>
      <c r="AI16" s="220">
        <f t="shared" si="11"/>
        <v>-16</v>
      </c>
      <c r="AJ16" s="50">
        <f t="shared" si="12"/>
        <v>0.73599999999999999</v>
      </c>
      <c r="AK16" s="257"/>
      <c r="AL16" s="257">
        <f t="shared" si="13"/>
        <v>0.3</v>
      </c>
      <c r="AM16" s="52"/>
      <c r="AN16" s="88"/>
    </row>
    <row r="17" spans="1:40" s="261" customFormat="1" ht="17.25" customHeight="1">
      <c r="A17" s="76">
        <v>7</v>
      </c>
      <c r="B17" s="77">
        <f t="shared" si="6"/>
        <v>45591</v>
      </c>
      <c r="C17" s="213">
        <f t="shared" si="7"/>
        <v>1049</v>
      </c>
      <c r="D17" s="213">
        <f t="shared" ref="D17" si="14">D16+15</f>
        <v>2477</v>
      </c>
      <c r="E17" s="213">
        <f t="shared" si="8"/>
        <v>3526</v>
      </c>
      <c r="F17" s="213">
        <f t="shared" si="0"/>
        <v>896</v>
      </c>
      <c r="G17" s="213">
        <f t="shared" si="1"/>
        <v>848</v>
      </c>
      <c r="H17" s="213">
        <f t="shared" si="2"/>
        <v>948</v>
      </c>
      <c r="I17" s="213">
        <f t="shared" si="3"/>
        <v>931</v>
      </c>
      <c r="J17" s="213">
        <f t="shared" si="4"/>
        <v>986</v>
      </c>
      <c r="K17" s="213">
        <f t="shared" si="5"/>
        <v>2630</v>
      </c>
      <c r="L17" s="213">
        <f t="shared" si="5"/>
        <v>2678</v>
      </c>
      <c r="M17" s="213">
        <f t="shared" si="5"/>
        <v>2578</v>
      </c>
      <c r="N17" s="213">
        <f t="shared" si="5"/>
        <v>2595</v>
      </c>
      <c r="O17" s="213">
        <f t="shared" si="5"/>
        <v>2540</v>
      </c>
      <c r="P17" s="213">
        <f t="shared" si="9"/>
        <v>2000</v>
      </c>
      <c r="Q17" s="213">
        <f t="shared" si="9"/>
        <v>2150</v>
      </c>
      <c r="R17" s="213">
        <f t="shared" si="9"/>
        <v>2150</v>
      </c>
      <c r="S17" s="213">
        <f t="shared" si="9"/>
        <v>2150</v>
      </c>
      <c r="T17" s="213">
        <f t="shared" si="9"/>
        <v>2000</v>
      </c>
      <c r="U17" s="213">
        <f t="shared" si="10"/>
        <v>630</v>
      </c>
      <c r="V17" s="213">
        <f t="shared" si="10"/>
        <v>528</v>
      </c>
      <c r="W17" s="213">
        <f t="shared" si="10"/>
        <v>428</v>
      </c>
      <c r="X17" s="213">
        <f t="shared" si="10"/>
        <v>445</v>
      </c>
      <c r="Y17" s="213">
        <f t="shared" si="10"/>
        <v>540</v>
      </c>
      <c r="Z17" s="213">
        <v>3</v>
      </c>
      <c r="AA17" s="213">
        <v>9</v>
      </c>
      <c r="AB17" s="213">
        <v>8</v>
      </c>
      <c r="AC17" s="213">
        <v>9</v>
      </c>
      <c r="AD17" s="213">
        <v>3</v>
      </c>
      <c r="AE17" s="213">
        <f t="shared" si="11"/>
        <v>-19</v>
      </c>
      <c r="AF17" s="213">
        <f t="shared" si="11"/>
        <v>-39</v>
      </c>
      <c r="AG17" s="213">
        <f t="shared" si="11"/>
        <v>-39</v>
      </c>
      <c r="AH17" s="213">
        <f t="shared" si="11"/>
        <v>-37</v>
      </c>
      <c r="AI17" s="213">
        <f t="shared" si="11"/>
        <v>-19</v>
      </c>
      <c r="AJ17" s="78">
        <f t="shared" si="12"/>
        <v>1.028</v>
      </c>
      <c r="AK17" s="259">
        <v>0.3</v>
      </c>
      <c r="AL17" s="259">
        <f t="shared" si="13"/>
        <v>0.6</v>
      </c>
      <c r="AM17" s="81"/>
      <c r="AN17" s="260"/>
    </row>
    <row r="18" spans="1:40" s="29" customFormat="1" ht="17.25" customHeight="1">
      <c r="A18" s="48">
        <v>8</v>
      </c>
      <c r="B18" s="49">
        <f t="shared" si="6"/>
        <v>45592</v>
      </c>
      <c r="C18" s="220">
        <f t="shared" si="7"/>
        <v>1049</v>
      </c>
      <c r="D18" s="220">
        <f t="shared" ref="D18" si="15">D17+26</f>
        <v>2503</v>
      </c>
      <c r="E18" s="220">
        <f t="shared" si="8"/>
        <v>3552</v>
      </c>
      <c r="F18" s="220">
        <f t="shared" si="0"/>
        <v>924</v>
      </c>
      <c r="G18" s="220">
        <f t="shared" si="1"/>
        <v>882</v>
      </c>
      <c r="H18" s="220">
        <f t="shared" si="2"/>
        <v>982</v>
      </c>
      <c r="I18" s="220">
        <f t="shared" si="3"/>
        <v>965</v>
      </c>
      <c r="J18" s="220">
        <f t="shared" si="4"/>
        <v>1014</v>
      </c>
      <c r="K18" s="220">
        <f t="shared" si="5"/>
        <v>2628</v>
      </c>
      <c r="L18" s="220">
        <f t="shared" si="5"/>
        <v>2670</v>
      </c>
      <c r="M18" s="220">
        <f t="shared" si="5"/>
        <v>2570</v>
      </c>
      <c r="N18" s="220">
        <f t="shared" si="5"/>
        <v>2587</v>
      </c>
      <c r="O18" s="220">
        <f t="shared" si="5"/>
        <v>2538</v>
      </c>
      <c r="P18" s="220">
        <f t="shared" si="9"/>
        <v>2000</v>
      </c>
      <c r="Q18" s="220">
        <f t="shared" si="9"/>
        <v>2150</v>
      </c>
      <c r="R18" s="220">
        <f t="shared" si="9"/>
        <v>2150</v>
      </c>
      <c r="S18" s="220">
        <f t="shared" si="9"/>
        <v>2150</v>
      </c>
      <c r="T18" s="220">
        <f t="shared" si="9"/>
        <v>2000</v>
      </c>
      <c r="U18" s="220">
        <f t="shared" si="10"/>
        <v>628</v>
      </c>
      <c r="V18" s="220">
        <f t="shared" si="10"/>
        <v>520</v>
      </c>
      <c r="W18" s="220">
        <f t="shared" si="10"/>
        <v>420</v>
      </c>
      <c r="X18" s="220">
        <f t="shared" si="10"/>
        <v>437</v>
      </c>
      <c r="Y18" s="220">
        <f t="shared" si="10"/>
        <v>538</v>
      </c>
      <c r="Z18" s="220">
        <v>2</v>
      </c>
      <c r="AA18" s="220">
        <v>8</v>
      </c>
      <c r="AB18" s="220">
        <v>8</v>
      </c>
      <c r="AC18" s="220">
        <v>8</v>
      </c>
      <c r="AD18" s="220">
        <v>2</v>
      </c>
      <c r="AE18" s="220">
        <f t="shared" si="11"/>
        <v>-21</v>
      </c>
      <c r="AF18" s="220">
        <f t="shared" si="11"/>
        <v>-47</v>
      </c>
      <c r="AG18" s="220">
        <f t="shared" si="11"/>
        <v>-47</v>
      </c>
      <c r="AH18" s="220">
        <f t="shared" si="11"/>
        <v>-45</v>
      </c>
      <c r="AI18" s="220">
        <f t="shared" si="11"/>
        <v>-21</v>
      </c>
      <c r="AJ18" s="50">
        <f t="shared" si="12"/>
        <v>1.02</v>
      </c>
      <c r="AK18" s="257"/>
      <c r="AL18" s="257">
        <f t="shared" si="13"/>
        <v>0.6</v>
      </c>
      <c r="AM18" s="52"/>
      <c r="AN18" s="88"/>
    </row>
    <row r="19" spans="1:40" s="29" customFormat="1" ht="17.25" customHeight="1">
      <c r="A19" s="48">
        <v>9</v>
      </c>
      <c r="B19" s="49">
        <f t="shared" si="6"/>
        <v>45593</v>
      </c>
      <c r="C19" s="220">
        <f t="shared" si="7"/>
        <v>1049</v>
      </c>
      <c r="D19" s="220">
        <f t="shared" ref="D19" si="16">D18+32</f>
        <v>2535</v>
      </c>
      <c r="E19" s="220">
        <f t="shared" si="8"/>
        <v>3584</v>
      </c>
      <c r="F19" s="220">
        <f t="shared" si="0"/>
        <v>960</v>
      </c>
      <c r="G19" s="220">
        <f t="shared" si="1"/>
        <v>921</v>
      </c>
      <c r="H19" s="220">
        <f t="shared" si="2"/>
        <v>1022</v>
      </c>
      <c r="I19" s="220">
        <f t="shared" si="3"/>
        <v>1004</v>
      </c>
      <c r="J19" s="220">
        <f t="shared" si="4"/>
        <v>1050</v>
      </c>
      <c r="K19" s="220">
        <f t="shared" si="5"/>
        <v>2624</v>
      </c>
      <c r="L19" s="220">
        <f t="shared" si="5"/>
        <v>2663</v>
      </c>
      <c r="M19" s="220">
        <f t="shared" si="5"/>
        <v>2562</v>
      </c>
      <c r="N19" s="220">
        <f t="shared" si="5"/>
        <v>2580</v>
      </c>
      <c r="O19" s="220">
        <f t="shared" si="5"/>
        <v>2534</v>
      </c>
      <c r="P19" s="220">
        <f t="shared" si="9"/>
        <v>2000</v>
      </c>
      <c r="Q19" s="220">
        <f t="shared" si="9"/>
        <v>2150</v>
      </c>
      <c r="R19" s="220">
        <f t="shared" si="9"/>
        <v>2150</v>
      </c>
      <c r="S19" s="220">
        <f t="shared" si="9"/>
        <v>2150</v>
      </c>
      <c r="T19" s="220">
        <f t="shared" si="9"/>
        <v>2000</v>
      </c>
      <c r="U19" s="220">
        <f t="shared" si="10"/>
        <v>624</v>
      </c>
      <c r="V19" s="220">
        <f t="shared" si="10"/>
        <v>513</v>
      </c>
      <c r="W19" s="220">
        <f t="shared" si="10"/>
        <v>412</v>
      </c>
      <c r="X19" s="220">
        <f t="shared" si="10"/>
        <v>430</v>
      </c>
      <c r="Y19" s="220">
        <f t="shared" si="10"/>
        <v>534</v>
      </c>
      <c r="Z19" s="220">
        <v>4</v>
      </c>
      <c r="AA19" s="220">
        <v>7</v>
      </c>
      <c r="AB19" s="220">
        <v>8</v>
      </c>
      <c r="AC19" s="220">
        <v>7</v>
      </c>
      <c r="AD19" s="220">
        <v>4</v>
      </c>
      <c r="AE19" s="220">
        <f t="shared" si="11"/>
        <v>-25</v>
      </c>
      <c r="AF19" s="220">
        <f t="shared" si="11"/>
        <v>-54</v>
      </c>
      <c r="AG19" s="220">
        <f t="shared" si="11"/>
        <v>-55</v>
      </c>
      <c r="AH19" s="220">
        <f t="shared" si="11"/>
        <v>-52</v>
      </c>
      <c r="AI19" s="220">
        <f t="shared" si="11"/>
        <v>-25</v>
      </c>
      <c r="AJ19" s="50">
        <f t="shared" si="12"/>
        <v>1.012</v>
      </c>
      <c r="AK19" s="257"/>
      <c r="AL19" s="257">
        <f t="shared" si="13"/>
        <v>0.6</v>
      </c>
      <c r="AM19" s="52"/>
      <c r="AN19" s="88"/>
    </row>
    <row r="20" spans="1:40" s="29" customFormat="1" ht="17.25" customHeight="1">
      <c r="A20" s="48">
        <v>10</v>
      </c>
      <c r="B20" s="49">
        <f t="shared" si="6"/>
        <v>45594</v>
      </c>
      <c r="C20" s="220">
        <f t="shared" si="7"/>
        <v>1049</v>
      </c>
      <c r="D20" s="220">
        <f t="shared" ref="D20" si="17">D19-18</f>
        <v>2517</v>
      </c>
      <c r="E20" s="220">
        <f t="shared" si="8"/>
        <v>3566</v>
      </c>
      <c r="F20" s="220">
        <f t="shared" si="0"/>
        <v>945</v>
      </c>
      <c r="G20" s="220">
        <f t="shared" si="1"/>
        <v>912</v>
      </c>
      <c r="H20" s="220">
        <f t="shared" si="2"/>
        <v>1011</v>
      </c>
      <c r="I20" s="220">
        <f t="shared" si="3"/>
        <v>995</v>
      </c>
      <c r="J20" s="220">
        <f t="shared" si="4"/>
        <v>1035</v>
      </c>
      <c r="K20" s="220">
        <f t="shared" si="5"/>
        <v>2621</v>
      </c>
      <c r="L20" s="220">
        <f t="shared" si="5"/>
        <v>2654</v>
      </c>
      <c r="M20" s="220">
        <f t="shared" si="5"/>
        <v>2555</v>
      </c>
      <c r="N20" s="220">
        <f t="shared" si="5"/>
        <v>2571</v>
      </c>
      <c r="O20" s="220">
        <f t="shared" si="5"/>
        <v>2531</v>
      </c>
      <c r="P20" s="220">
        <f t="shared" si="9"/>
        <v>2000</v>
      </c>
      <c r="Q20" s="220">
        <f t="shared" si="9"/>
        <v>2150</v>
      </c>
      <c r="R20" s="220">
        <f t="shared" si="9"/>
        <v>2150</v>
      </c>
      <c r="S20" s="220">
        <f t="shared" si="9"/>
        <v>2150</v>
      </c>
      <c r="T20" s="220">
        <f t="shared" si="9"/>
        <v>2000</v>
      </c>
      <c r="U20" s="220">
        <f t="shared" si="10"/>
        <v>621</v>
      </c>
      <c r="V20" s="220">
        <f t="shared" si="10"/>
        <v>504</v>
      </c>
      <c r="W20" s="220">
        <f t="shared" si="10"/>
        <v>405</v>
      </c>
      <c r="X20" s="220">
        <f t="shared" si="10"/>
        <v>421</v>
      </c>
      <c r="Y20" s="220">
        <f t="shared" si="10"/>
        <v>531</v>
      </c>
      <c r="Z20" s="220">
        <v>3</v>
      </c>
      <c r="AA20" s="220">
        <v>9</v>
      </c>
      <c r="AB20" s="220">
        <v>7</v>
      </c>
      <c r="AC20" s="220">
        <v>9</v>
      </c>
      <c r="AD20" s="220">
        <v>3</v>
      </c>
      <c r="AE20" s="220">
        <f t="shared" si="11"/>
        <v>-28</v>
      </c>
      <c r="AF20" s="220">
        <f t="shared" si="11"/>
        <v>-63</v>
      </c>
      <c r="AG20" s="220">
        <f t="shared" si="11"/>
        <v>-62</v>
      </c>
      <c r="AH20" s="220">
        <f t="shared" si="11"/>
        <v>-61</v>
      </c>
      <c r="AI20" s="220">
        <f t="shared" si="11"/>
        <v>-28</v>
      </c>
      <c r="AJ20" s="50">
        <f t="shared" si="12"/>
        <v>1.0050000000000001</v>
      </c>
      <c r="AK20" s="257"/>
      <c r="AL20" s="257">
        <f t="shared" si="13"/>
        <v>0.6</v>
      </c>
      <c r="AM20" s="52"/>
      <c r="AN20" s="88"/>
    </row>
    <row r="21" spans="1:40" s="29" customFormat="1" ht="17.25" customHeight="1">
      <c r="A21" s="48">
        <v>11</v>
      </c>
      <c r="B21" s="49">
        <f t="shared" si="6"/>
        <v>45595</v>
      </c>
      <c r="C21" s="220">
        <f t="shared" si="7"/>
        <v>1049</v>
      </c>
      <c r="D21" s="220">
        <f t="shared" ref="D21" si="18">D20-26</f>
        <v>2491</v>
      </c>
      <c r="E21" s="220">
        <f t="shared" si="8"/>
        <v>3540</v>
      </c>
      <c r="F21" s="220">
        <f t="shared" si="0"/>
        <v>924</v>
      </c>
      <c r="G21" s="220">
        <f t="shared" si="1"/>
        <v>895</v>
      </c>
      <c r="H21" s="220">
        <f t="shared" si="2"/>
        <v>992</v>
      </c>
      <c r="I21" s="220">
        <f t="shared" si="3"/>
        <v>978</v>
      </c>
      <c r="J21" s="220">
        <f t="shared" si="4"/>
        <v>1014</v>
      </c>
      <c r="K21" s="220">
        <f t="shared" si="5"/>
        <v>2616</v>
      </c>
      <c r="L21" s="220">
        <f t="shared" si="5"/>
        <v>2645</v>
      </c>
      <c r="M21" s="220">
        <f t="shared" si="5"/>
        <v>2548</v>
      </c>
      <c r="N21" s="220">
        <f t="shared" si="5"/>
        <v>2562</v>
      </c>
      <c r="O21" s="220">
        <f t="shared" si="5"/>
        <v>2526</v>
      </c>
      <c r="P21" s="220">
        <f t="shared" si="9"/>
        <v>2000</v>
      </c>
      <c r="Q21" s="220">
        <f t="shared" si="9"/>
        <v>2150</v>
      </c>
      <c r="R21" s="220">
        <f t="shared" si="9"/>
        <v>2150</v>
      </c>
      <c r="S21" s="220">
        <f t="shared" si="9"/>
        <v>2150</v>
      </c>
      <c r="T21" s="220">
        <f t="shared" si="9"/>
        <v>2000</v>
      </c>
      <c r="U21" s="220">
        <f t="shared" si="10"/>
        <v>616</v>
      </c>
      <c r="V21" s="220">
        <f t="shared" si="10"/>
        <v>495</v>
      </c>
      <c r="W21" s="220">
        <f t="shared" si="10"/>
        <v>398</v>
      </c>
      <c r="X21" s="220">
        <f t="shared" si="10"/>
        <v>412</v>
      </c>
      <c r="Y21" s="220">
        <f t="shared" si="10"/>
        <v>526</v>
      </c>
      <c r="Z21" s="220">
        <v>5</v>
      </c>
      <c r="AA21" s="220">
        <v>9</v>
      </c>
      <c r="AB21" s="220">
        <v>7</v>
      </c>
      <c r="AC21" s="220">
        <v>9</v>
      </c>
      <c r="AD21" s="220">
        <v>5</v>
      </c>
      <c r="AE21" s="220">
        <f t="shared" si="11"/>
        <v>-33</v>
      </c>
      <c r="AF21" s="220">
        <f t="shared" si="11"/>
        <v>-72</v>
      </c>
      <c r="AG21" s="220">
        <f t="shared" si="11"/>
        <v>-69</v>
      </c>
      <c r="AH21" s="220">
        <f t="shared" si="11"/>
        <v>-70</v>
      </c>
      <c r="AI21" s="220">
        <f t="shared" si="11"/>
        <v>-33</v>
      </c>
      <c r="AJ21" s="50">
        <f t="shared" si="12"/>
        <v>0.99800000000000011</v>
      </c>
      <c r="AK21" s="257"/>
      <c r="AL21" s="257">
        <f t="shared" si="13"/>
        <v>0.6</v>
      </c>
      <c r="AM21" s="52"/>
      <c r="AN21" s="88"/>
    </row>
    <row r="22" spans="1:40" s="261" customFormat="1" ht="17.25" customHeight="1">
      <c r="A22" s="76">
        <v>12</v>
      </c>
      <c r="B22" s="77">
        <f t="shared" si="6"/>
        <v>45596</v>
      </c>
      <c r="C22" s="213">
        <f t="shared" si="7"/>
        <v>1049</v>
      </c>
      <c r="D22" s="213">
        <f t="shared" ref="D22" si="19">D21+15</f>
        <v>2506</v>
      </c>
      <c r="E22" s="213">
        <f t="shared" si="8"/>
        <v>3555</v>
      </c>
      <c r="F22" s="213">
        <f t="shared" si="0"/>
        <v>943</v>
      </c>
      <c r="G22" s="213">
        <f t="shared" si="1"/>
        <v>918</v>
      </c>
      <c r="H22" s="213">
        <f t="shared" si="2"/>
        <v>1013</v>
      </c>
      <c r="I22" s="213">
        <f t="shared" si="3"/>
        <v>1001</v>
      </c>
      <c r="J22" s="213">
        <f t="shared" si="4"/>
        <v>1036</v>
      </c>
      <c r="K22" s="213">
        <f t="shared" si="5"/>
        <v>2612</v>
      </c>
      <c r="L22" s="213">
        <f t="shared" si="5"/>
        <v>2637</v>
      </c>
      <c r="M22" s="213">
        <f t="shared" si="5"/>
        <v>2542</v>
      </c>
      <c r="N22" s="213">
        <f t="shared" si="5"/>
        <v>2554</v>
      </c>
      <c r="O22" s="213">
        <f t="shared" si="5"/>
        <v>2519</v>
      </c>
      <c r="P22" s="213">
        <f t="shared" si="9"/>
        <v>2000</v>
      </c>
      <c r="Q22" s="213">
        <f t="shared" si="9"/>
        <v>2150</v>
      </c>
      <c r="R22" s="213">
        <f t="shared" si="9"/>
        <v>2150</v>
      </c>
      <c r="S22" s="213">
        <f t="shared" si="9"/>
        <v>2150</v>
      </c>
      <c r="T22" s="213">
        <f t="shared" si="9"/>
        <v>2000</v>
      </c>
      <c r="U22" s="213">
        <f t="shared" si="10"/>
        <v>612</v>
      </c>
      <c r="V22" s="213">
        <f t="shared" si="10"/>
        <v>487</v>
      </c>
      <c r="W22" s="213">
        <f t="shared" si="10"/>
        <v>392</v>
      </c>
      <c r="X22" s="213">
        <f t="shared" si="10"/>
        <v>404</v>
      </c>
      <c r="Y22" s="213">
        <f t="shared" si="10"/>
        <v>519</v>
      </c>
      <c r="Z22" s="213">
        <v>4</v>
      </c>
      <c r="AA22" s="213">
        <v>8</v>
      </c>
      <c r="AB22" s="213">
        <v>6</v>
      </c>
      <c r="AC22" s="213">
        <v>8</v>
      </c>
      <c r="AD22" s="213">
        <v>7</v>
      </c>
      <c r="AE22" s="213">
        <f t="shared" si="11"/>
        <v>-37</v>
      </c>
      <c r="AF22" s="213">
        <f t="shared" si="11"/>
        <v>-80</v>
      </c>
      <c r="AG22" s="213">
        <f t="shared" si="11"/>
        <v>-75</v>
      </c>
      <c r="AH22" s="213">
        <f t="shared" si="11"/>
        <v>-78</v>
      </c>
      <c r="AI22" s="213">
        <f t="shared" si="11"/>
        <v>-40</v>
      </c>
      <c r="AJ22" s="78">
        <f t="shared" si="12"/>
        <v>1.292</v>
      </c>
      <c r="AK22" s="259">
        <v>0.3</v>
      </c>
      <c r="AL22" s="259">
        <f t="shared" si="13"/>
        <v>0.89999999999999991</v>
      </c>
      <c r="AM22" s="81"/>
      <c r="AN22" s="260"/>
    </row>
    <row r="23" spans="1:40" s="29" customFormat="1" ht="17.25" customHeight="1">
      <c r="A23" s="48">
        <v>13</v>
      </c>
      <c r="B23" s="49">
        <f t="shared" si="6"/>
        <v>45597</v>
      </c>
      <c r="C23" s="220">
        <f t="shared" si="7"/>
        <v>1049</v>
      </c>
      <c r="D23" s="220">
        <f t="shared" ref="D23" si="20">D22+26</f>
        <v>2532</v>
      </c>
      <c r="E23" s="220">
        <f t="shared" si="8"/>
        <v>3581</v>
      </c>
      <c r="F23" s="220">
        <f t="shared" si="0"/>
        <v>972</v>
      </c>
      <c r="G23" s="220">
        <f t="shared" si="1"/>
        <v>951</v>
      </c>
      <c r="H23" s="220">
        <f t="shared" si="2"/>
        <v>1045</v>
      </c>
      <c r="I23" s="220">
        <f t="shared" si="3"/>
        <v>1034</v>
      </c>
      <c r="J23" s="220">
        <f t="shared" si="4"/>
        <v>1069</v>
      </c>
      <c r="K23" s="220">
        <f t="shared" si="5"/>
        <v>2609</v>
      </c>
      <c r="L23" s="220">
        <f t="shared" si="5"/>
        <v>2630</v>
      </c>
      <c r="M23" s="220">
        <f t="shared" si="5"/>
        <v>2536</v>
      </c>
      <c r="N23" s="220">
        <f t="shared" si="5"/>
        <v>2547</v>
      </c>
      <c r="O23" s="220">
        <f t="shared" si="5"/>
        <v>2512</v>
      </c>
      <c r="P23" s="220">
        <f t="shared" si="9"/>
        <v>2000</v>
      </c>
      <c r="Q23" s="220">
        <f t="shared" si="9"/>
        <v>2150</v>
      </c>
      <c r="R23" s="220">
        <f t="shared" si="9"/>
        <v>2150</v>
      </c>
      <c r="S23" s="220">
        <f t="shared" si="9"/>
        <v>2150</v>
      </c>
      <c r="T23" s="220">
        <f t="shared" si="9"/>
        <v>2000</v>
      </c>
      <c r="U23" s="220">
        <f t="shared" si="10"/>
        <v>609</v>
      </c>
      <c r="V23" s="220">
        <f t="shared" si="10"/>
        <v>480</v>
      </c>
      <c r="W23" s="220">
        <f t="shared" si="10"/>
        <v>386</v>
      </c>
      <c r="X23" s="220">
        <f t="shared" si="10"/>
        <v>397</v>
      </c>
      <c r="Y23" s="220">
        <f t="shared" si="10"/>
        <v>512</v>
      </c>
      <c r="Z23" s="220">
        <v>3</v>
      </c>
      <c r="AA23" s="220">
        <v>7</v>
      </c>
      <c r="AB23" s="220">
        <v>6</v>
      </c>
      <c r="AC23" s="220">
        <v>7</v>
      </c>
      <c r="AD23" s="220">
        <v>7</v>
      </c>
      <c r="AE23" s="220">
        <f t="shared" si="11"/>
        <v>-40</v>
      </c>
      <c r="AF23" s="220">
        <f t="shared" si="11"/>
        <v>-87</v>
      </c>
      <c r="AG23" s="220">
        <f t="shared" si="11"/>
        <v>-81</v>
      </c>
      <c r="AH23" s="220">
        <f t="shared" si="11"/>
        <v>-85</v>
      </c>
      <c r="AI23" s="220">
        <f t="shared" si="11"/>
        <v>-47</v>
      </c>
      <c r="AJ23" s="50">
        <f t="shared" si="12"/>
        <v>1.286</v>
      </c>
      <c r="AK23" s="257"/>
      <c r="AL23" s="257">
        <f t="shared" si="13"/>
        <v>0.89999999999999991</v>
      </c>
      <c r="AM23" s="52"/>
      <c r="AN23" s="88"/>
    </row>
    <row r="24" spans="1:40" s="29" customFormat="1" ht="17.25" customHeight="1">
      <c r="A24" s="48">
        <v>14</v>
      </c>
      <c r="B24" s="49">
        <f t="shared" si="6"/>
        <v>45598</v>
      </c>
      <c r="C24" s="220">
        <f t="shared" si="7"/>
        <v>1049</v>
      </c>
      <c r="D24" s="220">
        <f t="shared" ref="D24" si="21">D23+32</f>
        <v>2564</v>
      </c>
      <c r="E24" s="220">
        <f t="shared" si="8"/>
        <v>3613</v>
      </c>
      <c r="F24" s="220">
        <f t="shared" si="0"/>
        <v>1008</v>
      </c>
      <c r="G24" s="220">
        <f t="shared" si="1"/>
        <v>988</v>
      </c>
      <c r="H24" s="220">
        <f t="shared" si="2"/>
        <v>1082</v>
      </c>
      <c r="I24" s="220">
        <f t="shared" si="3"/>
        <v>1071</v>
      </c>
      <c r="J24" s="220">
        <f t="shared" si="4"/>
        <v>1108</v>
      </c>
      <c r="K24" s="220">
        <f t="shared" si="5"/>
        <v>2605</v>
      </c>
      <c r="L24" s="220">
        <f t="shared" si="5"/>
        <v>2625</v>
      </c>
      <c r="M24" s="220">
        <f t="shared" si="5"/>
        <v>2531</v>
      </c>
      <c r="N24" s="220">
        <f t="shared" si="5"/>
        <v>2542</v>
      </c>
      <c r="O24" s="220">
        <f t="shared" si="5"/>
        <v>2505</v>
      </c>
      <c r="P24" s="220">
        <f t="shared" si="9"/>
        <v>2000</v>
      </c>
      <c r="Q24" s="220">
        <f t="shared" si="9"/>
        <v>2150</v>
      </c>
      <c r="R24" s="220">
        <f t="shared" si="9"/>
        <v>2150</v>
      </c>
      <c r="S24" s="220">
        <f t="shared" si="9"/>
        <v>2150</v>
      </c>
      <c r="T24" s="220">
        <f t="shared" si="9"/>
        <v>2000</v>
      </c>
      <c r="U24" s="220">
        <f t="shared" si="10"/>
        <v>605</v>
      </c>
      <c r="V24" s="220">
        <f t="shared" si="10"/>
        <v>475</v>
      </c>
      <c r="W24" s="220">
        <f t="shared" si="10"/>
        <v>381</v>
      </c>
      <c r="X24" s="220">
        <f t="shared" si="10"/>
        <v>392</v>
      </c>
      <c r="Y24" s="220">
        <f t="shared" si="10"/>
        <v>505</v>
      </c>
      <c r="Z24" s="220">
        <v>4</v>
      </c>
      <c r="AA24" s="220">
        <v>5</v>
      </c>
      <c r="AB24" s="220">
        <v>5</v>
      </c>
      <c r="AC24" s="220">
        <v>5</v>
      </c>
      <c r="AD24" s="220">
        <v>7</v>
      </c>
      <c r="AE24" s="220">
        <f t="shared" si="11"/>
        <v>-44</v>
      </c>
      <c r="AF24" s="220">
        <f t="shared" si="11"/>
        <v>-92</v>
      </c>
      <c r="AG24" s="220">
        <f t="shared" si="11"/>
        <v>-86</v>
      </c>
      <c r="AH24" s="220">
        <f t="shared" si="11"/>
        <v>-90</v>
      </c>
      <c r="AI24" s="220">
        <f t="shared" si="11"/>
        <v>-54</v>
      </c>
      <c r="AJ24" s="50">
        <f t="shared" si="12"/>
        <v>1.2810000000000001</v>
      </c>
      <c r="AK24" s="257"/>
      <c r="AL24" s="257">
        <f t="shared" si="13"/>
        <v>0.89999999999999991</v>
      </c>
      <c r="AM24" s="52"/>
      <c r="AN24" s="88"/>
    </row>
    <row r="25" spans="1:40" s="29" customFormat="1" ht="17.25" customHeight="1">
      <c r="A25" s="48">
        <v>15</v>
      </c>
      <c r="B25" s="49">
        <f t="shared" si="6"/>
        <v>45599</v>
      </c>
      <c r="C25" s="220">
        <f t="shared" si="7"/>
        <v>1049</v>
      </c>
      <c r="D25" s="220">
        <f t="shared" ref="D25" si="22">D24-18</f>
        <v>2546</v>
      </c>
      <c r="E25" s="220">
        <f t="shared" si="8"/>
        <v>3595</v>
      </c>
      <c r="F25" s="220">
        <f t="shared" si="0"/>
        <v>993</v>
      </c>
      <c r="G25" s="220">
        <f t="shared" si="1"/>
        <v>979</v>
      </c>
      <c r="H25" s="220">
        <f t="shared" si="2"/>
        <v>1069</v>
      </c>
      <c r="I25" s="220">
        <f t="shared" si="3"/>
        <v>1062</v>
      </c>
      <c r="J25" s="220">
        <f t="shared" si="4"/>
        <v>1096</v>
      </c>
      <c r="K25" s="220">
        <f t="shared" si="5"/>
        <v>2602</v>
      </c>
      <c r="L25" s="220">
        <f t="shared" si="5"/>
        <v>2616</v>
      </c>
      <c r="M25" s="220">
        <f t="shared" si="5"/>
        <v>2526</v>
      </c>
      <c r="N25" s="220">
        <f t="shared" si="5"/>
        <v>2533</v>
      </c>
      <c r="O25" s="220">
        <f t="shared" si="5"/>
        <v>2499</v>
      </c>
      <c r="P25" s="220">
        <f t="shared" si="9"/>
        <v>2000</v>
      </c>
      <c r="Q25" s="220">
        <f t="shared" si="9"/>
        <v>2150</v>
      </c>
      <c r="R25" s="220">
        <f t="shared" si="9"/>
        <v>2150</v>
      </c>
      <c r="S25" s="220">
        <f t="shared" si="9"/>
        <v>2150</v>
      </c>
      <c r="T25" s="220">
        <f t="shared" si="9"/>
        <v>2000</v>
      </c>
      <c r="U25" s="220">
        <f t="shared" si="10"/>
        <v>602</v>
      </c>
      <c r="V25" s="220">
        <f t="shared" si="10"/>
        <v>466</v>
      </c>
      <c r="W25" s="220">
        <f t="shared" si="10"/>
        <v>376</v>
      </c>
      <c r="X25" s="220">
        <f t="shared" si="10"/>
        <v>383</v>
      </c>
      <c r="Y25" s="220">
        <f t="shared" si="10"/>
        <v>499</v>
      </c>
      <c r="Z25" s="220">
        <v>3</v>
      </c>
      <c r="AA25" s="220">
        <v>9</v>
      </c>
      <c r="AB25" s="220">
        <v>5</v>
      </c>
      <c r="AC25" s="220">
        <v>9</v>
      </c>
      <c r="AD25" s="220">
        <v>6</v>
      </c>
      <c r="AE25" s="220">
        <f t="shared" si="11"/>
        <v>-47</v>
      </c>
      <c r="AF25" s="220">
        <f t="shared" si="11"/>
        <v>-101</v>
      </c>
      <c r="AG25" s="220">
        <f t="shared" si="11"/>
        <v>-91</v>
      </c>
      <c r="AH25" s="220">
        <f t="shared" si="11"/>
        <v>-99</v>
      </c>
      <c r="AI25" s="220">
        <f t="shared" si="11"/>
        <v>-60</v>
      </c>
      <c r="AJ25" s="50">
        <f t="shared" si="12"/>
        <v>1.2760000000000002</v>
      </c>
      <c r="AK25" s="257"/>
      <c r="AL25" s="257">
        <f t="shared" si="13"/>
        <v>0.89999999999999991</v>
      </c>
      <c r="AM25" s="52"/>
      <c r="AN25" s="88"/>
    </row>
    <row r="26" spans="1:40" s="261" customFormat="1" ht="17.25" customHeight="1">
      <c r="A26" s="76">
        <v>16</v>
      </c>
      <c r="B26" s="77">
        <f t="shared" si="6"/>
        <v>45600</v>
      </c>
      <c r="C26" s="213">
        <f t="shared" si="7"/>
        <v>1049</v>
      </c>
      <c r="D26" s="213">
        <f t="shared" ref="D26" si="23">D25-26</f>
        <v>2520</v>
      </c>
      <c r="E26" s="213">
        <f t="shared" si="8"/>
        <v>3569</v>
      </c>
      <c r="F26" s="213">
        <f t="shared" si="0"/>
        <v>974</v>
      </c>
      <c r="G26" s="213">
        <f t="shared" si="1"/>
        <v>962</v>
      </c>
      <c r="H26" s="213">
        <f t="shared" si="2"/>
        <v>1052</v>
      </c>
      <c r="I26" s="213">
        <f t="shared" si="3"/>
        <v>1045</v>
      </c>
      <c r="J26" s="213">
        <f t="shared" si="4"/>
        <v>1075</v>
      </c>
      <c r="K26" s="213">
        <f t="shared" si="5"/>
        <v>2595</v>
      </c>
      <c r="L26" s="213">
        <f t="shared" si="5"/>
        <v>2607</v>
      </c>
      <c r="M26" s="213">
        <f t="shared" si="5"/>
        <v>2517</v>
      </c>
      <c r="N26" s="213">
        <f t="shared" si="5"/>
        <v>2524</v>
      </c>
      <c r="O26" s="213">
        <f t="shared" si="5"/>
        <v>2494</v>
      </c>
      <c r="P26" s="213">
        <f t="shared" si="9"/>
        <v>2000</v>
      </c>
      <c r="Q26" s="213">
        <f t="shared" si="9"/>
        <v>2150</v>
      </c>
      <c r="R26" s="213">
        <f t="shared" si="9"/>
        <v>2150</v>
      </c>
      <c r="S26" s="213">
        <f t="shared" si="9"/>
        <v>2150</v>
      </c>
      <c r="T26" s="213">
        <f t="shared" si="9"/>
        <v>2000</v>
      </c>
      <c r="U26" s="213">
        <f t="shared" si="10"/>
        <v>595</v>
      </c>
      <c r="V26" s="213">
        <f t="shared" si="10"/>
        <v>457</v>
      </c>
      <c r="W26" s="213">
        <f t="shared" si="10"/>
        <v>367</v>
      </c>
      <c r="X26" s="213">
        <f t="shared" si="10"/>
        <v>374</v>
      </c>
      <c r="Y26" s="213">
        <f t="shared" si="10"/>
        <v>494</v>
      </c>
      <c r="Z26" s="213">
        <v>7</v>
      </c>
      <c r="AA26" s="213">
        <v>9</v>
      </c>
      <c r="AB26" s="213">
        <v>9</v>
      </c>
      <c r="AC26" s="213">
        <v>9</v>
      </c>
      <c r="AD26" s="213">
        <v>5</v>
      </c>
      <c r="AE26" s="213">
        <f t="shared" si="11"/>
        <v>-54</v>
      </c>
      <c r="AF26" s="213">
        <f t="shared" si="11"/>
        <v>-110</v>
      </c>
      <c r="AG26" s="213">
        <f t="shared" si="11"/>
        <v>-100</v>
      </c>
      <c r="AH26" s="213">
        <f t="shared" si="11"/>
        <v>-108</v>
      </c>
      <c r="AI26" s="213">
        <f t="shared" si="11"/>
        <v>-65</v>
      </c>
      <c r="AJ26" s="78">
        <f t="shared" si="12"/>
        <v>1.5670000000000004</v>
      </c>
      <c r="AK26" s="259">
        <v>0.3</v>
      </c>
      <c r="AL26" s="259">
        <f t="shared" si="13"/>
        <v>1.2</v>
      </c>
      <c r="AM26" s="81"/>
      <c r="AN26" s="260"/>
    </row>
    <row r="27" spans="1:40" s="29" customFormat="1" ht="17.25" customHeight="1">
      <c r="A27" s="48">
        <v>17</v>
      </c>
      <c r="B27" s="49">
        <f t="shared" si="6"/>
        <v>45601</v>
      </c>
      <c r="C27" s="220">
        <f t="shared" si="7"/>
        <v>1049</v>
      </c>
      <c r="D27" s="220">
        <f t="shared" ref="D27" si="24">D26+15</f>
        <v>2535</v>
      </c>
      <c r="E27" s="220">
        <f t="shared" si="8"/>
        <v>3584</v>
      </c>
      <c r="F27" s="220">
        <f t="shared" si="0"/>
        <v>997</v>
      </c>
      <c r="G27" s="220">
        <f t="shared" si="1"/>
        <v>986</v>
      </c>
      <c r="H27" s="220">
        <f t="shared" si="2"/>
        <v>1076</v>
      </c>
      <c r="I27" s="220">
        <f t="shared" si="3"/>
        <v>1069</v>
      </c>
      <c r="J27" s="220">
        <f t="shared" si="4"/>
        <v>1098</v>
      </c>
      <c r="K27" s="220">
        <f t="shared" si="5"/>
        <v>2587</v>
      </c>
      <c r="L27" s="220">
        <f t="shared" si="5"/>
        <v>2598</v>
      </c>
      <c r="M27" s="220">
        <f t="shared" si="5"/>
        <v>2508</v>
      </c>
      <c r="N27" s="220">
        <f t="shared" si="5"/>
        <v>2515</v>
      </c>
      <c r="O27" s="220">
        <f t="shared" si="5"/>
        <v>2486</v>
      </c>
      <c r="P27" s="220">
        <f t="shared" si="9"/>
        <v>2000</v>
      </c>
      <c r="Q27" s="220">
        <f t="shared" si="9"/>
        <v>2150</v>
      </c>
      <c r="R27" s="220">
        <f t="shared" si="9"/>
        <v>2150</v>
      </c>
      <c r="S27" s="220">
        <f t="shared" si="9"/>
        <v>2150</v>
      </c>
      <c r="T27" s="220">
        <f t="shared" si="9"/>
        <v>2000</v>
      </c>
      <c r="U27" s="220">
        <f t="shared" si="10"/>
        <v>587</v>
      </c>
      <c r="V27" s="220">
        <f t="shared" si="10"/>
        <v>448</v>
      </c>
      <c r="W27" s="220">
        <f t="shared" si="10"/>
        <v>358</v>
      </c>
      <c r="X27" s="220">
        <f t="shared" si="10"/>
        <v>365</v>
      </c>
      <c r="Y27" s="220">
        <f t="shared" si="10"/>
        <v>486</v>
      </c>
      <c r="Z27" s="220">
        <v>8</v>
      </c>
      <c r="AA27" s="220">
        <v>9</v>
      </c>
      <c r="AB27" s="220">
        <v>9</v>
      </c>
      <c r="AC27" s="220">
        <v>9</v>
      </c>
      <c r="AD27" s="220">
        <v>8</v>
      </c>
      <c r="AE27" s="220">
        <f t="shared" si="11"/>
        <v>-62</v>
      </c>
      <c r="AF27" s="220">
        <f t="shared" si="11"/>
        <v>-119</v>
      </c>
      <c r="AG27" s="220">
        <f t="shared" si="11"/>
        <v>-109</v>
      </c>
      <c r="AH27" s="220">
        <f t="shared" si="11"/>
        <v>-117</v>
      </c>
      <c r="AI27" s="220">
        <f t="shared" si="11"/>
        <v>-73</v>
      </c>
      <c r="AJ27" s="50">
        <f t="shared" si="12"/>
        <v>1.5580000000000005</v>
      </c>
      <c r="AK27" s="257"/>
      <c r="AL27" s="257">
        <f t="shared" si="13"/>
        <v>1.2</v>
      </c>
      <c r="AM27" s="52"/>
      <c r="AN27" s="88"/>
    </row>
    <row r="28" spans="1:40" s="29" customFormat="1" ht="17.25" customHeight="1">
      <c r="A28" s="48">
        <v>18</v>
      </c>
      <c r="B28" s="49">
        <f t="shared" si="6"/>
        <v>45602</v>
      </c>
      <c r="C28" s="220">
        <f t="shared" si="7"/>
        <v>1049</v>
      </c>
      <c r="D28" s="220">
        <f t="shared" ref="D28" si="25">D27+26</f>
        <v>2561</v>
      </c>
      <c r="E28" s="220">
        <f t="shared" si="8"/>
        <v>3610</v>
      </c>
      <c r="F28" s="220">
        <f t="shared" si="0"/>
        <v>1030</v>
      </c>
      <c r="G28" s="220">
        <f t="shared" si="1"/>
        <v>1021</v>
      </c>
      <c r="H28" s="220">
        <f t="shared" si="2"/>
        <v>1110</v>
      </c>
      <c r="I28" s="220">
        <f t="shared" si="3"/>
        <v>1103</v>
      </c>
      <c r="J28" s="220">
        <f t="shared" si="4"/>
        <v>1131</v>
      </c>
      <c r="K28" s="220">
        <f t="shared" si="5"/>
        <v>2580</v>
      </c>
      <c r="L28" s="220">
        <f t="shared" si="5"/>
        <v>2589</v>
      </c>
      <c r="M28" s="220">
        <f t="shared" si="5"/>
        <v>2500</v>
      </c>
      <c r="N28" s="220">
        <f t="shared" si="5"/>
        <v>2507</v>
      </c>
      <c r="O28" s="220">
        <f t="shared" si="5"/>
        <v>2479</v>
      </c>
      <c r="P28" s="220">
        <f t="shared" si="9"/>
        <v>2000</v>
      </c>
      <c r="Q28" s="220">
        <f t="shared" si="9"/>
        <v>2150</v>
      </c>
      <c r="R28" s="220">
        <f t="shared" si="9"/>
        <v>2150</v>
      </c>
      <c r="S28" s="220">
        <f t="shared" si="9"/>
        <v>2150</v>
      </c>
      <c r="T28" s="220">
        <f t="shared" si="9"/>
        <v>2000</v>
      </c>
      <c r="U28" s="220">
        <f t="shared" si="10"/>
        <v>580</v>
      </c>
      <c r="V28" s="220">
        <f t="shared" si="10"/>
        <v>439</v>
      </c>
      <c r="W28" s="220">
        <f t="shared" si="10"/>
        <v>350</v>
      </c>
      <c r="X28" s="220">
        <f t="shared" si="10"/>
        <v>357</v>
      </c>
      <c r="Y28" s="220">
        <f t="shared" si="10"/>
        <v>479</v>
      </c>
      <c r="Z28" s="220">
        <v>7</v>
      </c>
      <c r="AA28" s="220">
        <v>9</v>
      </c>
      <c r="AB28" s="220">
        <v>8</v>
      </c>
      <c r="AC28" s="220">
        <v>8</v>
      </c>
      <c r="AD28" s="220">
        <v>7</v>
      </c>
      <c r="AE28" s="220">
        <f t="shared" si="11"/>
        <v>-69</v>
      </c>
      <c r="AF28" s="220">
        <f t="shared" si="11"/>
        <v>-128</v>
      </c>
      <c r="AG28" s="220">
        <f t="shared" si="11"/>
        <v>-117</v>
      </c>
      <c r="AH28" s="220">
        <f t="shared" si="11"/>
        <v>-125</v>
      </c>
      <c r="AI28" s="220">
        <f t="shared" si="11"/>
        <v>-80</v>
      </c>
      <c r="AJ28" s="50">
        <f t="shared" si="12"/>
        <v>1.5500000000000005</v>
      </c>
      <c r="AK28" s="257"/>
      <c r="AL28" s="257">
        <f t="shared" si="13"/>
        <v>1.2</v>
      </c>
      <c r="AM28" s="52"/>
      <c r="AN28" s="88"/>
    </row>
    <row r="29" spans="1:40" s="29" customFormat="1" ht="17.25" customHeight="1">
      <c r="A29" s="48">
        <v>19</v>
      </c>
      <c r="B29" s="49">
        <f t="shared" si="6"/>
        <v>45603</v>
      </c>
      <c r="C29" s="220">
        <f t="shared" si="7"/>
        <v>1049</v>
      </c>
      <c r="D29" s="220">
        <f t="shared" ref="D29" si="26">D28+32</f>
        <v>2593</v>
      </c>
      <c r="E29" s="220">
        <f t="shared" si="8"/>
        <v>3642</v>
      </c>
      <c r="F29" s="220">
        <f t="shared" si="0"/>
        <v>1069</v>
      </c>
      <c r="G29" s="220">
        <f t="shared" si="1"/>
        <v>1061</v>
      </c>
      <c r="H29" s="220">
        <f t="shared" si="2"/>
        <v>1151</v>
      </c>
      <c r="I29" s="220">
        <f t="shared" si="3"/>
        <v>1143</v>
      </c>
      <c r="J29" s="220">
        <f t="shared" si="4"/>
        <v>1170</v>
      </c>
      <c r="K29" s="220">
        <f t="shared" si="5"/>
        <v>2573</v>
      </c>
      <c r="L29" s="220">
        <f t="shared" si="5"/>
        <v>2581</v>
      </c>
      <c r="M29" s="220">
        <f t="shared" si="5"/>
        <v>2491</v>
      </c>
      <c r="N29" s="220">
        <f t="shared" si="5"/>
        <v>2499</v>
      </c>
      <c r="O29" s="220">
        <f t="shared" si="5"/>
        <v>2472</v>
      </c>
      <c r="P29" s="220">
        <f t="shared" ref="P29:T44" si="27">+P28</f>
        <v>2000</v>
      </c>
      <c r="Q29" s="220">
        <f t="shared" si="27"/>
        <v>2150</v>
      </c>
      <c r="R29" s="220">
        <f t="shared" si="27"/>
        <v>2150</v>
      </c>
      <c r="S29" s="220">
        <f t="shared" si="27"/>
        <v>2150</v>
      </c>
      <c r="T29" s="220">
        <f t="shared" si="27"/>
        <v>2000</v>
      </c>
      <c r="U29" s="220">
        <f t="shared" ref="U29:Y44" si="28">U28-Z29</f>
        <v>573</v>
      </c>
      <c r="V29" s="220">
        <f t="shared" si="28"/>
        <v>431</v>
      </c>
      <c r="W29" s="220">
        <f t="shared" si="28"/>
        <v>341</v>
      </c>
      <c r="X29" s="220">
        <f t="shared" si="28"/>
        <v>349</v>
      </c>
      <c r="Y29" s="220">
        <f t="shared" si="28"/>
        <v>472</v>
      </c>
      <c r="Z29" s="220">
        <v>7</v>
      </c>
      <c r="AA29" s="220">
        <v>8</v>
      </c>
      <c r="AB29" s="220">
        <v>9</v>
      </c>
      <c r="AC29" s="220">
        <v>8</v>
      </c>
      <c r="AD29" s="220">
        <v>7</v>
      </c>
      <c r="AE29" s="220">
        <f t="shared" ref="AE29:AI44" si="29">AE28-Z29</f>
        <v>-76</v>
      </c>
      <c r="AF29" s="220">
        <f t="shared" si="29"/>
        <v>-136</v>
      </c>
      <c r="AG29" s="220">
        <f t="shared" si="29"/>
        <v>-126</v>
      </c>
      <c r="AH29" s="220">
        <f t="shared" si="29"/>
        <v>-133</v>
      </c>
      <c r="AI29" s="220">
        <f t="shared" si="29"/>
        <v>-87</v>
      </c>
      <c r="AJ29" s="50">
        <f t="shared" si="12"/>
        <v>1.5410000000000006</v>
      </c>
      <c r="AK29" s="257"/>
      <c r="AL29" s="257">
        <f t="shared" si="13"/>
        <v>1.2</v>
      </c>
      <c r="AM29" s="52"/>
      <c r="AN29" s="88"/>
    </row>
    <row r="30" spans="1:40" s="29" customFormat="1" ht="17.25" customHeight="1">
      <c r="A30" s="48">
        <v>20</v>
      </c>
      <c r="B30" s="49">
        <f t="shared" si="6"/>
        <v>45604</v>
      </c>
      <c r="C30" s="220">
        <f t="shared" si="7"/>
        <v>1049</v>
      </c>
      <c r="D30" s="220">
        <f t="shared" ref="D30" si="30">D29-18</f>
        <v>2575</v>
      </c>
      <c r="E30" s="220">
        <f t="shared" si="8"/>
        <v>3624</v>
      </c>
      <c r="F30" s="220">
        <f t="shared" si="0"/>
        <v>1058</v>
      </c>
      <c r="G30" s="220">
        <f t="shared" si="1"/>
        <v>1052</v>
      </c>
      <c r="H30" s="220">
        <f t="shared" si="2"/>
        <v>1142</v>
      </c>
      <c r="I30" s="220">
        <f t="shared" si="3"/>
        <v>1134</v>
      </c>
      <c r="J30" s="220">
        <f t="shared" si="4"/>
        <v>1159</v>
      </c>
      <c r="K30" s="220">
        <f t="shared" si="5"/>
        <v>2566</v>
      </c>
      <c r="L30" s="220">
        <f t="shared" si="5"/>
        <v>2572</v>
      </c>
      <c r="M30" s="220">
        <f t="shared" si="5"/>
        <v>2482</v>
      </c>
      <c r="N30" s="220">
        <f t="shared" si="5"/>
        <v>2490</v>
      </c>
      <c r="O30" s="220">
        <f t="shared" si="5"/>
        <v>2465</v>
      </c>
      <c r="P30" s="220">
        <f t="shared" si="27"/>
        <v>2000</v>
      </c>
      <c r="Q30" s="220">
        <f t="shared" si="27"/>
        <v>2150</v>
      </c>
      <c r="R30" s="220">
        <f t="shared" si="27"/>
        <v>2150</v>
      </c>
      <c r="S30" s="220">
        <f t="shared" si="27"/>
        <v>2150</v>
      </c>
      <c r="T30" s="220">
        <f t="shared" si="27"/>
        <v>2000</v>
      </c>
      <c r="U30" s="220">
        <f t="shared" si="28"/>
        <v>566</v>
      </c>
      <c r="V30" s="220">
        <f t="shared" si="28"/>
        <v>422</v>
      </c>
      <c r="W30" s="220">
        <f t="shared" si="28"/>
        <v>332</v>
      </c>
      <c r="X30" s="220">
        <f t="shared" si="28"/>
        <v>340</v>
      </c>
      <c r="Y30" s="220">
        <f t="shared" si="28"/>
        <v>465</v>
      </c>
      <c r="Z30" s="220">
        <v>7</v>
      </c>
      <c r="AA30" s="220">
        <v>9</v>
      </c>
      <c r="AB30" s="220">
        <v>9</v>
      </c>
      <c r="AC30" s="220">
        <v>9</v>
      </c>
      <c r="AD30" s="220">
        <v>7</v>
      </c>
      <c r="AE30" s="220">
        <f t="shared" si="29"/>
        <v>-83</v>
      </c>
      <c r="AF30" s="220">
        <f t="shared" si="29"/>
        <v>-145</v>
      </c>
      <c r="AG30" s="220">
        <f t="shared" si="29"/>
        <v>-135</v>
      </c>
      <c r="AH30" s="220">
        <f t="shared" si="29"/>
        <v>-142</v>
      </c>
      <c r="AI30" s="220">
        <f t="shared" si="29"/>
        <v>-94</v>
      </c>
      <c r="AJ30" s="50">
        <f t="shared" si="12"/>
        <v>1.5320000000000007</v>
      </c>
      <c r="AK30" s="257"/>
      <c r="AL30" s="257">
        <f t="shared" si="13"/>
        <v>1.2</v>
      </c>
      <c r="AM30" s="52"/>
      <c r="AN30" s="88"/>
    </row>
    <row r="31" spans="1:40" s="29" customFormat="1" ht="17.25" customHeight="1">
      <c r="A31" s="48">
        <v>21</v>
      </c>
      <c r="B31" s="49">
        <f t="shared" si="6"/>
        <v>45605</v>
      </c>
      <c r="C31" s="220">
        <f t="shared" si="7"/>
        <v>1049</v>
      </c>
      <c r="D31" s="220">
        <f t="shared" ref="D31" si="31">D30-26</f>
        <v>2549</v>
      </c>
      <c r="E31" s="220">
        <f t="shared" si="8"/>
        <v>3598</v>
      </c>
      <c r="F31" s="220">
        <f t="shared" si="0"/>
        <v>1038</v>
      </c>
      <c r="G31" s="220">
        <f t="shared" si="1"/>
        <v>1033</v>
      </c>
      <c r="H31" s="220">
        <f t="shared" si="2"/>
        <v>1124</v>
      </c>
      <c r="I31" s="220">
        <f t="shared" si="3"/>
        <v>1117</v>
      </c>
      <c r="J31" s="220">
        <f t="shared" si="4"/>
        <v>1139</v>
      </c>
      <c r="K31" s="220">
        <f t="shared" si="5"/>
        <v>2560</v>
      </c>
      <c r="L31" s="220">
        <f t="shared" si="5"/>
        <v>2565</v>
      </c>
      <c r="M31" s="220">
        <f t="shared" si="5"/>
        <v>2474</v>
      </c>
      <c r="N31" s="220">
        <f t="shared" si="5"/>
        <v>2481</v>
      </c>
      <c r="O31" s="220">
        <f t="shared" si="5"/>
        <v>2459</v>
      </c>
      <c r="P31" s="220">
        <f t="shared" si="27"/>
        <v>2000</v>
      </c>
      <c r="Q31" s="220">
        <f t="shared" si="27"/>
        <v>2150</v>
      </c>
      <c r="R31" s="220">
        <f t="shared" si="27"/>
        <v>2150</v>
      </c>
      <c r="S31" s="220">
        <f t="shared" si="27"/>
        <v>2150</v>
      </c>
      <c r="T31" s="220">
        <f t="shared" si="27"/>
        <v>2000</v>
      </c>
      <c r="U31" s="220">
        <f t="shared" si="28"/>
        <v>560</v>
      </c>
      <c r="V31" s="220">
        <f t="shared" si="28"/>
        <v>415</v>
      </c>
      <c r="W31" s="220">
        <f t="shared" si="28"/>
        <v>324</v>
      </c>
      <c r="X31" s="220">
        <f t="shared" si="28"/>
        <v>331</v>
      </c>
      <c r="Y31" s="220">
        <f t="shared" si="28"/>
        <v>459</v>
      </c>
      <c r="Z31" s="220">
        <v>6</v>
      </c>
      <c r="AA31" s="220">
        <v>7</v>
      </c>
      <c r="AB31" s="220">
        <v>8</v>
      </c>
      <c r="AC31" s="220">
        <v>9</v>
      </c>
      <c r="AD31" s="220">
        <v>6</v>
      </c>
      <c r="AE31" s="220">
        <f t="shared" si="29"/>
        <v>-89</v>
      </c>
      <c r="AF31" s="220">
        <f t="shared" si="29"/>
        <v>-152</v>
      </c>
      <c r="AG31" s="220">
        <f t="shared" si="29"/>
        <v>-143</v>
      </c>
      <c r="AH31" s="220">
        <f t="shared" si="29"/>
        <v>-151</v>
      </c>
      <c r="AI31" s="220">
        <f t="shared" si="29"/>
        <v>-100</v>
      </c>
      <c r="AJ31" s="50">
        <f t="shared" si="12"/>
        <v>1.5240000000000007</v>
      </c>
      <c r="AK31" s="257"/>
      <c r="AL31" s="257">
        <f t="shared" si="13"/>
        <v>1.2</v>
      </c>
      <c r="AM31" s="52"/>
      <c r="AN31" s="88"/>
    </row>
    <row r="32" spans="1:40" s="29" customFormat="1" ht="17.25" customHeight="1">
      <c r="A32" s="48">
        <v>22</v>
      </c>
      <c r="B32" s="49">
        <f t="shared" si="6"/>
        <v>45606</v>
      </c>
      <c r="C32" s="220">
        <f t="shared" si="7"/>
        <v>1049</v>
      </c>
      <c r="D32" s="220">
        <f t="shared" ref="D32" si="32">D31+15</f>
        <v>2564</v>
      </c>
      <c r="E32" s="220">
        <f t="shared" si="8"/>
        <v>3613</v>
      </c>
      <c r="F32" s="220">
        <f t="shared" si="0"/>
        <v>1059</v>
      </c>
      <c r="G32" s="220">
        <f t="shared" si="1"/>
        <v>1057</v>
      </c>
      <c r="H32" s="220">
        <f t="shared" si="2"/>
        <v>1148</v>
      </c>
      <c r="I32" s="220">
        <f t="shared" si="3"/>
        <v>1141</v>
      </c>
      <c r="J32" s="220">
        <f t="shared" si="4"/>
        <v>1160</v>
      </c>
      <c r="K32" s="220">
        <f t="shared" si="5"/>
        <v>2554</v>
      </c>
      <c r="L32" s="220">
        <f t="shared" si="5"/>
        <v>2556</v>
      </c>
      <c r="M32" s="220">
        <f t="shared" si="5"/>
        <v>2465</v>
      </c>
      <c r="N32" s="220">
        <f t="shared" si="5"/>
        <v>2472</v>
      </c>
      <c r="O32" s="220">
        <f t="shared" si="5"/>
        <v>2453</v>
      </c>
      <c r="P32" s="220">
        <f t="shared" si="27"/>
        <v>2000</v>
      </c>
      <c r="Q32" s="220">
        <f t="shared" si="27"/>
        <v>2150</v>
      </c>
      <c r="R32" s="220">
        <f t="shared" si="27"/>
        <v>2150</v>
      </c>
      <c r="S32" s="220">
        <f t="shared" si="27"/>
        <v>2150</v>
      </c>
      <c r="T32" s="220">
        <f t="shared" si="27"/>
        <v>2000</v>
      </c>
      <c r="U32" s="220">
        <f t="shared" si="28"/>
        <v>554</v>
      </c>
      <c r="V32" s="220">
        <f t="shared" si="28"/>
        <v>406</v>
      </c>
      <c r="W32" s="220">
        <f t="shared" si="28"/>
        <v>315</v>
      </c>
      <c r="X32" s="220">
        <f t="shared" si="28"/>
        <v>322</v>
      </c>
      <c r="Y32" s="220">
        <f t="shared" si="28"/>
        <v>453</v>
      </c>
      <c r="Z32" s="220">
        <v>6</v>
      </c>
      <c r="AA32" s="220">
        <v>9</v>
      </c>
      <c r="AB32" s="220">
        <v>9</v>
      </c>
      <c r="AC32" s="220">
        <v>9</v>
      </c>
      <c r="AD32" s="220">
        <v>6</v>
      </c>
      <c r="AE32" s="220">
        <f t="shared" si="29"/>
        <v>-95</v>
      </c>
      <c r="AF32" s="220">
        <f t="shared" si="29"/>
        <v>-161</v>
      </c>
      <c r="AG32" s="220">
        <f t="shared" si="29"/>
        <v>-152</v>
      </c>
      <c r="AH32" s="220">
        <f t="shared" si="29"/>
        <v>-160</v>
      </c>
      <c r="AI32" s="220">
        <f t="shared" si="29"/>
        <v>-106</v>
      </c>
      <c r="AJ32" s="50">
        <f t="shared" si="12"/>
        <v>1.5150000000000008</v>
      </c>
      <c r="AK32" s="257"/>
      <c r="AL32" s="257">
        <f t="shared" si="13"/>
        <v>1.2</v>
      </c>
      <c r="AM32" s="52"/>
      <c r="AN32" s="88"/>
    </row>
    <row r="33" spans="1:40" s="29" customFormat="1" ht="17.25" customHeight="1">
      <c r="A33" s="48">
        <v>23</v>
      </c>
      <c r="B33" s="49">
        <f t="shared" si="6"/>
        <v>45607</v>
      </c>
      <c r="C33" s="220">
        <f t="shared" si="7"/>
        <v>1049</v>
      </c>
      <c r="D33" s="220">
        <f t="shared" ref="D33" si="33">D32+26</f>
        <v>2590</v>
      </c>
      <c r="E33" s="220">
        <f t="shared" si="8"/>
        <v>3639</v>
      </c>
      <c r="F33" s="220">
        <f t="shared" si="0"/>
        <v>1091</v>
      </c>
      <c r="G33" s="220">
        <f t="shared" si="1"/>
        <v>1091</v>
      </c>
      <c r="H33" s="220">
        <f t="shared" si="2"/>
        <v>1183</v>
      </c>
      <c r="I33" s="220">
        <f t="shared" si="3"/>
        <v>1176</v>
      </c>
      <c r="J33" s="220">
        <f t="shared" si="4"/>
        <v>1192</v>
      </c>
      <c r="K33" s="220">
        <f t="shared" si="5"/>
        <v>2548</v>
      </c>
      <c r="L33" s="220">
        <f t="shared" si="5"/>
        <v>2548</v>
      </c>
      <c r="M33" s="220">
        <f t="shared" si="5"/>
        <v>2456</v>
      </c>
      <c r="N33" s="220">
        <f t="shared" si="5"/>
        <v>2463</v>
      </c>
      <c r="O33" s="220">
        <f t="shared" si="5"/>
        <v>2447</v>
      </c>
      <c r="P33" s="220">
        <f t="shared" si="27"/>
        <v>2000</v>
      </c>
      <c r="Q33" s="220">
        <f t="shared" si="27"/>
        <v>2150</v>
      </c>
      <c r="R33" s="220">
        <f t="shared" si="27"/>
        <v>2150</v>
      </c>
      <c r="S33" s="220">
        <f t="shared" si="27"/>
        <v>2150</v>
      </c>
      <c r="T33" s="220">
        <f t="shared" si="27"/>
        <v>2000</v>
      </c>
      <c r="U33" s="220">
        <f t="shared" si="28"/>
        <v>548</v>
      </c>
      <c r="V33" s="220">
        <f t="shared" si="28"/>
        <v>398</v>
      </c>
      <c r="W33" s="220">
        <f t="shared" si="28"/>
        <v>306</v>
      </c>
      <c r="X33" s="220">
        <f t="shared" si="28"/>
        <v>313</v>
      </c>
      <c r="Y33" s="220">
        <f t="shared" si="28"/>
        <v>447</v>
      </c>
      <c r="Z33" s="220">
        <v>6</v>
      </c>
      <c r="AA33" s="220">
        <v>8</v>
      </c>
      <c r="AB33" s="220">
        <v>9</v>
      </c>
      <c r="AC33" s="220">
        <v>9</v>
      </c>
      <c r="AD33" s="220">
        <v>6</v>
      </c>
      <c r="AE33" s="220">
        <f t="shared" si="29"/>
        <v>-101</v>
      </c>
      <c r="AF33" s="220">
        <f t="shared" si="29"/>
        <v>-169</v>
      </c>
      <c r="AG33" s="220">
        <f t="shared" si="29"/>
        <v>-161</v>
      </c>
      <c r="AH33" s="220">
        <f t="shared" si="29"/>
        <v>-169</v>
      </c>
      <c r="AI33" s="220">
        <f t="shared" si="29"/>
        <v>-112</v>
      </c>
      <c r="AJ33" s="50">
        <f t="shared" si="12"/>
        <v>1.5060000000000009</v>
      </c>
      <c r="AK33" s="257"/>
      <c r="AL33" s="257">
        <f t="shared" si="13"/>
        <v>1.2</v>
      </c>
      <c r="AM33" s="52"/>
      <c r="AN33" s="88"/>
    </row>
    <row r="34" spans="1:40" s="29" customFormat="1" ht="17.25" customHeight="1">
      <c r="A34" s="48">
        <v>24</v>
      </c>
      <c r="B34" s="49">
        <f t="shared" si="6"/>
        <v>45608</v>
      </c>
      <c r="C34" s="220">
        <f t="shared" si="7"/>
        <v>1049</v>
      </c>
      <c r="D34" s="220">
        <f t="shared" ref="D34" si="34">D33+32</f>
        <v>2622</v>
      </c>
      <c r="E34" s="220">
        <f t="shared" si="8"/>
        <v>3671</v>
      </c>
      <c r="F34" s="220">
        <f t="shared" si="0"/>
        <v>1129</v>
      </c>
      <c r="G34" s="220">
        <f t="shared" si="1"/>
        <v>1132</v>
      </c>
      <c r="H34" s="220">
        <f t="shared" si="2"/>
        <v>1224</v>
      </c>
      <c r="I34" s="220">
        <f t="shared" si="3"/>
        <v>1216</v>
      </c>
      <c r="J34" s="220">
        <f t="shared" si="4"/>
        <v>1230</v>
      </c>
      <c r="K34" s="220">
        <f t="shared" si="5"/>
        <v>2542</v>
      </c>
      <c r="L34" s="220">
        <f t="shared" si="5"/>
        <v>2539</v>
      </c>
      <c r="M34" s="220">
        <f t="shared" si="5"/>
        <v>2447</v>
      </c>
      <c r="N34" s="220">
        <f t="shared" si="5"/>
        <v>2455</v>
      </c>
      <c r="O34" s="220">
        <f t="shared" si="5"/>
        <v>2441</v>
      </c>
      <c r="P34" s="220">
        <f t="shared" si="27"/>
        <v>2000</v>
      </c>
      <c r="Q34" s="220">
        <f t="shared" si="27"/>
        <v>2150</v>
      </c>
      <c r="R34" s="220">
        <f t="shared" si="27"/>
        <v>2150</v>
      </c>
      <c r="S34" s="220">
        <f t="shared" si="27"/>
        <v>2150</v>
      </c>
      <c r="T34" s="220">
        <f t="shared" si="27"/>
        <v>2000</v>
      </c>
      <c r="U34" s="220">
        <f t="shared" si="28"/>
        <v>542</v>
      </c>
      <c r="V34" s="220">
        <f t="shared" si="28"/>
        <v>389</v>
      </c>
      <c r="W34" s="220">
        <f t="shared" si="28"/>
        <v>297</v>
      </c>
      <c r="X34" s="220">
        <f t="shared" si="28"/>
        <v>305</v>
      </c>
      <c r="Y34" s="220">
        <f t="shared" si="28"/>
        <v>441</v>
      </c>
      <c r="Z34" s="220">
        <v>6</v>
      </c>
      <c r="AA34" s="220">
        <v>9</v>
      </c>
      <c r="AB34" s="220">
        <v>9</v>
      </c>
      <c r="AC34" s="220">
        <v>8</v>
      </c>
      <c r="AD34" s="220">
        <v>6</v>
      </c>
      <c r="AE34" s="220">
        <f t="shared" si="29"/>
        <v>-107</v>
      </c>
      <c r="AF34" s="220">
        <f t="shared" si="29"/>
        <v>-178</v>
      </c>
      <c r="AG34" s="220">
        <f t="shared" si="29"/>
        <v>-170</v>
      </c>
      <c r="AH34" s="220">
        <f t="shared" si="29"/>
        <v>-177</v>
      </c>
      <c r="AI34" s="220">
        <f t="shared" si="29"/>
        <v>-118</v>
      </c>
      <c r="AJ34" s="50">
        <f t="shared" si="12"/>
        <v>1.497000000000001</v>
      </c>
      <c r="AK34" s="257"/>
      <c r="AL34" s="257">
        <f t="shared" si="13"/>
        <v>1.2</v>
      </c>
      <c r="AM34" s="52"/>
      <c r="AN34" s="88"/>
    </row>
    <row r="35" spans="1:40" s="29" customFormat="1" ht="17.25" customHeight="1">
      <c r="A35" s="48">
        <v>25</v>
      </c>
      <c r="B35" s="49">
        <f t="shared" si="6"/>
        <v>45609</v>
      </c>
      <c r="C35" s="220">
        <f t="shared" si="7"/>
        <v>1049</v>
      </c>
      <c r="D35" s="220">
        <f t="shared" ref="D35" si="35">D34-18</f>
        <v>2604</v>
      </c>
      <c r="E35" s="220">
        <f t="shared" si="8"/>
        <v>3653</v>
      </c>
      <c r="F35" s="220">
        <f t="shared" si="0"/>
        <v>1117</v>
      </c>
      <c r="G35" s="220">
        <f t="shared" si="1"/>
        <v>1123</v>
      </c>
      <c r="H35" s="220">
        <f t="shared" si="2"/>
        <v>1214</v>
      </c>
      <c r="I35" s="220">
        <f t="shared" si="3"/>
        <v>1207</v>
      </c>
      <c r="J35" s="220">
        <f t="shared" si="4"/>
        <v>1217</v>
      </c>
      <c r="K35" s="220">
        <f t="shared" si="5"/>
        <v>2536</v>
      </c>
      <c r="L35" s="220">
        <f t="shared" si="5"/>
        <v>2530</v>
      </c>
      <c r="M35" s="220">
        <f t="shared" si="5"/>
        <v>2439</v>
      </c>
      <c r="N35" s="220">
        <f t="shared" si="5"/>
        <v>2446</v>
      </c>
      <c r="O35" s="220">
        <f t="shared" si="5"/>
        <v>2436</v>
      </c>
      <c r="P35" s="220">
        <f t="shared" si="27"/>
        <v>2000</v>
      </c>
      <c r="Q35" s="220">
        <f t="shared" si="27"/>
        <v>2150</v>
      </c>
      <c r="R35" s="220">
        <f t="shared" si="27"/>
        <v>2150</v>
      </c>
      <c r="S35" s="220">
        <f t="shared" si="27"/>
        <v>2150</v>
      </c>
      <c r="T35" s="220">
        <f t="shared" si="27"/>
        <v>2000</v>
      </c>
      <c r="U35" s="220">
        <f t="shared" si="28"/>
        <v>536</v>
      </c>
      <c r="V35" s="220">
        <f t="shared" si="28"/>
        <v>380</v>
      </c>
      <c r="W35" s="220">
        <f t="shared" si="28"/>
        <v>289</v>
      </c>
      <c r="X35" s="220">
        <f t="shared" si="28"/>
        <v>296</v>
      </c>
      <c r="Y35" s="220">
        <f t="shared" si="28"/>
        <v>436</v>
      </c>
      <c r="Z35" s="220">
        <v>6</v>
      </c>
      <c r="AA35" s="220">
        <v>9</v>
      </c>
      <c r="AB35" s="220">
        <v>8</v>
      </c>
      <c r="AC35" s="220">
        <v>9</v>
      </c>
      <c r="AD35" s="220">
        <v>5</v>
      </c>
      <c r="AE35" s="220">
        <f t="shared" si="29"/>
        <v>-113</v>
      </c>
      <c r="AF35" s="220">
        <f t="shared" si="29"/>
        <v>-187</v>
      </c>
      <c r="AG35" s="220">
        <f t="shared" si="29"/>
        <v>-178</v>
      </c>
      <c r="AH35" s="220">
        <f t="shared" si="29"/>
        <v>-186</v>
      </c>
      <c r="AI35" s="220">
        <f t="shared" si="29"/>
        <v>-123</v>
      </c>
      <c r="AJ35" s="50">
        <f t="shared" si="12"/>
        <v>1.489000000000001</v>
      </c>
      <c r="AK35" s="257"/>
      <c r="AL35" s="257">
        <f t="shared" si="13"/>
        <v>1.2</v>
      </c>
      <c r="AM35" s="52"/>
      <c r="AN35" s="88"/>
    </row>
    <row r="36" spans="1:40" s="29" customFormat="1" ht="17.25" customHeight="1">
      <c r="A36" s="48">
        <v>26</v>
      </c>
      <c r="B36" s="49">
        <f t="shared" si="6"/>
        <v>45610</v>
      </c>
      <c r="C36" s="220">
        <f t="shared" si="7"/>
        <v>1049</v>
      </c>
      <c r="D36" s="220">
        <f t="shared" ref="D36" si="36">D35-26</f>
        <v>2578</v>
      </c>
      <c r="E36" s="220">
        <f t="shared" si="8"/>
        <v>3627</v>
      </c>
      <c r="F36" s="220">
        <f t="shared" si="0"/>
        <v>1095</v>
      </c>
      <c r="G36" s="220">
        <f t="shared" si="1"/>
        <v>1106</v>
      </c>
      <c r="H36" s="220">
        <f t="shared" si="2"/>
        <v>1197</v>
      </c>
      <c r="I36" s="220">
        <f t="shared" si="3"/>
        <v>1190</v>
      </c>
      <c r="J36" s="220">
        <f t="shared" si="4"/>
        <v>1196</v>
      </c>
      <c r="K36" s="220">
        <f t="shared" si="5"/>
        <v>2532</v>
      </c>
      <c r="L36" s="220">
        <f t="shared" si="5"/>
        <v>2521</v>
      </c>
      <c r="M36" s="220">
        <f t="shared" si="5"/>
        <v>2430</v>
      </c>
      <c r="N36" s="220">
        <f t="shared" si="5"/>
        <v>2437</v>
      </c>
      <c r="O36" s="220">
        <f t="shared" si="5"/>
        <v>2431</v>
      </c>
      <c r="P36" s="220">
        <f t="shared" si="27"/>
        <v>2000</v>
      </c>
      <c r="Q36" s="220">
        <f t="shared" si="27"/>
        <v>2150</v>
      </c>
      <c r="R36" s="220">
        <f t="shared" si="27"/>
        <v>2150</v>
      </c>
      <c r="S36" s="220">
        <f t="shared" si="27"/>
        <v>2150</v>
      </c>
      <c r="T36" s="220">
        <f t="shared" si="27"/>
        <v>2000</v>
      </c>
      <c r="U36" s="220">
        <f t="shared" si="28"/>
        <v>532</v>
      </c>
      <c r="V36" s="220">
        <f t="shared" si="28"/>
        <v>371</v>
      </c>
      <c r="W36" s="220">
        <f t="shared" si="28"/>
        <v>280</v>
      </c>
      <c r="X36" s="220">
        <f t="shared" si="28"/>
        <v>287</v>
      </c>
      <c r="Y36" s="220">
        <f t="shared" si="28"/>
        <v>431</v>
      </c>
      <c r="Z36" s="220">
        <v>4</v>
      </c>
      <c r="AA36" s="220">
        <v>9</v>
      </c>
      <c r="AB36" s="220">
        <v>9</v>
      </c>
      <c r="AC36" s="220">
        <v>9</v>
      </c>
      <c r="AD36" s="220">
        <v>5</v>
      </c>
      <c r="AE36" s="220">
        <f t="shared" si="29"/>
        <v>-117</v>
      </c>
      <c r="AF36" s="220">
        <f t="shared" si="29"/>
        <v>-196</v>
      </c>
      <c r="AG36" s="220">
        <f t="shared" si="29"/>
        <v>-187</v>
      </c>
      <c r="AH36" s="220">
        <f t="shared" si="29"/>
        <v>-195</v>
      </c>
      <c r="AI36" s="220">
        <f t="shared" si="29"/>
        <v>-128</v>
      </c>
      <c r="AJ36" s="50">
        <f t="shared" si="12"/>
        <v>1.4800000000000011</v>
      </c>
      <c r="AK36" s="257"/>
      <c r="AL36" s="257">
        <f t="shared" si="13"/>
        <v>1.2</v>
      </c>
      <c r="AM36" s="52"/>
      <c r="AN36" s="88"/>
    </row>
    <row r="37" spans="1:40" s="29" customFormat="1" ht="17.25" customHeight="1">
      <c r="A37" s="48">
        <v>27</v>
      </c>
      <c r="B37" s="49">
        <f t="shared" si="6"/>
        <v>45611</v>
      </c>
      <c r="C37" s="220">
        <f t="shared" si="7"/>
        <v>1049</v>
      </c>
      <c r="D37" s="220">
        <f t="shared" ref="D37" si="37">D36+15</f>
        <v>2593</v>
      </c>
      <c r="E37" s="220">
        <f t="shared" si="8"/>
        <v>3642</v>
      </c>
      <c r="F37" s="220">
        <f t="shared" si="0"/>
        <v>1113</v>
      </c>
      <c r="G37" s="220">
        <f t="shared" si="1"/>
        <v>1130</v>
      </c>
      <c r="H37" s="220">
        <f t="shared" si="2"/>
        <v>1220</v>
      </c>
      <c r="I37" s="220">
        <f t="shared" si="3"/>
        <v>1214</v>
      </c>
      <c r="J37" s="220">
        <f t="shared" si="4"/>
        <v>1216</v>
      </c>
      <c r="K37" s="220">
        <f t="shared" si="5"/>
        <v>2529</v>
      </c>
      <c r="L37" s="220">
        <f t="shared" si="5"/>
        <v>2512</v>
      </c>
      <c r="M37" s="220">
        <f t="shared" si="5"/>
        <v>2422</v>
      </c>
      <c r="N37" s="220">
        <f t="shared" si="5"/>
        <v>2428</v>
      </c>
      <c r="O37" s="220">
        <f t="shared" si="5"/>
        <v>2426</v>
      </c>
      <c r="P37" s="220">
        <f t="shared" si="27"/>
        <v>2000</v>
      </c>
      <c r="Q37" s="220">
        <f t="shared" si="27"/>
        <v>2150</v>
      </c>
      <c r="R37" s="220">
        <f t="shared" si="27"/>
        <v>2150</v>
      </c>
      <c r="S37" s="220">
        <f t="shared" si="27"/>
        <v>2150</v>
      </c>
      <c r="T37" s="220">
        <f t="shared" si="27"/>
        <v>2000</v>
      </c>
      <c r="U37" s="220">
        <f t="shared" si="28"/>
        <v>529</v>
      </c>
      <c r="V37" s="220">
        <f t="shared" si="28"/>
        <v>362</v>
      </c>
      <c r="W37" s="220">
        <f t="shared" si="28"/>
        <v>272</v>
      </c>
      <c r="X37" s="220">
        <f t="shared" si="28"/>
        <v>278</v>
      </c>
      <c r="Y37" s="220">
        <f t="shared" si="28"/>
        <v>426</v>
      </c>
      <c r="Z37" s="220">
        <v>3</v>
      </c>
      <c r="AA37" s="220">
        <v>9</v>
      </c>
      <c r="AB37" s="220">
        <v>8</v>
      </c>
      <c r="AC37" s="220">
        <v>9</v>
      </c>
      <c r="AD37" s="220">
        <v>5</v>
      </c>
      <c r="AE37" s="220">
        <f t="shared" si="29"/>
        <v>-120</v>
      </c>
      <c r="AF37" s="220">
        <f t="shared" si="29"/>
        <v>-205</v>
      </c>
      <c r="AG37" s="220">
        <f t="shared" si="29"/>
        <v>-195</v>
      </c>
      <c r="AH37" s="220">
        <f t="shared" si="29"/>
        <v>-204</v>
      </c>
      <c r="AI37" s="220">
        <f t="shared" si="29"/>
        <v>-133</v>
      </c>
      <c r="AJ37" s="50">
        <f t="shared" si="12"/>
        <v>1.4720000000000011</v>
      </c>
      <c r="AK37" s="257"/>
      <c r="AL37" s="257">
        <f t="shared" si="13"/>
        <v>1.2</v>
      </c>
      <c r="AM37" s="52"/>
      <c r="AN37" s="88"/>
    </row>
    <row r="38" spans="1:40" s="29" customFormat="1" ht="17.25" customHeight="1">
      <c r="A38" s="48">
        <v>28</v>
      </c>
      <c r="B38" s="49">
        <f t="shared" si="6"/>
        <v>45612</v>
      </c>
      <c r="C38" s="220">
        <f t="shared" si="7"/>
        <v>1049</v>
      </c>
      <c r="D38" s="220">
        <f t="shared" ref="D38" si="38">D37+26</f>
        <v>2619</v>
      </c>
      <c r="E38" s="220">
        <f t="shared" si="8"/>
        <v>3668</v>
      </c>
      <c r="F38" s="220">
        <f t="shared" si="0"/>
        <v>1143</v>
      </c>
      <c r="G38" s="220">
        <f t="shared" si="1"/>
        <v>1165</v>
      </c>
      <c r="H38" s="220">
        <f t="shared" si="2"/>
        <v>1255</v>
      </c>
      <c r="I38" s="220">
        <f t="shared" si="3"/>
        <v>1248</v>
      </c>
      <c r="J38" s="220">
        <f t="shared" si="4"/>
        <v>1247</v>
      </c>
      <c r="K38" s="220">
        <f t="shared" si="5"/>
        <v>2525</v>
      </c>
      <c r="L38" s="220">
        <f t="shared" si="5"/>
        <v>2503</v>
      </c>
      <c r="M38" s="220">
        <f t="shared" si="5"/>
        <v>2413</v>
      </c>
      <c r="N38" s="220">
        <f t="shared" si="5"/>
        <v>2420</v>
      </c>
      <c r="O38" s="220">
        <f t="shared" si="5"/>
        <v>2421</v>
      </c>
      <c r="P38" s="220">
        <f t="shared" si="27"/>
        <v>2000</v>
      </c>
      <c r="Q38" s="220">
        <f t="shared" si="27"/>
        <v>2150</v>
      </c>
      <c r="R38" s="220">
        <f t="shared" si="27"/>
        <v>2150</v>
      </c>
      <c r="S38" s="220">
        <f t="shared" si="27"/>
        <v>2150</v>
      </c>
      <c r="T38" s="220">
        <f t="shared" si="27"/>
        <v>2000</v>
      </c>
      <c r="U38" s="220">
        <f t="shared" si="28"/>
        <v>525</v>
      </c>
      <c r="V38" s="220">
        <f t="shared" si="28"/>
        <v>353</v>
      </c>
      <c r="W38" s="220">
        <f t="shared" si="28"/>
        <v>263</v>
      </c>
      <c r="X38" s="220">
        <f t="shared" si="28"/>
        <v>270</v>
      </c>
      <c r="Y38" s="220">
        <f t="shared" si="28"/>
        <v>421</v>
      </c>
      <c r="Z38" s="220">
        <v>4</v>
      </c>
      <c r="AA38" s="220">
        <v>9</v>
      </c>
      <c r="AB38" s="220">
        <v>9</v>
      </c>
      <c r="AC38" s="220">
        <v>8</v>
      </c>
      <c r="AD38" s="220">
        <v>5</v>
      </c>
      <c r="AE38" s="220">
        <f t="shared" si="29"/>
        <v>-124</v>
      </c>
      <c r="AF38" s="220">
        <f t="shared" si="29"/>
        <v>-214</v>
      </c>
      <c r="AG38" s="220">
        <f t="shared" si="29"/>
        <v>-204</v>
      </c>
      <c r="AH38" s="220">
        <f t="shared" si="29"/>
        <v>-212</v>
      </c>
      <c r="AI38" s="220">
        <f t="shared" si="29"/>
        <v>-138</v>
      </c>
      <c r="AJ38" s="50">
        <f t="shared" si="12"/>
        <v>1.4630000000000012</v>
      </c>
      <c r="AK38" s="257"/>
      <c r="AL38" s="257">
        <f t="shared" si="13"/>
        <v>1.2</v>
      </c>
      <c r="AM38" s="52"/>
      <c r="AN38" s="88"/>
    </row>
    <row r="39" spans="1:40" s="29" customFormat="1" ht="17.25" customHeight="1">
      <c r="A39" s="48">
        <v>29</v>
      </c>
      <c r="B39" s="49">
        <f t="shared" si="6"/>
        <v>45613</v>
      </c>
      <c r="C39" s="220">
        <f t="shared" si="7"/>
        <v>1049</v>
      </c>
      <c r="D39" s="220">
        <f t="shared" ref="D39" si="39">D38+32</f>
        <v>2651</v>
      </c>
      <c r="E39" s="220">
        <f t="shared" si="8"/>
        <v>3700</v>
      </c>
      <c r="F39" s="220">
        <f t="shared" si="0"/>
        <v>1182</v>
      </c>
      <c r="G39" s="220">
        <f t="shared" si="1"/>
        <v>1205</v>
      </c>
      <c r="H39" s="220">
        <f t="shared" si="2"/>
        <v>1296</v>
      </c>
      <c r="I39" s="220">
        <f t="shared" si="3"/>
        <v>1289</v>
      </c>
      <c r="J39" s="220">
        <f t="shared" si="4"/>
        <v>1283</v>
      </c>
      <c r="K39" s="220">
        <f t="shared" si="5"/>
        <v>2518</v>
      </c>
      <c r="L39" s="220">
        <f t="shared" si="5"/>
        <v>2495</v>
      </c>
      <c r="M39" s="220">
        <f t="shared" si="5"/>
        <v>2404</v>
      </c>
      <c r="N39" s="220">
        <f t="shared" si="5"/>
        <v>2411</v>
      </c>
      <c r="O39" s="220">
        <f t="shared" si="5"/>
        <v>2417</v>
      </c>
      <c r="P39" s="220">
        <f t="shared" si="27"/>
        <v>2000</v>
      </c>
      <c r="Q39" s="220">
        <f t="shared" si="27"/>
        <v>2150</v>
      </c>
      <c r="R39" s="220">
        <f t="shared" si="27"/>
        <v>2150</v>
      </c>
      <c r="S39" s="220">
        <f t="shared" si="27"/>
        <v>2150</v>
      </c>
      <c r="T39" s="220">
        <f t="shared" si="27"/>
        <v>2000</v>
      </c>
      <c r="U39" s="220">
        <f t="shared" si="28"/>
        <v>518</v>
      </c>
      <c r="V39" s="220">
        <f t="shared" si="28"/>
        <v>345</v>
      </c>
      <c r="W39" s="220">
        <f t="shared" si="28"/>
        <v>254</v>
      </c>
      <c r="X39" s="220">
        <f t="shared" si="28"/>
        <v>261</v>
      </c>
      <c r="Y39" s="220">
        <f t="shared" si="28"/>
        <v>417</v>
      </c>
      <c r="Z39" s="220">
        <v>7</v>
      </c>
      <c r="AA39" s="220">
        <v>8</v>
      </c>
      <c r="AB39" s="220">
        <v>9</v>
      </c>
      <c r="AC39" s="220">
        <v>9</v>
      </c>
      <c r="AD39" s="220">
        <v>4</v>
      </c>
      <c r="AE39" s="220">
        <f t="shared" si="29"/>
        <v>-131</v>
      </c>
      <c r="AF39" s="220">
        <f t="shared" si="29"/>
        <v>-222</v>
      </c>
      <c r="AG39" s="220">
        <f t="shared" si="29"/>
        <v>-213</v>
      </c>
      <c r="AH39" s="220">
        <f t="shared" si="29"/>
        <v>-221</v>
      </c>
      <c r="AI39" s="220">
        <f t="shared" si="29"/>
        <v>-142</v>
      </c>
      <c r="AJ39" s="50">
        <f t="shared" si="12"/>
        <v>1.4540000000000013</v>
      </c>
      <c r="AK39" s="257"/>
      <c r="AL39" s="257">
        <f t="shared" si="13"/>
        <v>1.2</v>
      </c>
      <c r="AM39" s="52"/>
      <c r="AN39" s="88"/>
    </row>
    <row r="40" spans="1:40" s="29" customFormat="1" ht="17.25" customHeight="1">
      <c r="A40" s="48">
        <v>30</v>
      </c>
      <c r="B40" s="49">
        <f t="shared" si="6"/>
        <v>45614</v>
      </c>
      <c r="C40" s="220">
        <f t="shared" si="7"/>
        <v>1049</v>
      </c>
      <c r="D40" s="220">
        <f t="shared" ref="D40" si="40">D39-18</f>
        <v>2633</v>
      </c>
      <c r="E40" s="220">
        <f t="shared" si="8"/>
        <v>3682</v>
      </c>
      <c r="F40" s="220">
        <f t="shared" si="0"/>
        <v>1170</v>
      </c>
      <c r="G40" s="220">
        <f t="shared" si="1"/>
        <v>1195</v>
      </c>
      <c r="H40" s="220">
        <f t="shared" si="2"/>
        <v>1286</v>
      </c>
      <c r="I40" s="220">
        <f t="shared" si="3"/>
        <v>1280</v>
      </c>
      <c r="J40" s="220">
        <f t="shared" si="4"/>
        <v>1268</v>
      </c>
      <c r="K40" s="220">
        <f t="shared" si="5"/>
        <v>2512</v>
      </c>
      <c r="L40" s="220">
        <f t="shared" si="5"/>
        <v>2487</v>
      </c>
      <c r="M40" s="220">
        <f t="shared" si="5"/>
        <v>2396</v>
      </c>
      <c r="N40" s="220">
        <f t="shared" si="5"/>
        <v>2402</v>
      </c>
      <c r="O40" s="220">
        <f t="shared" si="5"/>
        <v>2414</v>
      </c>
      <c r="P40" s="220">
        <f t="shared" si="27"/>
        <v>2000</v>
      </c>
      <c r="Q40" s="220">
        <f t="shared" si="27"/>
        <v>2150</v>
      </c>
      <c r="R40" s="220">
        <f t="shared" si="27"/>
        <v>2150</v>
      </c>
      <c r="S40" s="220">
        <f t="shared" si="27"/>
        <v>2150</v>
      </c>
      <c r="T40" s="220">
        <f t="shared" si="27"/>
        <v>2000</v>
      </c>
      <c r="U40" s="220">
        <f t="shared" si="28"/>
        <v>512</v>
      </c>
      <c r="V40" s="220">
        <f t="shared" si="28"/>
        <v>337</v>
      </c>
      <c r="W40" s="220">
        <f t="shared" si="28"/>
        <v>246</v>
      </c>
      <c r="X40" s="220">
        <f t="shared" si="28"/>
        <v>252</v>
      </c>
      <c r="Y40" s="220">
        <f t="shared" si="28"/>
        <v>414</v>
      </c>
      <c r="Z40" s="220">
        <v>6</v>
      </c>
      <c r="AA40" s="220">
        <v>8</v>
      </c>
      <c r="AB40" s="220">
        <v>8</v>
      </c>
      <c r="AC40" s="220">
        <v>9</v>
      </c>
      <c r="AD40" s="220">
        <v>3</v>
      </c>
      <c r="AE40" s="220">
        <f t="shared" si="29"/>
        <v>-137</v>
      </c>
      <c r="AF40" s="220">
        <f t="shared" si="29"/>
        <v>-230</v>
      </c>
      <c r="AG40" s="220">
        <f t="shared" si="29"/>
        <v>-221</v>
      </c>
      <c r="AH40" s="220">
        <f t="shared" si="29"/>
        <v>-230</v>
      </c>
      <c r="AI40" s="220">
        <f t="shared" si="29"/>
        <v>-145</v>
      </c>
      <c r="AJ40" s="50">
        <f t="shared" si="12"/>
        <v>1.4460000000000013</v>
      </c>
      <c r="AK40" s="257"/>
      <c r="AL40" s="257">
        <f t="shared" si="13"/>
        <v>1.2</v>
      </c>
      <c r="AM40" s="52"/>
      <c r="AN40" s="88"/>
    </row>
    <row r="41" spans="1:40" s="29" customFormat="1" ht="17.25" customHeight="1">
      <c r="A41" s="48">
        <v>31</v>
      </c>
      <c r="B41" s="49">
        <f t="shared" si="6"/>
        <v>45615</v>
      </c>
      <c r="C41" s="220">
        <f t="shared" si="7"/>
        <v>1049</v>
      </c>
      <c r="D41" s="220">
        <f t="shared" ref="D41" si="41">D40-26</f>
        <v>2607</v>
      </c>
      <c r="E41" s="220">
        <f t="shared" si="8"/>
        <v>3656</v>
      </c>
      <c r="F41" s="220">
        <f t="shared" si="0"/>
        <v>1149</v>
      </c>
      <c r="G41" s="220">
        <f t="shared" si="1"/>
        <v>1177</v>
      </c>
      <c r="H41" s="220">
        <f t="shared" si="2"/>
        <v>1269</v>
      </c>
      <c r="I41" s="220">
        <f t="shared" si="3"/>
        <v>1263</v>
      </c>
      <c r="J41" s="220">
        <f t="shared" si="4"/>
        <v>1246</v>
      </c>
      <c r="K41" s="220">
        <f t="shared" si="5"/>
        <v>2507</v>
      </c>
      <c r="L41" s="220">
        <f t="shared" si="5"/>
        <v>2479</v>
      </c>
      <c r="M41" s="220">
        <f t="shared" si="5"/>
        <v>2387</v>
      </c>
      <c r="N41" s="220">
        <f t="shared" si="5"/>
        <v>2393</v>
      </c>
      <c r="O41" s="220">
        <f t="shared" si="5"/>
        <v>2410</v>
      </c>
      <c r="P41" s="220">
        <f t="shared" si="27"/>
        <v>2000</v>
      </c>
      <c r="Q41" s="220">
        <f t="shared" si="27"/>
        <v>2150</v>
      </c>
      <c r="R41" s="220">
        <f t="shared" si="27"/>
        <v>2150</v>
      </c>
      <c r="S41" s="220">
        <f t="shared" si="27"/>
        <v>2150</v>
      </c>
      <c r="T41" s="220">
        <f t="shared" si="27"/>
        <v>2000</v>
      </c>
      <c r="U41" s="220">
        <f t="shared" si="28"/>
        <v>507</v>
      </c>
      <c r="V41" s="220">
        <f t="shared" si="28"/>
        <v>329</v>
      </c>
      <c r="W41" s="220">
        <f t="shared" si="28"/>
        <v>237</v>
      </c>
      <c r="X41" s="220">
        <f t="shared" si="28"/>
        <v>243</v>
      </c>
      <c r="Y41" s="220">
        <f t="shared" si="28"/>
        <v>410</v>
      </c>
      <c r="Z41" s="220">
        <v>5</v>
      </c>
      <c r="AA41" s="220">
        <v>8</v>
      </c>
      <c r="AB41" s="220">
        <v>9</v>
      </c>
      <c r="AC41" s="220">
        <v>9</v>
      </c>
      <c r="AD41" s="220">
        <v>4</v>
      </c>
      <c r="AE41" s="220">
        <f t="shared" si="29"/>
        <v>-142</v>
      </c>
      <c r="AF41" s="220">
        <f t="shared" si="29"/>
        <v>-238</v>
      </c>
      <c r="AG41" s="220">
        <f t="shared" si="29"/>
        <v>-230</v>
      </c>
      <c r="AH41" s="220">
        <f t="shared" si="29"/>
        <v>-239</v>
      </c>
      <c r="AI41" s="220">
        <f t="shared" si="29"/>
        <v>-149</v>
      </c>
      <c r="AJ41" s="50">
        <f t="shared" si="12"/>
        <v>1.4370000000000014</v>
      </c>
      <c r="AK41" s="257"/>
      <c r="AL41" s="257">
        <f t="shared" si="13"/>
        <v>1.2</v>
      </c>
      <c r="AM41" s="52"/>
      <c r="AN41" s="88"/>
    </row>
    <row r="42" spans="1:40" s="29" customFormat="1" ht="17.25" customHeight="1">
      <c r="A42" s="48">
        <v>32</v>
      </c>
      <c r="B42" s="49">
        <f t="shared" si="6"/>
        <v>45616</v>
      </c>
      <c r="C42" s="220">
        <f t="shared" si="7"/>
        <v>1049</v>
      </c>
      <c r="D42" s="220">
        <f t="shared" ref="D42" si="42">D41+15</f>
        <v>2622</v>
      </c>
      <c r="E42" s="220">
        <f t="shared" si="8"/>
        <v>3671</v>
      </c>
      <c r="F42" s="220">
        <f t="shared" si="0"/>
        <v>1168</v>
      </c>
      <c r="G42" s="220">
        <f t="shared" si="1"/>
        <v>1201</v>
      </c>
      <c r="H42" s="220">
        <f t="shared" si="2"/>
        <v>1293</v>
      </c>
      <c r="I42" s="220">
        <f t="shared" si="3"/>
        <v>1287</v>
      </c>
      <c r="J42" s="220">
        <f t="shared" si="4"/>
        <v>1264</v>
      </c>
      <c r="K42" s="220">
        <f t="shared" si="5"/>
        <v>2503</v>
      </c>
      <c r="L42" s="220">
        <f t="shared" si="5"/>
        <v>2470</v>
      </c>
      <c r="M42" s="220">
        <f t="shared" si="5"/>
        <v>2378</v>
      </c>
      <c r="N42" s="220">
        <f t="shared" si="5"/>
        <v>2384</v>
      </c>
      <c r="O42" s="220">
        <f t="shared" si="5"/>
        <v>2407</v>
      </c>
      <c r="P42" s="220">
        <f t="shared" si="27"/>
        <v>2000</v>
      </c>
      <c r="Q42" s="220">
        <f t="shared" si="27"/>
        <v>2150</v>
      </c>
      <c r="R42" s="220">
        <f t="shared" si="27"/>
        <v>2150</v>
      </c>
      <c r="S42" s="220">
        <f t="shared" si="27"/>
        <v>2150</v>
      </c>
      <c r="T42" s="220">
        <f t="shared" si="27"/>
        <v>2000</v>
      </c>
      <c r="U42" s="220">
        <f t="shared" si="28"/>
        <v>503</v>
      </c>
      <c r="V42" s="220">
        <f t="shared" si="28"/>
        <v>320</v>
      </c>
      <c r="W42" s="220">
        <f t="shared" si="28"/>
        <v>228</v>
      </c>
      <c r="X42" s="220">
        <f t="shared" si="28"/>
        <v>234</v>
      </c>
      <c r="Y42" s="220">
        <f t="shared" si="28"/>
        <v>407</v>
      </c>
      <c r="Z42" s="220">
        <v>4</v>
      </c>
      <c r="AA42" s="220">
        <v>9</v>
      </c>
      <c r="AB42" s="220">
        <v>9</v>
      </c>
      <c r="AC42" s="220">
        <v>9</v>
      </c>
      <c r="AD42" s="220">
        <v>3</v>
      </c>
      <c r="AE42" s="220">
        <f t="shared" si="29"/>
        <v>-146</v>
      </c>
      <c r="AF42" s="220">
        <f t="shared" si="29"/>
        <v>-247</v>
      </c>
      <c r="AG42" s="220">
        <f t="shared" si="29"/>
        <v>-239</v>
      </c>
      <c r="AH42" s="220">
        <f t="shared" si="29"/>
        <v>-248</v>
      </c>
      <c r="AI42" s="220">
        <f t="shared" si="29"/>
        <v>-152</v>
      </c>
      <c r="AJ42" s="50">
        <f t="shared" si="12"/>
        <v>1.4280000000000015</v>
      </c>
      <c r="AK42" s="257"/>
      <c r="AL42" s="257">
        <f t="shared" si="13"/>
        <v>1.2</v>
      </c>
      <c r="AM42" s="52"/>
      <c r="AN42" s="88"/>
    </row>
    <row r="43" spans="1:40" s="29" customFormat="1" ht="17.25" customHeight="1">
      <c r="A43" s="48">
        <v>33</v>
      </c>
      <c r="B43" s="49">
        <f t="shared" si="6"/>
        <v>45617</v>
      </c>
      <c r="C43" s="220">
        <f t="shared" si="7"/>
        <v>1049</v>
      </c>
      <c r="D43" s="220">
        <f t="shared" ref="D43" si="43">D42+26</f>
        <v>2648</v>
      </c>
      <c r="E43" s="220">
        <f t="shared" si="8"/>
        <v>3697</v>
      </c>
      <c r="F43" s="220">
        <f t="shared" si="0"/>
        <v>1198</v>
      </c>
      <c r="G43" s="220">
        <f t="shared" si="1"/>
        <v>1235</v>
      </c>
      <c r="H43" s="220">
        <f t="shared" si="2"/>
        <v>1327</v>
      </c>
      <c r="I43" s="220">
        <f t="shared" si="3"/>
        <v>1321</v>
      </c>
      <c r="J43" s="220">
        <f t="shared" si="4"/>
        <v>1292</v>
      </c>
      <c r="K43" s="220">
        <f t="shared" si="5"/>
        <v>2499</v>
      </c>
      <c r="L43" s="220">
        <f t="shared" si="5"/>
        <v>2462</v>
      </c>
      <c r="M43" s="220">
        <f t="shared" si="5"/>
        <v>2370</v>
      </c>
      <c r="N43" s="220">
        <f t="shared" si="5"/>
        <v>2376</v>
      </c>
      <c r="O43" s="220">
        <f t="shared" si="5"/>
        <v>2405</v>
      </c>
      <c r="P43" s="220">
        <f t="shared" si="27"/>
        <v>2000</v>
      </c>
      <c r="Q43" s="220">
        <f t="shared" si="27"/>
        <v>2150</v>
      </c>
      <c r="R43" s="220">
        <f t="shared" si="27"/>
        <v>2150</v>
      </c>
      <c r="S43" s="220">
        <f t="shared" si="27"/>
        <v>2150</v>
      </c>
      <c r="T43" s="220">
        <f t="shared" si="27"/>
        <v>2000</v>
      </c>
      <c r="U43" s="220">
        <f t="shared" si="28"/>
        <v>499</v>
      </c>
      <c r="V43" s="220">
        <f t="shared" si="28"/>
        <v>312</v>
      </c>
      <c r="W43" s="220">
        <f t="shared" si="28"/>
        <v>220</v>
      </c>
      <c r="X43" s="220">
        <f t="shared" si="28"/>
        <v>226</v>
      </c>
      <c r="Y43" s="220">
        <f t="shared" si="28"/>
        <v>405</v>
      </c>
      <c r="Z43" s="220">
        <v>4</v>
      </c>
      <c r="AA43" s="220">
        <v>8</v>
      </c>
      <c r="AB43" s="220">
        <v>8</v>
      </c>
      <c r="AC43" s="220">
        <v>8</v>
      </c>
      <c r="AD43" s="220">
        <v>2</v>
      </c>
      <c r="AE43" s="220">
        <f t="shared" si="29"/>
        <v>-150</v>
      </c>
      <c r="AF43" s="220">
        <f t="shared" si="29"/>
        <v>-255</v>
      </c>
      <c r="AG43" s="220">
        <f t="shared" si="29"/>
        <v>-247</v>
      </c>
      <c r="AH43" s="220">
        <f t="shared" si="29"/>
        <v>-256</v>
      </c>
      <c r="AI43" s="220">
        <f t="shared" si="29"/>
        <v>-154</v>
      </c>
      <c r="AJ43" s="50">
        <f t="shared" si="12"/>
        <v>1.4200000000000015</v>
      </c>
      <c r="AK43" s="257"/>
      <c r="AL43" s="257">
        <f t="shared" si="13"/>
        <v>1.2</v>
      </c>
      <c r="AM43" s="52"/>
      <c r="AN43" s="88"/>
    </row>
    <row r="44" spans="1:40" s="29" customFormat="1" ht="17.25" customHeight="1">
      <c r="A44" s="48">
        <v>34</v>
      </c>
      <c r="B44" s="49">
        <f t="shared" si="6"/>
        <v>45618</v>
      </c>
      <c r="C44" s="220">
        <f t="shared" si="7"/>
        <v>1049</v>
      </c>
      <c r="D44" s="220">
        <f t="shared" ref="D44" si="44">D43+32</f>
        <v>2680</v>
      </c>
      <c r="E44" s="220">
        <f t="shared" si="8"/>
        <v>3729</v>
      </c>
      <c r="F44" s="220">
        <f t="shared" si="0"/>
        <v>1233</v>
      </c>
      <c r="G44" s="220">
        <f t="shared" si="1"/>
        <v>1274</v>
      </c>
      <c r="H44" s="220">
        <f t="shared" si="2"/>
        <v>1368</v>
      </c>
      <c r="I44" s="220">
        <f t="shared" si="3"/>
        <v>1362</v>
      </c>
      <c r="J44" s="220">
        <f t="shared" si="4"/>
        <v>1326</v>
      </c>
      <c r="K44" s="220">
        <f t="shared" si="5"/>
        <v>2496</v>
      </c>
      <c r="L44" s="220">
        <f t="shared" si="5"/>
        <v>2455</v>
      </c>
      <c r="M44" s="220">
        <f t="shared" si="5"/>
        <v>2361</v>
      </c>
      <c r="N44" s="220">
        <f t="shared" si="5"/>
        <v>2367</v>
      </c>
      <c r="O44" s="220">
        <f t="shared" si="5"/>
        <v>2403</v>
      </c>
      <c r="P44" s="220">
        <f t="shared" si="27"/>
        <v>2000</v>
      </c>
      <c r="Q44" s="220">
        <f t="shared" si="27"/>
        <v>2150</v>
      </c>
      <c r="R44" s="220">
        <f t="shared" si="27"/>
        <v>2150</v>
      </c>
      <c r="S44" s="220">
        <f t="shared" si="27"/>
        <v>2150</v>
      </c>
      <c r="T44" s="220">
        <f t="shared" si="27"/>
        <v>2000</v>
      </c>
      <c r="U44" s="220">
        <f t="shared" si="28"/>
        <v>496</v>
      </c>
      <c r="V44" s="220">
        <f t="shared" si="28"/>
        <v>305</v>
      </c>
      <c r="W44" s="220">
        <f t="shared" si="28"/>
        <v>211</v>
      </c>
      <c r="X44" s="220">
        <f t="shared" si="28"/>
        <v>217</v>
      </c>
      <c r="Y44" s="220">
        <f t="shared" si="28"/>
        <v>403</v>
      </c>
      <c r="Z44" s="220">
        <v>3</v>
      </c>
      <c r="AA44" s="220">
        <v>7</v>
      </c>
      <c r="AB44" s="220">
        <v>9</v>
      </c>
      <c r="AC44" s="220">
        <v>9</v>
      </c>
      <c r="AD44" s="220">
        <v>2</v>
      </c>
      <c r="AE44" s="220">
        <f t="shared" si="29"/>
        <v>-153</v>
      </c>
      <c r="AF44" s="220">
        <f t="shared" si="29"/>
        <v>-262</v>
      </c>
      <c r="AG44" s="220">
        <f t="shared" si="29"/>
        <v>-256</v>
      </c>
      <c r="AH44" s="220">
        <f t="shared" si="29"/>
        <v>-265</v>
      </c>
      <c r="AI44" s="220">
        <f t="shared" si="29"/>
        <v>-156</v>
      </c>
      <c r="AJ44" s="50">
        <f t="shared" si="12"/>
        <v>1.4110000000000016</v>
      </c>
      <c r="AK44" s="257"/>
      <c r="AL44" s="257">
        <f t="shared" si="13"/>
        <v>1.2</v>
      </c>
      <c r="AM44" s="52"/>
      <c r="AN44" s="88"/>
    </row>
    <row r="45" spans="1:40" s="29" customFormat="1" ht="17.25" customHeight="1">
      <c r="A45" s="48">
        <v>35</v>
      </c>
      <c r="B45" s="49">
        <f t="shared" si="6"/>
        <v>45619</v>
      </c>
      <c r="C45" s="220">
        <f t="shared" si="7"/>
        <v>1049</v>
      </c>
      <c r="D45" s="220">
        <f t="shared" ref="D45" si="45">D44-18</f>
        <v>2662</v>
      </c>
      <c r="E45" s="220">
        <f t="shared" si="8"/>
        <v>3711</v>
      </c>
      <c r="F45" s="220">
        <f t="shared" si="0"/>
        <v>1218</v>
      </c>
      <c r="G45" s="220">
        <f t="shared" si="1"/>
        <v>1263</v>
      </c>
      <c r="H45" s="220">
        <f t="shared" si="2"/>
        <v>1359</v>
      </c>
      <c r="I45" s="220">
        <f t="shared" si="3"/>
        <v>1352</v>
      </c>
      <c r="J45" s="220">
        <f t="shared" si="4"/>
        <v>1310</v>
      </c>
      <c r="K45" s="220">
        <f t="shared" si="5"/>
        <v>2493</v>
      </c>
      <c r="L45" s="220">
        <f t="shared" si="5"/>
        <v>2448</v>
      </c>
      <c r="M45" s="220">
        <f t="shared" si="5"/>
        <v>2352</v>
      </c>
      <c r="N45" s="220">
        <f t="shared" si="5"/>
        <v>2359</v>
      </c>
      <c r="O45" s="220">
        <f t="shared" si="5"/>
        <v>2401</v>
      </c>
      <c r="P45" s="220">
        <f t="shared" ref="P45:T60" si="46">+P44</f>
        <v>2000</v>
      </c>
      <c r="Q45" s="220">
        <f t="shared" si="46"/>
        <v>2150</v>
      </c>
      <c r="R45" s="220">
        <f t="shared" si="46"/>
        <v>2150</v>
      </c>
      <c r="S45" s="220">
        <f t="shared" si="46"/>
        <v>2150</v>
      </c>
      <c r="T45" s="220">
        <f t="shared" si="46"/>
        <v>2000</v>
      </c>
      <c r="U45" s="220">
        <f t="shared" ref="U45:Y60" si="47">U44-Z45</f>
        <v>493</v>
      </c>
      <c r="V45" s="220">
        <f t="shared" si="47"/>
        <v>298</v>
      </c>
      <c r="W45" s="220">
        <f t="shared" si="47"/>
        <v>202</v>
      </c>
      <c r="X45" s="220">
        <f t="shared" si="47"/>
        <v>209</v>
      </c>
      <c r="Y45" s="220">
        <f t="shared" si="47"/>
        <v>401</v>
      </c>
      <c r="Z45" s="220">
        <v>3</v>
      </c>
      <c r="AA45" s="220">
        <v>7</v>
      </c>
      <c r="AB45" s="220">
        <v>9</v>
      </c>
      <c r="AC45" s="220">
        <v>8</v>
      </c>
      <c r="AD45" s="220">
        <v>2</v>
      </c>
      <c r="AE45" s="220">
        <f t="shared" ref="AE45:AI60" si="48">AE44-Z45</f>
        <v>-156</v>
      </c>
      <c r="AF45" s="220">
        <f t="shared" si="48"/>
        <v>-269</v>
      </c>
      <c r="AG45" s="220">
        <f t="shared" si="48"/>
        <v>-265</v>
      </c>
      <c r="AH45" s="220">
        <f t="shared" si="48"/>
        <v>-273</v>
      </c>
      <c r="AI45" s="220">
        <f t="shared" si="48"/>
        <v>-158</v>
      </c>
      <c r="AJ45" s="50">
        <f t="shared" si="12"/>
        <v>1.4020000000000017</v>
      </c>
      <c r="AK45" s="257"/>
      <c r="AL45" s="257">
        <f t="shared" si="13"/>
        <v>1.2</v>
      </c>
      <c r="AM45" s="52"/>
      <c r="AN45" s="88"/>
    </row>
    <row r="46" spans="1:40" s="29" customFormat="1" ht="17.25" customHeight="1">
      <c r="A46" s="48">
        <v>36</v>
      </c>
      <c r="B46" s="49">
        <f t="shared" si="6"/>
        <v>45620</v>
      </c>
      <c r="C46" s="220">
        <f t="shared" si="7"/>
        <v>1049</v>
      </c>
      <c r="D46" s="220">
        <f t="shared" ref="D46" si="49">D45-26</f>
        <v>2636</v>
      </c>
      <c r="E46" s="220">
        <f t="shared" si="8"/>
        <v>3685</v>
      </c>
      <c r="F46" s="220">
        <f t="shared" si="0"/>
        <v>1195</v>
      </c>
      <c r="G46" s="220">
        <f t="shared" si="1"/>
        <v>1245</v>
      </c>
      <c r="H46" s="220">
        <f t="shared" si="2"/>
        <v>1341</v>
      </c>
      <c r="I46" s="220">
        <f t="shared" si="3"/>
        <v>1334</v>
      </c>
      <c r="J46" s="220">
        <f t="shared" si="4"/>
        <v>1286</v>
      </c>
      <c r="K46" s="220">
        <f t="shared" si="5"/>
        <v>2490</v>
      </c>
      <c r="L46" s="220">
        <f t="shared" si="5"/>
        <v>2440</v>
      </c>
      <c r="M46" s="220">
        <f t="shared" si="5"/>
        <v>2344</v>
      </c>
      <c r="N46" s="220">
        <f t="shared" si="5"/>
        <v>2351</v>
      </c>
      <c r="O46" s="220">
        <f t="shared" si="5"/>
        <v>2399</v>
      </c>
      <c r="P46" s="220">
        <f t="shared" si="46"/>
        <v>2000</v>
      </c>
      <c r="Q46" s="220">
        <f t="shared" si="46"/>
        <v>2150</v>
      </c>
      <c r="R46" s="220">
        <f t="shared" si="46"/>
        <v>2150</v>
      </c>
      <c r="S46" s="220">
        <f t="shared" si="46"/>
        <v>2150</v>
      </c>
      <c r="T46" s="220">
        <f t="shared" si="46"/>
        <v>2000</v>
      </c>
      <c r="U46" s="220">
        <f t="shared" si="47"/>
        <v>490</v>
      </c>
      <c r="V46" s="220">
        <f t="shared" si="47"/>
        <v>290</v>
      </c>
      <c r="W46" s="220">
        <f t="shared" si="47"/>
        <v>194</v>
      </c>
      <c r="X46" s="220">
        <f t="shared" si="47"/>
        <v>201</v>
      </c>
      <c r="Y46" s="220">
        <f t="shared" si="47"/>
        <v>399</v>
      </c>
      <c r="Z46" s="220">
        <v>3</v>
      </c>
      <c r="AA46" s="220">
        <v>8</v>
      </c>
      <c r="AB46" s="220">
        <v>8</v>
      </c>
      <c r="AC46" s="220">
        <v>8</v>
      </c>
      <c r="AD46" s="220">
        <v>2</v>
      </c>
      <c r="AE46" s="220">
        <f t="shared" si="48"/>
        <v>-159</v>
      </c>
      <c r="AF46" s="220">
        <f t="shared" si="48"/>
        <v>-277</v>
      </c>
      <c r="AG46" s="220">
        <f t="shared" si="48"/>
        <v>-273</v>
      </c>
      <c r="AH46" s="220">
        <f t="shared" si="48"/>
        <v>-281</v>
      </c>
      <c r="AI46" s="220">
        <f t="shared" si="48"/>
        <v>-160</v>
      </c>
      <c r="AJ46" s="50">
        <f t="shared" si="12"/>
        <v>1.3940000000000017</v>
      </c>
      <c r="AK46" s="257"/>
      <c r="AL46" s="257">
        <f t="shared" si="13"/>
        <v>1.2</v>
      </c>
      <c r="AM46" s="52"/>
      <c r="AN46" s="88"/>
    </row>
    <row r="47" spans="1:40" s="29" customFormat="1" ht="17.25" customHeight="1">
      <c r="A47" s="48">
        <v>37</v>
      </c>
      <c r="B47" s="49">
        <f t="shared" si="6"/>
        <v>45621</v>
      </c>
      <c r="C47" s="220">
        <f t="shared" si="7"/>
        <v>1049</v>
      </c>
      <c r="D47" s="220">
        <f t="shared" ref="D47" si="50">D46+15</f>
        <v>2651</v>
      </c>
      <c r="E47" s="220">
        <f t="shared" si="8"/>
        <v>3700</v>
      </c>
      <c r="F47" s="220">
        <f t="shared" si="0"/>
        <v>1212</v>
      </c>
      <c r="G47" s="220">
        <f t="shared" si="1"/>
        <v>1267</v>
      </c>
      <c r="H47" s="220">
        <f t="shared" si="2"/>
        <v>1363</v>
      </c>
      <c r="I47" s="220">
        <f t="shared" si="3"/>
        <v>1357</v>
      </c>
      <c r="J47" s="220">
        <f t="shared" si="4"/>
        <v>1302</v>
      </c>
      <c r="K47" s="220">
        <f t="shared" si="5"/>
        <v>2488</v>
      </c>
      <c r="L47" s="220">
        <f t="shared" si="5"/>
        <v>2433</v>
      </c>
      <c r="M47" s="220">
        <f t="shared" si="5"/>
        <v>2337</v>
      </c>
      <c r="N47" s="220">
        <f t="shared" si="5"/>
        <v>2343</v>
      </c>
      <c r="O47" s="220">
        <f t="shared" si="5"/>
        <v>2398</v>
      </c>
      <c r="P47" s="220">
        <f t="shared" si="46"/>
        <v>2000</v>
      </c>
      <c r="Q47" s="220">
        <f t="shared" si="46"/>
        <v>2150</v>
      </c>
      <c r="R47" s="220">
        <f t="shared" si="46"/>
        <v>2150</v>
      </c>
      <c r="S47" s="220">
        <f t="shared" si="46"/>
        <v>2150</v>
      </c>
      <c r="T47" s="220">
        <f t="shared" si="46"/>
        <v>2000</v>
      </c>
      <c r="U47" s="220">
        <f t="shared" si="47"/>
        <v>488</v>
      </c>
      <c r="V47" s="220">
        <f t="shared" si="47"/>
        <v>283</v>
      </c>
      <c r="W47" s="220">
        <f t="shared" si="47"/>
        <v>187</v>
      </c>
      <c r="X47" s="220">
        <f t="shared" si="47"/>
        <v>193</v>
      </c>
      <c r="Y47" s="220">
        <f t="shared" si="47"/>
        <v>398</v>
      </c>
      <c r="Z47" s="220">
        <v>2</v>
      </c>
      <c r="AA47" s="220">
        <v>7</v>
      </c>
      <c r="AB47" s="220">
        <v>7</v>
      </c>
      <c r="AC47" s="220">
        <v>8</v>
      </c>
      <c r="AD47" s="220">
        <v>1</v>
      </c>
      <c r="AE47" s="220">
        <f t="shared" si="48"/>
        <v>-161</v>
      </c>
      <c r="AF47" s="220">
        <f t="shared" si="48"/>
        <v>-284</v>
      </c>
      <c r="AG47" s="220">
        <f t="shared" si="48"/>
        <v>-280</v>
      </c>
      <c r="AH47" s="220">
        <f t="shared" si="48"/>
        <v>-289</v>
      </c>
      <c r="AI47" s="220">
        <f t="shared" si="48"/>
        <v>-161</v>
      </c>
      <c r="AJ47" s="50">
        <f t="shared" si="12"/>
        <v>1.3870000000000018</v>
      </c>
      <c r="AK47" s="257"/>
      <c r="AL47" s="257">
        <f t="shared" si="13"/>
        <v>1.2</v>
      </c>
      <c r="AM47" s="52"/>
      <c r="AN47" s="88"/>
    </row>
    <row r="48" spans="1:40" s="29" customFormat="1" ht="17.25" customHeight="1">
      <c r="A48" s="48">
        <v>38</v>
      </c>
      <c r="B48" s="49">
        <f t="shared" si="6"/>
        <v>45622</v>
      </c>
      <c r="C48" s="220">
        <f t="shared" si="7"/>
        <v>1049</v>
      </c>
      <c r="D48" s="220">
        <f t="shared" ref="D48" si="51">D47+26</f>
        <v>2677</v>
      </c>
      <c r="E48" s="220">
        <f t="shared" si="8"/>
        <v>3726</v>
      </c>
      <c r="F48" s="220">
        <f t="shared" si="0"/>
        <v>1240</v>
      </c>
      <c r="G48" s="220">
        <f t="shared" si="1"/>
        <v>1300</v>
      </c>
      <c r="H48" s="220">
        <f t="shared" si="2"/>
        <v>1397</v>
      </c>
      <c r="I48" s="220">
        <f t="shared" si="3"/>
        <v>1392</v>
      </c>
      <c r="J48" s="220">
        <f t="shared" si="4"/>
        <v>1329</v>
      </c>
      <c r="K48" s="220">
        <f t="shared" si="5"/>
        <v>2486</v>
      </c>
      <c r="L48" s="220">
        <f t="shared" si="5"/>
        <v>2426</v>
      </c>
      <c r="M48" s="220">
        <f t="shared" si="5"/>
        <v>2329</v>
      </c>
      <c r="N48" s="220">
        <f t="shared" si="5"/>
        <v>2334</v>
      </c>
      <c r="O48" s="220">
        <f t="shared" si="5"/>
        <v>2397</v>
      </c>
      <c r="P48" s="220">
        <f t="shared" si="46"/>
        <v>2000</v>
      </c>
      <c r="Q48" s="220">
        <f t="shared" si="46"/>
        <v>2150</v>
      </c>
      <c r="R48" s="220">
        <f t="shared" si="46"/>
        <v>2150</v>
      </c>
      <c r="S48" s="220">
        <f t="shared" si="46"/>
        <v>2150</v>
      </c>
      <c r="T48" s="220">
        <f t="shared" si="46"/>
        <v>2000</v>
      </c>
      <c r="U48" s="220">
        <f t="shared" si="47"/>
        <v>486</v>
      </c>
      <c r="V48" s="220">
        <f t="shared" si="47"/>
        <v>276</v>
      </c>
      <c r="W48" s="220">
        <f t="shared" si="47"/>
        <v>179</v>
      </c>
      <c r="X48" s="220">
        <f t="shared" si="47"/>
        <v>184</v>
      </c>
      <c r="Y48" s="220">
        <f t="shared" si="47"/>
        <v>397</v>
      </c>
      <c r="Z48" s="220">
        <v>2</v>
      </c>
      <c r="AA48" s="220">
        <v>7</v>
      </c>
      <c r="AB48" s="220">
        <v>8</v>
      </c>
      <c r="AC48" s="220">
        <v>9</v>
      </c>
      <c r="AD48" s="220">
        <v>1</v>
      </c>
      <c r="AE48" s="220">
        <f t="shared" si="48"/>
        <v>-163</v>
      </c>
      <c r="AF48" s="220">
        <f t="shared" si="48"/>
        <v>-291</v>
      </c>
      <c r="AG48" s="220">
        <f t="shared" si="48"/>
        <v>-288</v>
      </c>
      <c r="AH48" s="220">
        <f t="shared" si="48"/>
        <v>-298</v>
      </c>
      <c r="AI48" s="220">
        <f t="shared" si="48"/>
        <v>-162</v>
      </c>
      <c r="AJ48" s="50">
        <f t="shared" si="12"/>
        <v>1.3790000000000018</v>
      </c>
      <c r="AK48" s="257"/>
      <c r="AL48" s="257">
        <f t="shared" si="13"/>
        <v>1.2</v>
      </c>
      <c r="AM48" s="52"/>
      <c r="AN48" s="88"/>
    </row>
    <row r="49" spans="1:40" s="29" customFormat="1" ht="17.25" customHeight="1">
      <c r="A49" s="48">
        <v>39</v>
      </c>
      <c r="B49" s="49">
        <f t="shared" si="6"/>
        <v>45623</v>
      </c>
      <c r="C49" s="220">
        <f t="shared" si="7"/>
        <v>1049</v>
      </c>
      <c r="D49" s="220">
        <f t="shared" ref="D49" si="52">D48+32</f>
        <v>2709</v>
      </c>
      <c r="E49" s="220">
        <f t="shared" si="8"/>
        <v>3758</v>
      </c>
      <c r="F49" s="220">
        <f t="shared" si="0"/>
        <v>1274</v>
      </c>
      <c r="G49" s="220">
        <f t="shared" si="1"/>
        <v>1339</v>
      </c>
      <c r="H49" s="220">
        <f t="shared" si="2"/>
        <v>1437</v>
      </c>
      <c r="I49" s="220">
        <f t="shared" si="3"/>
        <v>1432</v>
      </c>
      <c r="J49" s="220">
        <f t="shared" si="4"/>
        <v>1362</v>
      </c>
      <c r="K49" s="220">
        <f t="shared" si="5"/>
        <v>2484</v>
      </c>
      <c r="L49" s="220">
        <f t="shared" si="5"/>
        <v>2419</v>
      </c>
      <c r="M49" s="220">
        <f t="shared" si="5"/>
        <v>2321</v>
      </c>
      <c r="N49" s="220">
        <f t="shared" si="5"/>
        <v>2326</v>
      </c>
      <c r="O49" s="220">
        <f t="shared" si="5"/>
        <v>2396</v>
      </c>
      <c r="P49" s="220">
        <f t="shared" si="46"/>
        <v>2000</v>
      </c>
      <c r="Q49" s="220">
        <f t="shared" si="46"/>
        <v>2150</v>
      </c>
      <c r="R49" s="220">
        <f t="shared" si="46"/>
        <v>2150</v>
      </c>
      <c r="S49" s="220">
        <f t="shared" si="46"/>
        <v>2150</v>
      </c>
      <c r="T49" s="220">
        <f t="shared" si="46"/>
        <v>2000</v>
      </c>
      <c r="U49" s="220">
        <f t="shared" si="47"/>
        <v>484</v>
      </c>
      <c r="V49" s="220">
        <f t="shared" si="47"/>
        <v>269</v>
      </c>
      <c r="W49" s="220">
        <f t="shared" si="47"/>
        <v>171</v>
      </c>
      <c r="X49" s="220">
        <f t="shared" si="47"/>
        <v>176</v>
      </c>
      <c r="Y49" s="220">
        <f t="shared" si="47"/>
        <v>396</v>
      </c>
      <c r="Z49" s="220">
        <v>2</v>
      </c>
      <c r="AA49" s="220">
        <v>7</v>
      </c>
      <c r="AB49" s="220">
        <v>8</v>
      </c>
      <c r="AC49" s="220">
        <v>8</v>
      </c>
      <c r="AD49" s="220">
        <v>1</v>
      </c>
      <c r="AE49" s="220">
        <f t="shared" si="48"/>
        <v>-165</v>
      </c>
      <c r="AF49" s="220">
        <f t="shared" si="48"/>
        <v>-298</v>
      </c>
      <c r="AG49" s="220">
        <f t="shared" si="48"/>
        <v>-296</v>
      </c>
      <c r="AH49" s="220">
        <f t="shared" si="48"/>
        <v>-306</v>
      </c>
      <c r="AI49" s="220">
        <f t="shared" si="48"/>
        <v>-163</v>
      </c>
      <c r="AJ49" s="50">
        <f t="shared" si="12"/>
        <v>1.3710000000000018</v>
      </c>
      <c r="AK49" s="257"/>
      <c r="AL49" s="257">
        <f t="shared" si="13"/>
        <v>1.2</v>
      </c>
      <c r="AM49" s="52"/>
      <c r="AN49" s="88"/>
    </row>
    <row r="50" spans="1:40" s="29" customFormat="1" ht="17.25" customHeight="1">
      <c r="A50" s="48">
        <v>40</v>
      </c>
      <c r="B50" s="49">
        <f t="shared" si="6"/>
        <v>45624</v>
      </c>
      <c r="C50" s="220">
        <f t="shared" si="7"/>
        <v>1049</v>
      </c>
      <c r="D50" s="220">
        <f t="shared" ref="D50" si="53">D49-18</f>
        <v>2691</v>
      </c>
      <c r="E50" s="220">
        <f t="shared" si="8"/>
        <v>3740</v>
      </c>
      <c r="F50" s="220">
        <f t="shared" si="0"/>
        <v>1258</v>
      </c>
      <c r="G50" s="220">
        <f t="shared" si="1"/>
        <v>1329</v>
      </c>
      <c r="H50" s="220">
        <f t="shared" si="2"/>
        <v>1427</v>
      </c>
      <c r="I50" s="220">
        <f t="shared" si="3"/>
        <v>1422</v>
      </c>
      <c r="J50" s="220">
        <f t="shared" si="4"/>
        <v>1345</v>
      </c>
      <c r="K50" s="220">
        <f t="shared" si="5"/>
        <v>2482</v>
      </c>
      <c r="L50" s="220">
        <f t="shared" si="5"/>
        <v>2411</v>
      </c>
      <c r="M50" s="220">
        <f t="shared" si="5"/>
        <v>2313</v>
      </c>
      <c r="N50" s="220">
        <f t="shared" si="5"/>
        <v>2318</v>
      </c>
      <c r="O50" s="220">
        <f t="shared" si="5"/>
        <v>2395</v>
      </c>
      <c r="P50" s="220">
        <f t="shared" si="46"/>
        <v>2000</v>
      </c>
      <c r="Q50" s="220">
        <f t="shared" si="46"/>
        <v>2150</v>
      </c>
      <c r="R50" s="220">
        <f t="shared" si="46"/>
        <v>2150</v>
      </c>
      <c r="S50" s="220">
        <f t="shared" si="46"/>
        <v>2150</v>
      </c>
      <c r="T50" s="220">
        <f t="shared" si="46"/>
        <v>2000</v>
      </c>
      <c r="U50" s="220">
        <f t="shared" si="47"/>
        <v>482</v>
      </c>
      <c r="V50" s="220">
        <f t="shared" si="47"/>
        <v>261</v>
      </c>
      <c r="W50" s="220">
        <f t="shared" si="47"/>
        <v>163</v>
      </c>
      <c r="X50" s="220">
        <f t="shared" si="47"/>
        <v>168</v>
      </c>
      <c r="Y50" s="220">
        <f t="shared" si="47"/>
        <v>395</v>
      </c>
      <c r="Z50" s="220">
        <v>2</v>
      </c>
      <c r="AA50" s="220">
        <v>8</v>
      </c>
      <c r="AB50" s="220">
        <v>8</v>
      </c>
      <c r="AC50" s="220">
        <v>8</v>
      </c>
      <c r="AD50" s="220">
        <v>1</v>
      </c>
      <c r="AE50" s="220">
        <f t="shared" si="48"/>
        <v>-167</v>
      </c>
      <c r="AF50" s="220">
        <f t="shared" si="48"/>
        <v>-306</v>
      </c>
      <c r="AG50" s="220">
        <f t="shared" si="48"/>
        <v>-304</v>
      </c>
      <c r="AH50" s="220">
        <f t="shared" si="48"/>
        <v>-314</v>
      </c>
      <c r="AI50" s="220">
        <f t="shared" si="48"/>
        <v>-164</v>
      </c>
      <c r="AJ50" s="50">
        <f t="shared" si="12"/>
        <v>1.3630000000000018</v>
      </c>
      <c r="AK50" s="257"/>
      <c r="AL50" s="257">
        <f t="shared" si="13"/>
        <v>1.2</v>
      </c>
      <c r="AM50" s="52"/>
      <c r="AN50" s="88"/>
    </row>
    <row r="51" spans="1:40" s="29" customFormat="1" ht="17.25" customHeight="1">
      <c r="A51" s="48">
        <v>41</v>
      </c>
      <c r="B51" s="49">
        <f t="shared" si="6"/>
        <v>45625</v>
      </c>
      <c r="C51" s="220">
        <f t="shared" si="7"/>
        <v>1049</v>
      </c>
      <c r="D51" s="220">
        <f t="shared" ref="D51" si="54">D50-26</f>
        <v>2665</v>
      </c>
      <c r="E51" s="220">
        <f t="shared" si="8"/>
        <v>3714</v>
      </c>
      <c r="F51" s="220">
        <f t="shared" si="0"/>
        <v>1233</v>
      </c>
      <c r="G51" s="220">
        <f t="shared" si="1"/>
        <v>1310</v>
      </c>
      <c r="H51" s="220">
        <f t="shared" si="2"/>
        <v>1408</v>
      </c>
      <c r="I51" s="220">
        <f t="shared" si="3"/>
        <v>1403</v>
      </c>
      <c r="J51" s="220">
        <f t="shared" si="4"/>
        <v>1320</v>
      </c>
      <c r="K51" s="220">
        <f t="shared" si="5"/>
        <v>2481</v>
      </c>
      <c r="L51" s="220">
        <f t="shared" si="5"/>
        <v>2404</v>
      </c>
      <c r="M51" s="220">
        <f t="shared" si="5"/>
        <v>2306</v>
      </c>
      <c r="N51" s="220">
        <f t="shared" si="5"/>
        <v>2311</v>
      </c>
      <c r="O51" s="220">
        <f t="shared" si="5"/>
        <v>2394</v>
      </c>
      <c r="P51" s="220">
        <f t="shared" si="46"/>
        <v>2000</v>
      </c>
      <c r="Q51" s="220">
        <f t="shared" si="46"/>
        <v>2150</v>
      </c>
      <c r="R51" s="220">
        <f t="shared" si="46"/>
        <v>2150</v>
      </c>
      <c r="S51" s="220">
        <f t="shared" si="46"/>
        <v>2150</v>
      </c>
      <c r="T51" s="220">
        <f t="shared" si="46"/>
        <v>2000</v>
      </c>
      <c r="U51" s="220">
        <f t="shared" si="47"/>
        <v>481</v>
      </c>
      <c r="V51" s="220">
        <f t="shared" si="47"/>
        <v>254</v>
      </c>
      <c r="W51" s="220">
        <f t="shared" si="47"/>
        <v>156</v>
      </c>
      <c r="X51" s="220">
        <f t="shared" si="47"/>
        <v>161</v>
      </c>
      <c r="Y51" s="220">
        <f t="shared" si="47"/>
        <v>394</v>
      </c>
      <c r="Z51" s="220">
        <v>1</v>
      </c>
      <c r="AA51" s="220">
        <v>7</v>
      </c>
      <c r="AB51" s="220">
        <v>7</v>
      </c>
      <c r="AC51" s="220">
        <v>7</v>
      </c>
      <c r="AD51" s="220">
        <v>1</v>
      </c>
      <c r="AE51" s="220">
        <f t="shared" si="48"/>
        <v>-168</v>
      </c>
      <c r="AF51" s="220">
        <f t="shared" si="48"/>
        <v>-313</v>
      </c>
      <c r="AG51" s="220">
        <f t="shared" si="48"/>
        <v>-311</v>
      </c>
      <c r="AH51" s="220">
        <f t="shared" si="48"/>
        <v>-321</v>
      </c>
      <c r="AI51" s="220">
        <f t="shared" si="48"/>
        <v>-165</v>
      </c>
      <c r="AJ51" s="50">
        <f t="shared" si="12"/>
        <v>1.3560000000000019</v>
      </c>
      <c r="AK51" s="257"/>
      <c r="AL51" s="257">
        <f t="shared" si="13"/>
        <v>1.2</v>
      </c>
      <c r="AM51" s="52"/>
      <c r="AN51" s="88"/>
    </row>
    <row r="52" spans="1:40" s="29" customFormat="1" ht="17.25" customHeight="1">
      <c r="A52" s="48">
        <v>42</v>
      </c>
      <c r="B52" s="49">
        <f t="shared" si="6"/>
        <v>45626</v>
      </c>
      <c r="C52" s="220">
        <f t="shared" si="7"/>
        <v>1049</v>
      </c>
      <c r="D52" s="220">
        <f t="shared" ref="D52" si="55">D51+15</f>
        <v>2680</v>
      </c>
      <c r="E52" s="220">
        <f t="shared" si="8"/>
        <v>3729</v>
      </c>
      <c r="F52" s="220">
        <f t="shared" si="0"/>
        <v>1249</v>
      </c>
      <c r="G52" s="220">
        <f t="shared" si="1"/>
        <v>1332</v>
      </c>
      <c r="H52" s="220">
        <f t="shared" si="2"/>
        <v>1431</v>
      </c>
      <c r="I52" s="220">
        <f t="shared" si="3"/>
        <v>1426</v>
      </c>
      <c r="J52" s="220">
        <f t="shared" si="4"/>
        <v>1336</v>
      </c>
      <c r="K52" s="220">
        <f t="shared" si="5"/>
        <v>2480</v>
      </c>
      <c r="L52" s="220">
        <f t="shared" si="5"/>
        <v>2397</v>
      </c>
      <c r="M52" s="220">
        <f t="shared" si="5"/>
        <v>2298</v>
      </c>
      <c r="N52" s="220">
        <f t="shared" si="5"/>
        <v>2303</v>
      </c>
      <c r="O52" s="220">
        <f t="shared" si="5"/>
        <v>2393</v>
      </c>
      <c r="P52" s="220">
        <f t="shared" si="46"/>
        <v>2000</v>
      </c>
      <c r="Q52" s="220">
        <f t="shared" si="46"/>
        <v>2150</v>
      </c>
      <c r="R52" s="220">
        <f t="shared" si="46"/>
        <v>2150</v>
      </c>
      <c r="S52" s="220">
        <f t="shared" si="46"/>
        <v>2150</v>
      </c>
      <c r="T52" s="220">
        <f t="shared" si="46"/>
        <v>2000</v>
      </c>
      <c r="U52" s="220">
        <f t="shared" si="47"/>
        <v>480</v>
      </c>
      <c r="V52" s="220">
        <f t="shared" si="47"/>
        <v>247</v>
      </c>
      <c r="W52" s="220">
        <f t="shared" si="47"/>
        <v>148</v>
      </c>
      <c r="X52" s="220">
        <f t="shared" si="47"/>
        <v>153</v>
      </c>
      <c r="Y52" s="220">
        <f t="shared" si="47"/>
        <v>393</v>
      </c>
      <c r="Z52" s="220">
        <v>1</v>
      </c>
      <c r="AA52" s="220">
        <v>7</v>
      </c>
      <c r="AB52" s="220">
        <v>8</v>
      </c>
      <c r="AC52" s="220">
        <v>8</v>
      </c>
      <c r="AD52" s="220">
        <v>1</v>
      </c>
      <c r="AE52" s="220">
        <f t="shared" si="48"/>
        <v>-169</v>
      </c>
      <c r="AF52" s="220">
        <f t="shared" si="48"/>
        <v>-320</v>
      </c>
      <c r="AG52" s="220">
        <f t="shared" si="48"/>
        <v>-319</v>
      </c>
      <c r="AH52" s="220">
        <f t="shared" si="48"/>
        <v>-329</v>
      </c>
      <c r="AI52" s="220">
        <f t="shared" si="48"/>
        <v>-166</v>
      </c>
      <c r="AJ52" s="50">
        <f t="shared" si="12"/>
        <v>1.3480000000000019</v>
      </c>
      <c r="AK52" s="257"/>
      <c r="AL52" s="257">
        <f t="shared" si="13"/>
        <v>1.2</v>
      </c>
      <c r="AM52" s="52"/>
      <c r="AN52" s="88"/>
    </row>
    <row r="53" spans="1:40" s="29" customFormat="1" ht="17.25" customHeight="1">
      <c r="A53" s="48">
        <v>43</v>
      </c>
      <c r="B53" s="49">
        <f t="shared" si="6"/>
        <v>45627</v>
      </c>
      <c r="C53" s="220">
        <f t="shared" si="7"/>
        <v>1049</v>
      </c>
      <c r="D53" s="220">
        <f t="shared" ref="D53" si="56">D52+26</f>
        <v>2706</v>
      </c>
      <c r="E53" s="220">
        <f t="shared" si="8"/>
        <v>3755</v>
      </c>
      <c r="F53" s="220">
        <f t="shared" si="0"/>
        <v>1276</v>
      </c>
      <c r="G53" s="220">
        <f t="shared" si="1"/>
        <v>1364</v>
      </c>
      <c r="H53" s="220">
        <f t="shared" si="2"/>
        <v>1465</v>
      </c>
      <c r="I53" s="220">
        <f t="shared" si="3"/>
        <v>1459</v>
      </c>
      <c r="J53" s="220">
        <f t="shared" si="4"/>
        <v>1363</v>
      </c>
      <c r="K53" s="220">
        <f t="shared" si="5"/>
        <v>2479</v>
      </c>
      <c r="L53" s="220">
        <f t="shared" si="5"/>
        <v>2391</v>
      </c>
      <c r="M53" s="220">
        <f t="shared" si="5"/>
        <v>2290</v>
      </c>
      <c r="N53" s="220">
        <f t="shared" si="5"/>
        <v>2296</v>
      </c>
      <c r="O53" s="220">
        <f t="shared" si="5"/>
        <v>2392</v>
      </c>
      <c r="P53" s="220">
        <f t="shared" si="46"/>
        <v>2000</v>
      </c>
      <c r="Q53" s="220">
        <f t="shared" si="46"/>
        <v>2150</v>
      </c>
      <c r="R53" s="220">
        <f t="shared" si="46"/>
        <v>2150</v>
      </c>
      <c r="S53" s="220">
        <f t="shared" si="46"/>
        <v>2150</v>
      </c>
      <c r="T53" s="220">
        <f t="shared" si="46"/>
        <v>2000</v>
      </c>
      <c r="U53" s="220">
        <f t="shared" si="47"/>
        <v>479</v>
      </c>
      <c r="V53" s="220">
        <f t="shared" si="47"/>
        <v>241</v>
      </c>
      <c r="W53" s="220">
        <f t="shared" si="47"/>
        <v>140</v>
      </c>
      <c r="X53" s="220">
        <f t="shared" si="47"/>
        <v>146</v>
      </c>
      <c r="Y53" s="220">
        <f t="shared" si="47"/>
        <v>392</v>
      </c>
      <c r="Z53" s="220">
        <v>1</v>
      </c>
      <c r="AA53" s="220">
        <v>6</v>
      </c>
      <c r="AB53" s="220">
        <v>8</v>
      </c>
      <c r="AC53" s="220">
        <v>7</v>
      </c>
      <c r="AD53" s="220">
        <v>1</v>
      </c>
      <c r="AE53" s="220">
        <f t="shared" si="48"/>
        <v>-170</v>
      </c>
      <c r="AF53" s="220">
        <f t="shared" si="48"/>
        <v>-326</v>
      </c>
      <c r="AG53" s="220">
        <f t="shared" si="48"/>
        <v>-327</v>
      </c>
      <c r="AH53" s="220">
        <f t="shared" si="48"/>
        <v>-336</v>
      </c>
      <c r="AI53" s="220">
        <f t="shared" si="48"/>
        <v>-167</v>
      </c>
      <c r="AJ53" s="50">
        <f t="shared" si="12"/>
        <v>1.3400000000000019</v>
      </c>
      <c r="AK53" s="257"/>
      <c r="AL53" s="257">
        <f t="shared" si="13"/>
        <v>1.2</v>
      </c>
      <c r="AM53" s="52"/>
      <c r="AN53" s="88"/>
    </row>
    <row r="54" spans="1:40" s="29" customFormat="1" ht="17.25" customHeight="1">
      <c r="A54" s="48">
        <v>44</v>
      </c>
      <c r="B54" s="49">
        <f t="shared" si="6"/>
        <v>45628</v>
      </c>
      <c r="C54" s="220">
        <f t="shared" si="7"/>
        <v>1049</v>
      </c>
      <c r="D54" s="220">
        <f t="shared" ref="D54" si="57">D53+32</f>
        <v>2738</v>
      </c>
      <c r="E54" s="220">
        <f t="shared" si="8"/>
        <v>3787</v>
      </c>
      <c r="F54" s="220">
        <f t="shared" si="0"/>
        <v>1309</v>
      </c>
      <c r="G54" s="220">
        <f t="shared" si="1"/>
        <v>1402</v>
      </c>
      <c r="H54" s="220">
        <f t="shared" si="2"/>
        <v>1504</v>
      </c>
      <c r="I54" s="220">
        <f t="shared" si="3"/>
        <v>1498</v>
      </c>
      <c r="J54" s="220">
        <f t="shared" si="4"/>
        <v>1395</v>
      </c>
      <c r="K54" s="220">
        <f t="shared" si="5"/>
        <v>2478</v>
      </c>
      <c r="L54" s="220">
        <f t="shared" si="5"/>
        <v>2385</v>
      </c>
      <c r="M54" s="220">
        <f t="shared" si="5"/>
        <v>2283</v>
      </c>
      <c r="N54" s="220">
        <f t="shared" si="5"/>
        <v>2289</v>
      </c>
      <c r="O54" s="220">
        <f t="shared" si="5"/>
        <v>2392</v>
      </c>
      <c r="P54" s="220">
        <f t="shared" si="46"/>
        <v>2000</v>
      </c>
      <c r="Q54" s="220">
        <f t="shared" si="46"/>
        <v>2150</v>
      </c>
      <c r="R54" s="220">
        <f t="shared" si="46"/>
        <v>2150</v>
      </c>
      <c r="S54" s="220">
        <f t="shared" si="46"/>
        <v>2150</v>
      </c>
      <c r="T54" s="220">
        <f t="shared" si="46"/>
        <v>2000</v>
      </c>
      <c r="U54" s="220">
        <f t="shared" si="47"/>
        <v>478</v>
      </c>
      <c r="V54" s="220">
        <f t="shared" si="47"/>
        <v>235</v>
      </c>
      <c r="W54" s="220">
        <f t="shared" si="47"/>
        <v>133</v>
      </c>
      <c r="X54" s="220">
        <f t="shared" si="47"/>
        <v>139</v>
      </c>
      <c r="Y54" s="220">
        <f t="shared" si="47"/>
        <v>392</v>
      </c>
      <c r="Z54" s="220">
        <v>1</v>
      </c>
      <c r="AA54" s="220">
        <v>6</v>
      </c>
      <c r="AB54" s="220">
        <v>7</v>
      </c>
      <c r="AC54" s="220">
        <v>7</v>
      </c>
      <c r="AD54" s="220">
        <v>0</v>
      </c>
      <c r="AE54" s="220">
        <f t="shared" si="48"/>
        <v>-171</v>
      </c>
      <c r="AF54" s="220">
        <f t="shared" si="48"/>
        <v>-332</v>
      </c>
      <c r="AG54" s="220">
        <f t="shared" si="48"/>
        <v>-334</v>
      </c>
      <c r="AH54" s="220">
        <f t="shared" si="48"/>
        <v>-343</v>
      </c>
      <c r="AI54" s="220">
        <f t="shared" si="48"/>
        <v>-167</v>
      </c>
      <c r="AJ54" s="50">
        <f t="shared" si="12"/>
        <v>1.333000000000002</v>
      </c>
      <c r="AK54" s="257"/>
      <c r="AL54" s="257">
        <f t="shared" si="13"/>
        <v>1.2</v>
      </c>
      <c r="AM54" s="52"/>
      <c r="AN54" s="88"/>
    </row>
    <row r="55" spans="1:40" s="29" customFormat="1" ht="17.25" customHeight="1">
      <c r="A55" s="48">
        <v>45</v>
      </c>
      <c r="B55" s="49">
        <f t="shared" si="6"/>
        <v>45629</v>
      </c>
      <c r="C55" s="220">
        <f t="shared" si="7"/>
        <v>1049</v>
      </c>
      <c r="D55" s="220">
        <f t="shared" ref="D55" si="58">D54-18</f>
        <v>2720</v>
      </c>
      <c r="E55" s="220">
        <f t="shared" si="8"/>
        <v>3769</v>
      </c>
      <c r="F55" s="220">
        <f t="shared" si="0"/>
        <v>1292</v>
      </c>
      <c r="G55" s="220">
        <f t="shared" si="1"/>
        <v>1391</v>
      </c>
      <c r="H55" s="220">
        <f t="shared" si="2"/>
        <v>1494</v>
      </c>
      <c r="I55" s="220">
        <f t="shared" si="3"/>
        <v>1488</v>
      </c>
      <c r="J55" s="220">
        <f t="shared" si="4"/>
        <v>1377</v>
      </c>
      <c r="K55" s="220">
        <f t="shared" si="5"/>
        <v>2477</v>
      </c>
      <c r="L55" s="220">
        <f t="shared" si="5"/>
        <v>2378</v>
      </c>
      <c r="M55" s="220">
        <f t="shared" si="5"/>
        <v>2275</v>
      </c>
      <c r="N55" s="220">
        <f t="shared" si="5"/>
        <v>2281</v>
      </c>
      <c r="O55" s="220">
        <f t="shared" si="5"/>
        <v>2392</v>
      </c>
      <c r="P55" s="220">
        <f t="shared" si="46"/>
        <v>2000</v>
      </c>
      <c r="Q55" s="220">
        <f t="shared" si="46"/>
        <v>2150</v>
      </c>
      <c r="R55" s="220">
        <f t="shared" si="46"/>
        <v>2150</v>
      </c>
      <c r="S55" s="220">
        <f t="shared" si="46"/>
        <v>2150</v>
      </c>
      <c r="T55" s="220">
        <f t="shared" si="46"/>
        <v>2000</v>
      </c>
      <c r="U55" s="220">
        <f t="shared" si="47"/>
        <v>477</v>
      </c>
      <c r="V55" s="220">
        <f t="shared" si="47"/>
        <v>228</v>
      </c>
      <c r="W55" s="220">
        <f t="shared" si="47"/>
        <v>125</v>
      </c>
      <c r="X55" s="220">
        <f t="shared" si="47"/>
        <v>131</v>
      </c>
      <c r="Y55" s="220">
        <f t="shared" si="47"/>
        <v>392</v>
      </c>
      <c r="Z55" s="220">
        <v>1</v>
      </c>
      <c r="AA55" s="220">
        <v>7</v>
      </c>
      <c r="AB55" s="220">
        <v>8</v>
      </c>
      <c r="AC55" s="220">
        <v>8</v>
      </c>
      <c r="AD55" s="220">
        <v>0</v>
      </c>
      <c r="AE55" s="220">
        <f t="shared" si="48"/>
        <v>-172</v>
      </c>
      <c r="AF55" s="220">
        <f t="shared" si="48"/>
        <v>-339</v>
      </c>
      <c r="AG55" s="220">
        <f t="shared" si="48"/>
        <v>-342</v>
      </c>
      <c r="AH55" s="220">
        <f t="shared" si="48"/>
        <v>-351</v>
      </c>
      <c r="AI55" s="220">
        <f t="shared" si="48"/>
        <v>-167</v>
      </c>
      <c r="AJ55" s="50">
        <f t="shared" si="12"/>
        <v>1.325000000000002</v>
      </c>
      <c r="AK55" s="257"/>
      <c r="AL55" s="257">
        <f t="shared" si="13"/>
        <v>1.2</v>
      </c>
      <c r="AM55" s="52"/>
      <c r="AN55" s="88"/>
    </row>
    <row r="56" spans="1:40" s="29" customFormat="1" ht="17.25" customHeight="1">
      <c r="A56" s="48">
        <v>46</v>
      </c>
      <c r="B56" s="49">
        <f t="shared" si="6"/>
        <v>45630</v>
      </c>
      <c r="C56" s="220">
        <f t="shared" si="7"/>
        <v>1049</v>
      </c>
      <c r="D56" s="220">
        <v>1986</v>
      </c>
      <c r="E56" s="220">
        <f t="shared" si="8"/>
        <v>3035</v>
      </c>
      <c r="F56" s="220">
        <f t="shared" si="0"/>
        <v>559</v>
      </c>
      <c r="G56" s="220">
        <f t="shared" si="1"/>
        <v>663</v>
      </c>
      <c r="H56" s="220">
        <f t="shared" si="2"/>
        <v>768</v>
      </c>
      <c r="I56" s="220">
        <f t="shared" si="3"/>
        <v>761</v>
      </c>
      <c r="J56" s="220">
        <f t="shared" si="4"/>
        <v>645</v>
      </c>
      <c r="K56" s="220">
        <f t="shared" si="5"/>
        <v>2476</v>
      </c>
      <c r="L56" s="220">
        <f t="shared" si="5"/>
        <v>2372</v>
      </c>
      <c r="M56" s="220">
        <f t="shared" si="5"/>
        <v>2267</v>
      </c>
      <c r="N56" s="220">
        <f t="shared" si="5"/>
        <v>2274</v>
      </c>
      <c r="O56" s="220">
        <f t="shared" si="5"/>
        <v>2390</v>
      </c>
      <c r="P56" s="220">
        <f t="shared" si="46"/>
        <v>2000</v>
      </c>
      <c r="Q56" s="220">
        <f t="shared" si="46"/>
        <v>2150</v>
      </c>
      <c r="R56" s="220">
        <f t="shared" si="46"/>
        <v>2150</v>
      </c>
      <c r="S56" s="220">
        <f t="shared" si="46"/>
        <v>2150</v>
      </c>
      <c r="T56" s="220">
        <f t="shared" si="46"/>
        <v>2000</v>
      </c>
      <c r="U56" s="220">
        <f t="shared" si="47"/>
        <v>476</v>
      </c>
      <c r="V56" s="220">
        <f t="shared" si="47"/>
        <v>222</v>
      </c>
      <c r="W56" s="220">
        <f t="shared" si="47"/>
        <v>117</v>
      </c>
      <c r="X56" s="220">
        <f t="shared" si="47"/>
        <v>124</v>
      </c>
      <c r="Y56" s="220">
        <f t="shared" si="47"/>
        <v>390</v>
      </c>
      <c r="Z56" s="220">
        <v>1</v>
      </c>
      <c r="AA56" s="220">
        <v>6</v>
      </c>
      <c r="AB56" s="220">
        <v>8</v>
      </c>
      <c r="AC56" s="220">
        <v>7</v>
      </c>
      <c r="AD56" s="220">
        <v>2</v>
      </c>
      <c r="AE56" s="220">
        <f t="shared" si="48"/>
        <v>-173</v>
      </c>
      <c r="AF56" s="220">
        <f t="shared" si="48"/>
        <v>-345</v>
      </c>
      <c r="AG56" s="220">
        <f t="shared" si="48"/>
        <v>-350</v>
      </c>
      <c r="AH56" s="220">
        <f t="shared" si="48"/>
        <v>-358</v>
      </c>
      <c r="AI56" s="220">
        <f t="shared" si="48"/>
        <v>-169</v>
      </c>
      <c r="AJ56" s="50">
        <f t="shared" si="12"/>
        <v>1.3170000000000019</v>
      </c>
      <c r="AK56" s="257"/>
      <c r="AL56" s="257">
        <f t="shared" si="13"/>
        <v>1.2</v>
      </c>
      <c r="AM56" s="52"/>
      <c r="AN56" s="88"/>
    </row>
    <row r="57" spans="1:40" s="29" customFormat="1" ht="17.25" customHeight="1">
      <c r="A57" s="48">
        <v>47</v>
      </c>
      <c r="B57" s="49">
        <f t="shared" si="6"/>
        <v>45631</v>
      </c>
      <c r="C57" s="220">
        <f t="shared" si="7"/>
        <v>1049</v>
      </c>
      <c r="D57" s="220">
        <f t="shared" ref="D57" si="59">D56+15</f>
        <v>2001</v>
      </c>
      <c r="E57" s="220">
        <f t="shared" si="8"/>
        <v>3050</v>
      </c>
      <c r="F57" s="220">
        <f t="shared" si="0"/>
        <v>575</v>
      </c>
      <c r="G57" s="220">
        <f t="shared" si="1"/>
        <v>684</v>
      </c>
      <c r="H57" s="220">
        <f t="shared" si="2"/>
        <v>790</v>
      </c>
      <c r="I57" s="220">
        <f t="shared" si="3"/>
        <v>783</v>
      </c>
      <c r="J57" s="220">
        <f t="shared" si="4"/>
        <v>660</v>
      </c>
      <c r="K57" s="220">
        <f t="shared" si="5"/>
        <v>2475</v>
      </c>
      <c r="L57" s="220">
        <f t="shared" si="5"/>
        <v>2366</v>
      </c>
      <c r="M57" s="220">
        <f t="shared" si="5"/>
        <v>2260</v>
      </c>
      <c r="N57" s="220">
        <f t="shared" si="5"/>
        <v>2267</v>
      </c>
      <c r="O57" s="220">
        <f t="shared" si="5"/>
        <v>2390</v>
      </c>
      <c r="P57" s="220">
        <f t="shared" si="46"/>
        <v>2000</v>
      </c>
      <c r="Q57" s="220">
        <f t="shared" si="46"/>
        <v>2150</v>
      </c>
      <c r="R57" s="220">
        <f t="shared" si="46"/>
        <v>2150</v>
      </c>
      <c r="S57" s="220">
        <f t="shared" si="46"/>
        <v>2150</v>
      </c>
      <c r="T57" s="220">
        <f t="shared" si="46"/>
        <v>2000</v>
      </c>
      <c r="U57" s="220">
        <f t="shared" si="47"/>
        <v>475</v>
      </c>
      <c r="V57" s="220">
        <f t="shared" si="47"/>
        <v>216</v>
      </c>
      <c r="W57" s="220">
        <f t="shared" si="47"/>
        <v>110</v>
      </c>
      <c r="X57" s="220">
        <f t="shared" si="47"/>
        <v>117</v>
      </c>
      <c r="Y57" s="220">
        <f t="shared" si="47"/>
        <v>390</v>
      </c>
      <c r="Z57" s="220">
        <v>1</v>
      </c>
      <c r="AA57" s="220">
        <v>6</v>
      </c>
      <c r="AB57" s="220">
        <v>7</v>
      </c>
      <c r="AC57" s="220">
        <v>7</v>
      </c>
      <c r="AD57" s="220">
        <v>0</v>
      </c>
      <c r="AE57" s="220">
        <f t="shared" si="48"/>
        <v>-174</v>
      </c>
      <c r="AF57" s="220">
        <f t="shared" si="48"/>
        <v>-351</v>
      </c>
      <c r="AG57" s="220">
        <f t="shared" si="48"/>
        <v>-357</v>
      </c>
      <c r="AH57" s="220">
        <f t="shared" si="48"/>
        <v>-365</v>
      </c>
      <c r="AI57" s="220">
        <f t="shared" si="48"/>
        <v>-169</v>
      </c>
      <c r="AJ57" s="50">
        <f t="shared" si="12"/>
        <v>1.3100000000000021</v>
      </c>
      <c r="AK57" s="257"/>
      <c r="AL57" s="257">
        <f t="shared" si="13"/>
        <v>1.2</v>
      </c>
      <c r="AM57" s="52"/>
      <c r="AN57" s="88"/>
    </row>
    <row r="58" spans="1:40" s="29" customFormat="1" ht="17.25" customHeight="1">
      <c r="A58" s="48">
        <v>48</v>
      </c>
      <c r="B58" s="49">
        <f t="shared" si="6"/>
        <v>45632</v>
      </c>
      <c r="C58" s="220">
        <f t="shared" si="7"/>
        <v>1049</v>
      </c>
      <c r="D58" s="220">
        <f t="shared" ref="D58" si="60">D57+26</f>
        <v>2027</v>
      </c>
      <c r="E58" s="220">
        <f t="shared" si="8"/>
        <v>3076</v>
      </c>
      <c r="F58" s="220">
        <f t="shared" si="0"/>
        <v>601</v>
      </c>
      <c r="G58" s="220">
        <f t="shared" si="1"/>
        <v>716</v>
      </c>
      <c r="H58" s="220">
        <f t="shared" si="2"/>
        <v>824</v>
      </c>
      <c r="I58" s="220">
        <f t="shared" si="3"/>
        <v>817</v>
      </c>
      <c r="J58" s="220">
        <f t="shared" si="4"/>
        <v>686</v>
      </c>
      <c r="K58" s="220">
        <f t="shared" si="5"/>
        <v>2475</v>
      </c>
      <c r="L58" s="220">
        <f t="shared" si="5"/>
        <v>2360</v>
      </c>
      <c r="M58" s="220">
        <f t="shared" si="5"/>
        <v>2252</v>
      </c>
      <c r="N58" s="220">
        <f t="shared" si="5"/>
        <v>2259</v>
      </c>
      <c r="O58" s="220">
        <f t="shared" si="5"/>
        <v>2390</v>
      </c>
      <c r="P58" s="220">
        <f t="shared" si="46"/>
        <v>2000</v>
      </c>
      <c r="Q58" s="220">
        <f t="shared" si="46"/>
        <v>2150</v>
      </c>
      <c r="R58" s="220">
        <f t="shared" si="46"/>
        <v>2150</v>
      </c>
      <c r="S58" s="220">
        <f t="shared" si="46"/>
        <v>2150</v>
      </c>
      <c r="T58" s="220">
        <f t="shared" si="46"/>
        <v>2000</v>
      </c>
      <c r="U58" s="220">
        <f t="shared" si="47"/>
        <v>475</v>
      </c>
      <c r="V58" s="220">
        <f t="shared" si="47"/>
        <v>210</v>
      </c>
      <c r="W58" s="220">
        <f t="shared" si="47"/>
        <v>102</v>
      </c>
      <c r="X58" s="220">
        <f t="shared" si="47"/>
        <v>109</v>
      </c>
      <c r="Y58" s="220">
        <f t="shared" si="47"/>
        <v>390</v>
      </c>
      <c r="Z58" s="220">
        <v>0</v>
      </c>
      <c r="AA58" s="220">
        <v>6</v>
      </c>
      <c r="AB58" s="220">
        <v>8</v>
      </c>
      <c r="AC58" s="220">
        <v>8</v>
      </c>
      <c r="AD58" s="220">
        <v>0</v>
      </c>
      <c r="AE58" s="220">
        <f t="shared" si="48"/>
        <v>-174</v>
      </c>
      <c r="AF58" s="220">
        <f t="shared" si="48"/>
        <v>-357</v>
      </c>
      <c r="AG58" s="220">
        <f t="shared" si="48"/>
        <v>-365</v>
      </c>
      <c r="AH58" s="220">
        <f t="shared" si="48"/>
        <v>-373</v>
      </c>
      <c r="AI58" s="220">
        <f t="shared" si="48"/>
        <v>-169</v>
      </c>
      <c r="AJ58" s="50">
        <f t="shared" si="12"/>
        <v>1.302000000000002</v>
      </c>
      <c r="AK58" s="257"/>
      <c r="AL58" s="257">
        <f t="shared" si="13"/>
        <v>1.2</v>
      </c>
      <c r="AM58" s="52"/>
      <c r="AN58" s="88"/>
    </row>
    <row r="59" spans="1:40" s="29" customFormat="1" ht="17.25" customHeight="1">
      <c r="A59" s="48">
        <v>49</v>
      </c>
      <c r="B59" s="49">
        <f t="shared" si="6"/>
        <v>45633</v>
      </c>
      <c r="C59" s="220">
        <f t="shared" si="7"/>
        <v>1049</v>
      </c>
      <c r="D59" s="220">
        <f t="shared" ref="D59" si="61">D58+32</f>
        <v>2059</v>
      </c>
      <c r="E59" s="220">
        <f t="shared" si="8"/>
        <v>3108</v>
      </c>
      <c r="F59" s="220">
        <f t="shared" si="0"/>
        <v>633</v>
      </c>
      <c r="G59" s="220">
        <f t="shared" si="1"/>
        <v>753</v>
      </c>
      <c r="H59" s="220">
        <f t="shared" si="2"/>
        <v>864</v>
      </c>
      <c r="I59" s="220">
        <f t="shared" si="3"/>
        <v>855</v>
      </c>
      <c r="J59" s="220">
        <f t="shared" si="4"/>
        <v>718</v>
      </c>
      <c r="K59" s="220">
        <f t="shared" si="5"/>
        <v>2475</v>
      </c>
      <c r="L59" s="220">
        <f t="shared" si="5"/>
        <v>2355</v>
      </c>
      <c r="M59" s="220">
        <f t="shared" si="5"/>
        <v>2244</v>
      </c>
      <c r="N59" s="220">
        <f t="shared" si="5"/>
        <v>2253</v>
      </c>
      <c r="O59" s="220">
        <f t="shared" si="5"/>
        <v>2390</v>
      </c>
      <c r="P59" s="220">
        <f t="shared" si="46"/>
        <v>2000</v>
      </c>
      <c r="Q59" s="220">
        <f t="shared" si="46"/>
        <v>2150</v>
      </c>
      <c r="R59" s="220">
        <f t="shared" si="46"/>
        <v>2150</v>
      </c>
      <c r="S59" s="220">
        <f t="shared" si="46"/>
        <v>2150</v>
      </c>
      <c r="T59" s="220">
        <f t="shared" si="46"/>
        <v>2000</v>
      </c>
      <c r="U59" s="220">
        <f t="shared" si="47"/>
        <v>475</v>
      </c>
      <c r="V59" s="220">
        <f t="shared" si="47"/>
        <v>205</v>
      </c>
      <c r="W59" s="220">
        <f t="shared" si="47"/>
        <v>94</v>
      </c>
      <c r="X59" s="220">
        <f t="shared" si="47"/>
        <v>103</v>
      </c>
      <c r="Y59" s="220">
        <f t="shared" si="47"/>
        <v>390</v>
      </c>
      <c r="Z59" s="220">
        <v>0</v>
      </c>
      <c r="AA59" s="220">
        <v>5</v>
      </c>
      <c r="AB59" s="220">
        <v>8</v>
      </c>
      <c r="AC59" s="220">
        <v>6</v>
      </c>
      <c r="AD59" s="220">
        <v>0</v>
      </c>
      <c r="AE59" s="220">
        <f t="shared" si="48"/>
        <v>-174</v>
      </c>
      <c r="AF59" s="220">
        <f t="shared" si="48"/>
        <v>-362</v>
      </c>
      <c r="AG59" s="220">
        <f t="shared" si="48"/>
        <v>-373</v>
      </c>
      <c r="AH59" s="220">
        <f t="shared" si="48"/>
        <v>-379</v>
      </c>
      <c r="AI59" s="220">
        <f t="shared" si="48"/>
        <v>-169</v>
      </c>
      <c r="AJ59" s="50">
        <f t="shared" si="12"/>
        <v>1.294000000000002</v>
      </c>
      <c r="AK59" s="257"/>
      <c r="AL59" s="257">
        <f t="shared" si="13"/>
        <v>1.2</v>
      </c>
      <c r="AM59" s="52"/>
      <c r="AN59" s="88"/>
    </row>
    <row r="60" spans="1:40" s="29" customFormat="1" ht="17.25" customHeight="1">
      <c r="A60" s="48">
        <v>50</v>
      </c>
      <c r="B60" s="49">
        <f t="shared" si="6"/>
        <v>45634</v>
      </c>
      <c r="C60" s="220">
        <f t="shared" si="7"/>
        <v>1049</v>
      </c>
      <c r="D60" s="220">
        <f t="shared" ref="D60" si="62">D59-18</f>
        <v>2041</v>
      </c>
      <c r="E60" s="220">
        <f t="shared" si="8"/>
        <v>3090</v>
      </c>
      <c r="F60" s="220">
        <f t="shared" si="0"/>
        <v>617</v>
      </c>
      <c r="G60" s="220">
        <f t="shared" si="1"/>
        <v>740</v>
      </c>
      <c r="H60" s="220">
        <f t="shared" si="2"/>
        <v>853</v>
      </c>
      <c r="I60" s="220">
        <f t="shared" si="3"/>
        <v>844</v>
      </c>
      <c r="J60" s="220">
        <f t="shared" si="4"/>
        <v>700</v>
      </c>
      <c r="K60" s="220">
        <f t="shared" si="5"/>
        <v>2473</v>
      </c>
      <c r="L60" s="220">
        <f t="shared" si="5"/>
        <v>2350</v>
      </c>
      <c r="M60" s="220">
        <f t="shared" si="5"/>
        <v>2237</v>
      </c>
      <c r="N60" s="220">
        <f t="shared" si="5"/>
        <v>2246</v>
      </c>
      <c r="O60" s="220">
        <f t="shared" si="5"/>
        <v>2390</v>
      </c>
      <c r="P60" s="220">
        <f t="shared" si="46"/>
        <v>2000</v>
      </c>
      <c r="Q60" s="220">
        <f t="shared" si="46"/>
        <v>2150</v>
      </c>
      <c r="R60" s="220">
        <f t="shared" si="46"/>
        <v>2150</v>
      </c>
      <c r="S60" s="220">
        <f t="shared" si="46"/>
        <v>2150</v>
      </c>
      <c r="T60" s="220">
        <f t="shared" si="46"/>
        <v>2000</v>
      </c>
      <c r="U60" s="220">
        <f t="shared" si="47"/>
        <v>473</v>
      </c>
      <c r="V60" s="220">
        <f t="shared" si="47"/>
        <v>200</v>
      </c>
      <c r="W60" s="220">
        <f t="shared" si="47"/>
        <v>87</v>
      </c>
      <c r="X60" s="220">
        <f t="shared" si="47"/>
        <v>96</v>
      </c>
      <c r="Y60" s="220">
        <f t="shared" si="47"/>
        <v>390</v>
      </c>
      <c r="Z60" s="220">
        <v>2</v>
      </c>
      <c r="AA60" s="220">
        <v>5</v>
      </c>
      <c r="AB60" s="220">
        <v>7</v>
      </c>
      <c r="AC60" s="220">
        <v>7</v>
      </c>
      <c r="AD60" s="220">
        <v>0</v>
      </c>
      <c r="AE60" s="220">
        <f t="shared" si="48"/>
        <v>-176</v>
      </c>
      <c r="AF60" s="220">
        <f t="shared" si="48"/>
        <v>-367</v>
      </c>
      <c r="AG60" s="220">
        <f t="shared" si="48"/>
        <v>-380</v>
      </c>
      <c r="AH60" s="220">
        <f t="shared" si="48"/>
        <v>-386</v>
      </c>
      <c r="AI60" s="220">
        <f t="shared" si="48"/>
        <v>-169</v>
      </c>
      <c r="AJ60" s="50">
        <f t="shared" si="12"/>
        <v>1.2870000000000021</v>
      </c>
      <c r="AK60" s="257"/>
      <c r="AL60" s="257">
        <f t="shared" si="13"/>
        <v>1.2</v>
      </c>
      <c r="AM60" s="52"/>
      <c r="AN60" s="88"/>
    </row>
    <row r="61" spans="1:40" s="29" customFormat="1" ht="17.25" customHeight="1">
      <c r="A61" s="48">
        <v>51</v>
      </c>
      <c r="B61" s="49">
        <f t="shared" si="6"/>
        <v>45635</v>
      </c>
      <c r="C61" s="220">
        <f t="shared" si="7"/>
        <v>1049</v>
      </c>
      <c r="D61" s="220">
        <f t="shared" ref="D61" si="63">D60-26</f>
        <v>2015</v>
      </c>
      <c r="E61" s="220">
        <f t="shared" si="8"/>
        <v>3064</v>
      </c>
      <c r="F61" s="220">
        <f t="shared" si="0"/>
        <v>591</v>
      </c>
      <c r="G61" s="220">
        <f t="shared" si="1"/>
        <v>720</v>
      </c>
      <c r="H61" s="220">
        <f t="shared" si="2"/>
        <v>835</v>
      </c>
      <c r="I61" s="220">
        <f t="shared" si="3"/>
        <v>824</v>
      </c>
      <c r="J61" s="220">
        <f t="shared" si="4"/>
        <v>680</v>
      </c>
      <c r="K61" s="220">
        <f t="shared" si="5"/>
        <v>2473</v>
      </c>
      <c r="L61" s="220">
        <f t="shared" si="5"/>
        <v>2344</v>
      </c>
      <c r="M61" s="220">
        <f t="shared" si="5"/>
        <v>2229</v>
      </c>
      <c r="N61" s="220">
        <f t="shared" si="5"/>
        <v>2240</v>
      </c>
      <c r="O61" s="220">
        <f t="shared" si="5"/>
        <v>2384</v>
      </c>
      <c r="P61" s="220">
        <f t="shared" ref="P61:T76" si="64">+P60</f>
        <v>2000</v>
      </c>
      <c r="Q61" s="220">
        <f t="shared" si="64"/>
        <v>2150</v>
      </c>
      <c r="R61" s="220">
        <f t="shared" si="64"/>
        <v>2150</v>
      </c>
      <c r="S61" s="220">
        <f t="shared" si="64"/>
        <v>2150</v>
      </c>
      <c r="T61" s="220">
        <f t="shared" si="64"/>
        <v>2000</v>
      </c>
      <c r="U61" s="220">
        <f t="shared" ref="U61:Y76" si="65">U60-Z61</f>
        <v>473</v>
      </c>
      <c r="V61" s="220">
        <f t="shared" si="65"/>
        <v>194</v>
      </c>
      <c r="W61" s="220">
        <f t="shared" si="65"/>
        <v>79</v>
      </c>
      <c r="X61" s="220">
        <f t="shared" si="65"/>
        <v>90</v>
      </c>
      <c r="Y61" s="220">
        <f t="shared" si="65"/>
        <v>384</v>
      </c>
      <c r="Z61" s="220">
        <v>0</v>
      </c>
      <c r="AA61" s="220">
        <v>6</v>
      </c>
      <c r="AB61" s="220">
        <v>8</v>
      </c>
      <c r="AC61" s="220">
        <v>6</v>
      </c>
      <c r="AD61" s="220">
        <v>6</v>
      </c>
      <c r="AE61" s="220">
        <v>6</v>
      </c>
      <c r="AF61" s="220">
        <f t="shared" ref="AE61:AI76" si="66">AF60-AA61</f>
        <v>-373</v>
      </c>
      <c r="AG61" s="220">
        <f t="shared" si="66"/>
        <v>-388</v>
      </c>
      <c r="AH61" s="220">
        <f t="shared" si="66"/>
        <v>-392</v>
      </c>
      <c r="AI61" s="220">
        <f t="shared" si="66"/>
        <v>-175</v>
      </c>
      <c r="AJ61" s="50">
        <f t="shared" si="12"/>
        <v>1.2790000000000021</v>
      </c>
      <c r="AK61" s="257"/>
      <c r="AL61" s="257">
        <f t="shared" si="13"/>
        <v>1.2</v>
      </c>
      <c r="AM61" s="52"/>
      <c r="AN61" s="88"/>
    </row>
    <row r="62" spans="1:40" s="29" customFormat="1" ht="17.25" customHeight="1">
      <c r="A62" s="48">
        <v>52</v>
      </c>
      <c r="B62" s="49">
        <f t="shared" si="6"/>
        <v>45636</v>
      </c>
      <c r="C62" s="220">
        <f t="shared" si="7"/>
        <v>1049</v>
      </c>
      <c r="D62" s="220">
        <f t="shared" ref="D62" si="67">D61+15</f>
        <v>2030</v>
      </c>
      <c r="E62" s="220">
        <f t="shared" si="8"/>
        <v>3079</v>
      </c>
      <c r="F62" s="220">
        <f t="shared" si="0"/>
        <v>606</v>
      </c>
      <c r="G62" s="220">
        <f t="shared" si="1"/>
        <v>740</v>
      </c>
      <c r="H62" s="220">
        <f t="shared" si="2"/>
        <v>856</v>
      </c>
      <c r="I62" s="220">
        <f t="shared" si="3"/>
        <v>844</v>
      </c>
      <c r="J62" s="220">
        <f t="shared" si="4"/>
        <v>695</v>
      </c>
      <c r="K62" s="220">
        <f t="shared" si="5"/>
        <v>2473</v>
      </c>
      <c r="L62" s="220">
        <f t="shared" si="5"/>
        <v>2339</v>
      </c>
      <c r="M62" s="220">
        <f t="shared" si="5"/>
        <v>2223</v>
      </c>
      <c r="N62" s="220">
        <f t="shared" si="5"/>
        <v>2235</v>
      </c>
      <c r="O62" s="220">
        <f t="shared" si="5"/>
        <v>2384</v>
      </c>
      <c r="P62" s="220">
        <f t="shared" si="64"/>
        <v>2000</v>
      </c>
      <c r="Q62" s="220">
        <f t="shared" si="64"/>
        <v>2150</v>
      </c>
      <c r="R62" s="220">
        <f t="shared" si="64"/>
        <v>2150</v>
      </c>
      <c r="S62" s="220">
        <f t="shared" si="64"/>
        <v>2150</v>
      </c>
      <c r="T62" s="220">
        <f t="shared" si="64"/>
        <v>2000</v>
      </c>
      <c r="U62" s="220">
        <f t="shared" si="65"/>
        <v>473</v>
      </c>
      <c r="V62" s="220">
        <f t="shared" si="65"/>
        <v>189</v>
      </c>
      <c r="W62" s="220">
        <f t="shared" si="65"/>
        <v>73</v>
      </c>
      <c r="X62" s="220">
        <f t="shared" si="65"/>
        <v>85</v>
      </c>
      <c r="Y62" s="220">
        <f t="shared" si="65"/>
        <v>384</v>
      </c>
      <c r="Z62" s="220">
        <v>0</v>
      </c>
      <c r="AA62" s="220">
        <v>5</v>
      </c>
      <c r="AB62" s="220">
        <v>6</v>
      </c>
      <c r="AC62" s="220">
        <v>5</v>
      </c>
      <c r="AD62" s="220">
        <v>0</v>
      </c>
      <c r="AE62" s="220">
        <f t="shared" si="66"/>
        <v>6</v>
      </c>
      <c r="AF62" s="220">
        <f t="shared" si="66"/>
        <v>-378</v>
      </c>
      <c r="AG62" s="220">
        <f t="shared" si="66"/>
        <v>-394</v>
      </c>
      <c r="AH62" s="220">
        <f t="shared" si="66"/>
        <v>-397</v>
      </c>
      <c r="AI62" s="220">
        <f t="shared" si="66"/>
        <v>-175</v>
      </c>
      <c r="AJ62" s="50">
        <f t="shared" si="12"/>
        <v>1.2730000000000021</v>
      </c>
      <c r="AK62" s="257"/>
      <c r="AL62" s="257">
        <f t="shared" si="13"/>
        <v>1.2</v>
      </c>
      <c r="AM62" s="52"/>
      <c r="AN62" s="88"/>
    </row>
    <row r="63" spans="1:40" s="29" customFormat="1" ht="17.25" customHeight="1">
      <c r="A63" s="48">
        <v>53</v>
      </c>
      <c r="B63" s="49">
        <f t="shared" si="6"/>
        <v>45637</v>
      </c>
      <c r="C63" s="220">
        <f t="shared" si="7"/>
        <v>1049</v>
      </c>
      <c r="D63" s="220">
        <f t="shared" ref="D63" si="68">D62+26</f>
        <v>2056</v>
      </c>
      <c r="E63" s="220">
        <f t="shared" si="8"/>
        <v>3105</v>
      </c>
      <c r="F63" s="220">
        <f t="shared" si="0"/>
        <v>634</v>
      </c>
      <c r="G63" s="220">
        <f t="shared" si="1"/>
        <v>772</v>
      </c>
      <c r="H63" s="220">
        <f t="shared" si="2"/>
        <v>889</v>
      </c>
      <c r="I63" s="220">
        <f t="shared" si="3"/>
        <v>876</v>
      </c>
      <c r="J63" s="220">
        <f t="shared" si="4"/>
        <v>723</v>
      </c>
      <c r="K63" s="220">
        <f t="shared" ref="K63:O113" si="69">P63+U63</f>
        <v>2471</v>
      </c>
      <c r="L63" s="220">
        <f t="shared" si="69"/>
        <v>2333</v>
      </c>
      <c r="M63" s="220">
        <f t="shared" si="69"/>
        <v>2216</v>
      </c>
      <c r="N63" s="220">
        <f t="shared" si="69"/>
        <v>2229</v>
      </c>
      <c r="O63" s="220">
        <f t="shared" si="69"/>
        <v>2382</v>
      </c>
      <c r="P63" s="220">
        <f t="shared" si="64"/>
        <v>2000</v>
      </c>
      <c r="Q63" s="220">
        <f t="shared" si="64"/>
        <v>2150</v>
      </c>
      <c r="R63" s="220">
        <f t="shared" si="64"/>
        <v>2150</v>
      </c>
      <c r="S63" s="220">
        <f t="shared" si="64"/>
        <v>2150</v>
      </c>
      <c r="T63" s="220">
        <f t="shared" si="64"/>
        <v>2000</v>
      </c>
      <c r="U63" s="220">
        <f t="shared" si="65"/>
        <v>471</v>
      </c>
      <c r="V63" s="220">
        <f t="shared" si="65"/>
        <v>183</v>
      </c>
      <c r="W63" s="220">
        <f t="shared" si="65"/>
        <v>66</v>
      </c>
      <c r="X63" s="220">
        <f t="shared" si="65"/>
        <v>79</v>
      </c>
      <c r="Y63" s="220">
        <f t="shared" si="65"/>
        <v>382</v>
      </c>
      <c r="Z63" s="220">
        <v>2</v>
      </c>
      <c r="AA63" s="220">
        <v>6</v>
      </c>
      <c r="AB63" s="220">
        <v>7</v>
      </c>
      <c r="AC63" s="220">
        <v>6</v>
      </c>
      <c r="AD63" s="220">
        <v>2</v>
      </c>
      <c r="AE63" s="220">
        <f t="shared" si="66"/>
        <v>4</v>
      </c>
      <c r="AF63" s="220">
        <f t="shared" si="66"/>
        <v>-384</v>
      </c>
      <c r="AG63" s="220">
        <f t="shared" si="66"/>
        <v>-401</v>
      </c>
      <c r="AH63" s="220">
        <f t="shared" si="66"/>
        <v>-403</v>
      </c>
      <c r="AI63" s="220">
        <f t="shared" si="66"/>
        <v>-177</v>
      </c>
      <c r="AJ63" s="50">
        <f t="shared" si="12"/>
        <v>1.2660000000000022</v>
      </c>
      <c r="AK63" s="257"/>
      <c r="AL63" s="257">
        <f t="shared" si="13"/>
        <v>1.2</v>
      </c>
      <c r="AM63" s="52"/>
      <c r="AN63" s="88"/>
    </row>
    <row r="64" spans="1:40" s="29" customFormat="1" ht="17.25" customHeight="1">
      <c r="A64" s="48">
        <v>54</v>
      </c>
      <c r="B64" s="49">
        <f t="shared" si="6"/>
        <v>45638</v>
      </c>
      <c r="C64" s="220">
        <f t="shared" si="7"/>
        <v>1049</v>
      </c>
      <c r="D64" s="220">
        <f t="shared" ref="D64" si="70">D63+32</f>
        <v>2088</v>
      </c>
      <c r="E64" s="220">
        <f t="shared" si="8"/>
        <v>3137</v>
      </c>
      <c r="F64" s="220">
        <f t="shared" si="0"/>
        <v>666</v>
      </c>
      <c r="G64" s="220">
        <f t="shared" si="1"/>
        <v>809</v>
      </c>
      <c r="H64" s="220">
        <f t="shared" si="2"/>
        <v>928</v>
      </c>
      <c r="I64" s="220">
        <f t="shared" si="3"/>
        <v>913</v>
      </c>
      <c r="J64" s="220">
        <f t="shared" si="4"/>
        <v>755</v>
      </c>
      <c r="K64" s="220">
        <f t="shared" si="69"/>
        <v>2471</v>
      </c>
      <c r="L64" s="220">
        <f t="shared" si="69"/>
        <v>2328</v>
      </c>
      <c r="M64" s="220">
        <f t="shared" si="69"/>
        <v>2209</v>
      </c>
      <c r="N64" s="220">
        <f t="shared" si="69"/>
        <v>2224</v>
      </c>
      <c r="O64" s="220">
        <f t="shared" si="69"/>
        <v>2382</v>
      </c>
      <c r="P64" s="220">
        <f t="shared" si="64"/>
        <v>2000</v>
      </c>
      <c r="Q64" s="220">
        <f t="shared" si="64"/>
        <v>2150</v>
      </c>
      <c r="R64" s="220">
        <f t="shared" si="64"/>
        <v>2150</v>
      </c>
      <c r="S64" s="220">
        <f t="shared" si="64"/>
        <v>2150</v>
      </c>
      <c r="T64" s="220">
        <f t="shared" si="64"/>
        <v>2000</v>
      </c>
      <c r="U64" s="220">
        <f t="shared" si="65"/>
        <v>471</v>
      </c>
      <c r="V64" s="220">
        <f t="shared" si="65"/>
        <v>178</v>
      </c>
      <c r="W64" s="220">
        <f t="shared" si="65"/>
        <v>59</v>
      </c>
      <c r="X64" s="220">
        <f t="shared" si="65"/>
        <v>74</v>
      </c>
      <c r="Y64" s="220">
        <f t="shared" si="65"/>
        <v>382</v>
      </c>
      <c r="Z64" s="220">
        <v>0</v>
      </c>
      <c r="AA64" s="220">
        <v>5</v>
      </c>
      <c r="AB64" s="220">
        <v>7</v>
      </c>
      <c r="AC64" s="220">
        <v>5</v>
      </c>
      <c r="AD64" s="220">
        <v>0</v>
      </c>
      <c r="AE64" s="220">
        <f t="shared" si="66"/>
        <v>4</v>
      </c>
      <c r="AF64" s="220">
        <f t="shared" si="66"/>
        <v>-389</v>
      </c>
      <c r="AG64" s="220">
        <f t="shared" si="66"/>
        <v>-408</v>
      </c>
      <c r="AH64" s="220">
        <f t="shared" si="66"/>
        <v>-408</v>
      </c>
      <c r="AI64" s="220">
        <f t="shared" si="66"/>
        <v>-177</v>
      </c>
      <c r="AJ64" s="50">
        <f t="shared" si="12"/>
        <v>1.2590000000000023</v>
      </c>
      <c r="AK64" s="257"/>
      <c r="AL64" s="257">
        <f t="shared" si="13"/>
        <v>1.2</v>
      </c>
      <c r="AM64" s="52"/>
      <c r="AN64" s="88"/>
    </row>
    <row r="65" spans="1:40" s="29" customFormat="1" ht="17.25" customHeight="1">
      <c r="A65" s="48">
        <v>55</v>
      </c>
      <c r="B65" s="49">
        <f t="shared" si="6"/>
        <v>45639</v>
      </c>
      <c r="C65" s="220">
        <f t="shared" si="7"/>
        <v>1049</v>
      </c>
      <c r="D65" s="220">
        <f t="shared" ref="D65" si="71">D64-18</f>
        <v>2070</v>
      </c>
      <c r="E65" s="220">
        <f t="shared" si="8"/>
        <v>3119</v>
      </c>
      <c r="F65" s="220">
        <f t="shared" si="0"/>
        <v>648</v>
      </c>
      <c r="G65" s="220">
        <f t="shared" si="1"/>
        <v>795</v>
      </c>
      <c r="H65" s="220">
        <f t="shared" si="2"/>
        <v>916</v>
      </c>
      <c r="I65" s="220">
        <f t="shared" si="3"/>
        <v>899</v>
      </c>
      <c r="J65" s="220">
        <f t="shared" si="4"/>
        <v>737</v>
      </c>
      <c r="K65" s="220">
        <f t="shared" si="69"/>
        <v>2471</v>
      </c>
      <c r="L65" s="220">
        <f t="shared" si="69"/>
        <v>2324</v>
      </c>
      <c r="M65" s="220">
        <f t="shared" si="69"/>
        <v>2203</v>
      </c>
      <c r="N65" s="220">
        <f t="shared" si="69"/>
        <v>2220</v>
      </c>
      <c r="O65" s="220">
        <f t="shared" si="69"/>
        <v>2382</v>
      </c>
      <c r="P65" s="220">
        <f t="shared" si="64"/>
        <v>2000</v>
      </c>
      <c r="Q65" s="220">
        <f t="shared" si="64"/>
        <v>2150</v>
      </c>
      <c r="R65" s="220">
        <f t="shared" si="64"/>
        <v>2150</v>
      </c>
      <c r="S65" s="220">
        <f t="shared" si="64"/>
        <v>2150</v>
      </c>
      <c r="T65" s="220">
        <f t="shared" si="64"/>
        <v>2000</v>
      </c>
      <c r="U65" s="220">
        <f t="shared" si="65"/>
        <v>471</v>
      </c>
      <c r="V65" s="220">
        <f t="shared" si="65"/>
        <v>174</v>
      </c>
      <c r="W65" s="220">
        <f t="shared" si="65"/>
        <v>53</v>
      </c>
      <c r="X65" s="220">
        <f t="shared" si="65"/>
        <v>70</v>
      </c>
      <c r="Y65" s="220">
        <f t="shared" si="65"/>
        <v>382</v>
      </c>
      <c r="Z65" s="220">
        <v>0</v>
      </c>
      <c r="AA65" s="220">
        <v>4</v>
      </c>
      <c r="AB65" s="220">
        <v>6</v>
      </c>
      <c r="AC65" s="220">
        <v>4</v>
      </c>
      <c r="AD65" s="220">
        <v>0</v>
      </c>
      <c r="AE65" s="220">
        <f t="shared" si="66"/>
        <v>4</v>
      </c>
      <c r="AF65" s="220">
        <f t="shared" si="66"/>
        <v>-393</v>
      </c>
      <c r="AG65" s="220">
        <f t="shared" si="66"/>
        <v>-414</v>
      </c>
      <c r="AH65" s="220">
        <f t="shared" si="66"/>
        <v>-412</v>
      </c>
      <c r="AI65" s="220">
        <f t="shared" si="66"/>
        <v>-177</v>
      </c>
      <c r="AJ65" s="50">
        <f t="shared" si="12"/>
        <v>1.2530000000000023</v>
      </c>
      <c r="AK65" s="257"/>
      <c r="AL65" s="257">
        <f t="shared" si="13"/>
        <v>1.2</v>
      </c>
      <c r="AM65" s="52"/>
      <c r="AN65" s="88"/>
    </row>
    <row r="66" spans="1:40" s="29" customFormat="1" ht="17.25" customHeight="1">
      <c r="A66" s="48">
        <v>56</v>
      </c>
      <c r="B66" s="49">
        <f t="shared" si="6"/>
        <v>45640</v>
      </c>
      <c r="C66" s="220">
        <f t="shared" si="7"/>
        <v>1049</v>
      </c>
      <c r="D66" s="220">
        <f t="shared" ref="D66" si="72">D65-26</f>
        <v>2044</v>
      </c>
      <c r="E66" s="220">
        <f t="shared" si="8"/>
        <v>3093</v>
      </c>
      <c r="F66" s="220">
        <f t="shared" si="0"/>
        <v>622</v>
      </c>
      <c r="G66" s="220">
        <f t="shared" si="1"/>
        <v>773</v>
      </c>
      <c r="H66" s="220">
        <f t="shared" si="2"/>
        <v>897</v>
      </c>
      <c r="I66" s="220">
        <f t="shared" si="3"/>
        <v>877</v>
      </c>
      <c r="J66" s="220">
        <f t="shared" si="4"/>
        <v>711</v>
      </c>
      <c r="K66" s="220">
        <f t="shared" si="69"/>
        <v>2471</v>
      </c>
      <c r="L66" s="220">
        <f t="shared" si="69"/>
        <v>2320</v>
      </c>
      <c r="M66" s="220">
        <f t="shared" si="69"/>
        <v>2196</v>
      </c>
      <c r="N66" s="220">
        <f t="shared" si="69"/>
        <v>2216</v>
      </c>
      <c r="O66" s="220">
        <f t="shared" si="69"/>
        <v>2382</v>
      </c>
      <c r="P66" s="220">
        <f t="shared" si="64"/>
        <v>2000</v>
      </c>
      <c r="Q66" s="220">
        <f t="shared" si="64"/>
        <v>2150</v>
      </c>
      <c r="R66" s="220">
        <f t="shared" si="64"/>
        <v>2150</v>
      </c>
      <c r="S66" s="220">
        <f t="shared" si="64"/>
        <v>2150</v>
      </c>
      <c r="T66" s="220">
        <f t="shared" si="64"/>
        <v>2000</v>
      </c>
      <c r="U66" s="220">
        <f t="shared" si="65"/>
        <v>471</v>
      </c>
      <c r="V66" s="220">
        <f t="shared" si="65"/>
        <v>170</v>
      </c>
      <c r="W66" s="220">
        <f t="shared" si="65"/>
        <v>46</v>
      </c>
      <c r="X66" s="220">
        <f t="shared" si="65"/>
        <v>66</v>
      </c>
      <c r="Y66" s="220">
        <f t="shared" si="65"/>
        <v>382</v>
      </c>
      <c r="Z66" s="220">
        <v>0</v>
      </c>
      <c r="AA66" s="220">
        <v>4</v>
      </c>
      <c r="AB66" s="220">
        <v>7</v>
      </c>
      <c r="AC66" s="220">
        <v>4</v>
      </c>
      <c r="AD66" s="220">
        <v>0</v>
      </c>
      <c r="AE66" s="220">
        <f t="shared" si="66"/>
        <v>4</v>
      </c>
      <c r="AF66" s="220">
        <f t="shared" si="66"/>
        <v>-397</v>
      </c>
      <c r="AG66" s="220">
        <f t="shared" si="66"/>
        <v>-421</v>
      </c>
      <c r="AH66" s="220">
        <f t="shared" si="66"/>
        <v>-416</v>
      </c>
      <c r="AI66" s="220">
        <f t="shared" si="66"/>
        <v>-177</v>
      </c>
      <c r="AJ66" s="50">
        <f t="shared" si="12"/>
        <v>1.2460000000000024</v>
      </c>
      <c r="AK66" s="257"/>
      <c r="AL66" s="257">
        <f t="shared" si="13"/>
        <v>1.2</v>
      </c>
      <c r="AM66" s="52"/>
      <c r="AN66" s="88"/>
    </row>
    <row r="67" spans="1:40" s="29" customFormat="1" ht="17.25" customHeight="1">
      <c r="A67" s="48">
        <v>57</v>
      </c>
      <c r="B67" s="49">
        <f t="shared" si="6"/>
        <v>45641</v>
      </c>
      <c r="C67" s="220">
        <f t="shared" si="7"/>
        <v>1049</v>
      </c>
      <c r="D67" s="220">
        <f t="shared" ref="D67" si="73">D66+15</f>
        <v>2059</v>
      </c>
      <c r="E67" s="220">
        <f t="shared" si="8"/>
        <v>3108</v>
      </c>
      <c r="F67" s="220">
        <f t="shared" si="0"/>
        <v>637</v>
      </c>
      <c r="G67" s="220">
        <f t="shared" si="1"/>
        <v>792</v>
      </c>
      <c r="H67" s="220">
        <f t="shared" si="2"/>
        <v>918</v>
      </c>
      <c r="I67" s="220">
        <f t="shared" si="3"/>
        <v>896</v>
      </c>
      <c r="J67" s="220">
        <f t="shared" si="4"/>
        <v>726</v>
      </c>
      <c r="K67" s="220">
        <f t="shared" si="69"/>
        <v>2471</v>
      </c>
      <c r="L67" s="220">
        <f t="shared" si="69"/>
        <v>2316</v>
      </c>
      <c r="M67" s="220">
        <f t="shared" si="69"/>
        <v>2190</v>
      </c>
      <c r="N67" s="220">
        <f t="shared" si="69"/>
        <v>2212</v>
      </c>
      <c r="O67" s="220">
        <f t="shared" si="69"/>
        <v>2382</v>
      </c>
      <c r="P67" s="220">
        <f t="shared" si="64"/>
        <v>2000</v>
      </c>
      <c r="Q67" s="220">
        <f t="shared" si="64"/>
        <v>2150</v>
      </c>
      <c r="R67" s="220">
        <f t="shared" si="64"/>
        <v>2150</v>
      </c>
      <c r="S67" s="220">
        <f t="shared" si="64"/>
        <v>2150</v>
      </c>
      <c r="T67" s="220">
        <f t="shared" si="64"/>
        <v>2000</v>
      </c>
      <c r="U67" s="220">
        <f t="shared" si="65"/>
        <v>471</v>
      </c>
      <c r="V67" s="220">
        <f t="shared" si="65"/>
        <v>166</v>
      </c>
      <c r="W67" s="220">
        <f t="shared" si="65"/>
        <v>40</v>
      </c>
      <c r="X67" s="220">
        <f t="shared" si="65"/>
        <v>62</v>
      </c>
      <c r="Y67" s="220">
        <f t="shared" si="65"/>
        <v>382</v>
      </c>
      <c r="Z67" s="220">
        <v>0</v>
      </c>
      <c r="AA67" s="220">
        <v>4</v>
      </c>
      <c r="AB67" s="220">
        <v>6</v>
      </c>
      <c r="AC67" s="220">
        <v>4</v>
      </c>
      <c r="AD67" s="220">
        <v>0</v>
      </c>
      <c r="AE67" s="220">
        <f t="shared" si="66"/>
        <v>4</v>
      </c>
      <c r="AF67" s="220">
        <f t="shared" si="66"/>
        <v>-401</v>
      </c>
      <c r="AG67" s="220">
        <f t="shared" si="66"/>
        <v>-427</v>
      </c>
      <c r="AH67" s="220">
        <f t="shared" si="66"/>
        <v>-420</v>
      </c>
      <c r="AI67" s="220">
        <f t="shared" si="66"/>
        <v>-177</v>
      </c>
      <c r="AJ67" s="50">
        <f t="shared" si="12"/>
        <v>1.2400000000000024</v>
      </c>
      <c r="AK67" s="257"/>
      <c r="AL67" s="257">
        <f t="shared" si="13"/>
        <v>1.2</v>
      </c>
      <c r="AM67" s="52"/>
      <c r="AN67" s="88"/>
    </row>
    <row r="68" spans="1:40" s="29" customFormat="1" ht="17.25" customHeight="1">
      <c r="A68" s="48">
        <v>58</v>
      </c>
      <c r="B68" s="49">
        <f t="shared" si="6"/>
        <v>45642</v>
      </c>
      <c r="C68" s="220">
        <f t="shared" si="7"/>
        <v>1049</v>
      </c>
      <c r="D68" s="220">
        <f t="shared" ref="D68" si="74">D67+26</f>
        <v>2085</v>
      </c>
      <c r="E68" s="220">
        <f t="shared" si="8"/>
        <v>3134</v>
      </c>
      <c r="F68" s="220">
        <f t="shared" si="0"/>
        <v>664</v>
      </c>
      <c r="G68" s="220">
        <f t="shared" si="1"/>
        <v>823</v>
      </c>
      <c r="H68" s="220">
        <f t="shared" si="2"/>
        <v>951</v>
      </c>
      <c r="I68" s="220">
        <f t="shared" si="3"/>
        <v>927</v>
      </c>
      <c r="J68" s="220">
        <f t="shared" si="4"/>
        <v>752</v>
      </c>
      <c r="K68" s="220">
        <f t="shared" si="69"/>
        <v>2470</v>
      </c>
      <c r="L68" s="220">
        <f t="shared" si="69"/>
        <v>2311</v>
      </c>
      <c r="M68" s="220">
        <f t="shared" si="69"/>
        <v>2183</v>
      </c>
      <c r="N68" s="220">
        <f t="shared" si="69"/>
        <v>2207</v>
      </c>
      <c r="O68" s="220">
        <f t="shared" si="69"/>
        <v>2382</v>
      </c>
      <c r="P68" s="220">
        <f t="shared" si="64"/>
        <v>2000</v>
      </c>
      <c r="Q68" s="220">
        <f t="shared" si="64"/>
        <v>2150</v>
      </c>
      <c r="R68" s="220">
        <f t="shared" si="64"/>
        <v>2150</v>
      </c>
      <c r="S68" s="220">
        <f t="shared" si="64"/>
        <v>2150</v>
      </c>
      <c r="T68" s="220">
        <f t="shared" si="64"/>
        <v>2000</v>
      </c>
      <c r="U68" s="220">
        <f t="shared" si="65"/>
        <v>470</v>
      </c>
      <c r="V68" s="220">
        <f t="shared" si="65"/>
        <v>161</v>
      </c>
      <c r="W68" s="220">
        <f t="shared" si="65"/>
        <v>33</v>
      </c>
      <c r="X68" s="220">
        <f t="shared" si="65"/>
        <v>57</v>
      </c>
      <c r="Y68" s="220">
        <f t="shared" si="65"/>
        <v>382</v>
      </c>
      <c r="Z68" s="220">
        <v>1</v>
      </c>
      <c r="AA68" s="220">
        <v>5</v>
      </c>
      <c r="AB68" s="220">
        <v>7</v>
      </c>
      <c r="AC68" s="220">
        <v>5</v>
      </c>
      <c r="AD68" s="220">
        <v>0</v>
      </c>
      <c r="AE68" s="220">
        <f t="shared" si="66"/>
        <v>3</v>
      </c>
      <c r="AF68" s="220">
        <f t="shared" si="66"/>
        <v>-406</v>
      </c>
      <c r="AG68" s="220">
        <f t="shared" si="66"/>
        <v>-434</v>
      </c>
      <c r="AH68" s="220">
        <f t="shared" si="66"/>
        <v>-425</v>
      </c>
      <c r="AI68" s="220">
        <f t="shared" si="66"/>
        <v>-177</v>
      </c>
      <c r="AJ68" s="50">
        <f t="shared" si="12"/>
        <v>1.2330000000000025</v>
      </c>
      <c r="AK68" s="257"/>
      <c r="AL68" s="257">
        <f t="shared" si="13"/>
        <v>1.2</v>
      </c>
      <c r="AM68" s="52"/>
      <c r="AN68" s="88"/>
    </row>
    <row r="69" spans="1:40" s="29" customFormat="1" ht="17.25" customHeight="1">
      <c r="A69" s="48">
        <v>59</v>
      </c>
      <c r="B69" s="49">
        <f t="shared" si="6"/>
        <v>45643</v>
      </c>
      <c r="C69" s="220">
        <f t="shared" si="7"/>
        <v>1049</v>
      </c>
      <c r="D69" s="220">
        <f t="shared" ref="D69" si="75">D68+32</f>
        <v>2117</v>
      </c>
      <c r="E69" s="220">
        <f t="shared" si="8"/>
        <v>3166</v>
      </c>
      <c r="F69" s="220">
        <f t="shared" si="0"/>
        <v>696</v>
      </c>
      <c r="G69" s="220">
        <f t="shared" si="1"/>
        <v>859</v>
      </c>
      <c r="H69" s="220">
        <f t="shared" si="2"/>
        <v>989</v>
      </c>
      <c r="I69" s="220">
        <f t="shared" si="3"/>
        <v>963</v>
      </c>
      <c r="J69" s="220">
        <f t="shared" si="4"/>
        <v>786</v>
      </c>
      <c r="K69" s="220">
        <f t="shared" si="69"/>
        <v>2470</v>
      </c>
      <c r="L69" s="220">
        <f t="shared" si="69"/>
        <v>2307</v>
      </c>
      <c r="M69" s="220">
        <f t="shared" si="69"/>
        <v>2177</v>
      </c>
      <c r="N69" s="220">
        <f t="shared" si="69"/>
        <v>2203</v>
      </c>
      <c r="O69" s="220">
        <f t="shared" si="69"/>
        <v>2380</v>
      </c>
      <c r="P69" s="220">
        <f t="shared" si="64"/>
        <v>2000</v>
      </c>
      <c r="Q69" s="220">
        <f t="shared" si="64"/>
        <v>2150</v>
      </c>
      <c r="R69" s="220">
        <f t="shared" si="64"/>
        <v>2150</v>
      </c>
      <c r="S69" s="220">
        <f t="shared" si="64"/>
        <v>2150</v>
      </c>
      <c r="T69" s="220">
        <f t="shared" si="64"/>
        <v>2000</v>
      </c>
      <c r="U69" s="220">
        <f t="shared" si="65"/>
        <v>470</v>
      </c>
      <c r="V69" s="220">
        <f t="shared" si="65"/>
        <v>157</v>
      </c>
      <c r="W69" s="220">
        <f t="shared" si="65"/>
        <v>27</v>
      </c>
      <c r="X69" s="220">
        <f t="shared" si="65"/>
        <v>53</v>
      </c>
      <c r="Y69" s="220">
        <f t="shared" si="65"/>
        <v>380</v>
      </c>
      <c r="Z69" s="220">
        <v>0</v>
      </c>
      <c r="AA69" s="220">
        <v>4</v>
      </c>
      <c r="AB69" s="220">
        <v>6</v>
      </c>
      <c r="AC69" s="220">
        <v>4</v>
      </c>
      <c r="AD69" s="220">
        <v>2</v>
      </c>
      <c r="AE69" s="220">
        <f t="shared" si="66"/>
        <v>3</v>
      </c>
      <c r="AF69" s="220">
        <f t="shared" si="66"/>
        <v>-410</v>
      </c>
      <c r="AG69" s="220">
        <f t="shared" si="66"/>
        <v>-440</v>
      </c>
      <c r="AH69" s="220">
        <f t="shared" si="66"/>
        <v>-429</v>
      </c>
      <c r="AI69" s="220">
        <f t="shared" si="66"/>
        <v>-179</v>
      </c>
      <c r="AJ69" s="50">
        <f t="shared" si="12"/>
        <v>1.2270000000000025</v>
      </c>
      <c r="AK69" s="257"/>
      <c r="AL69" s="257">
        <f t="shared" si="13"/>
        <v>1.2</v>
      </c>
      <c r="AM69" s="52"/>
      <c r="AN69" s="88"/>
    </row>
    <row r="70" spans="1:40" s="29" customFormat="1" ht="17.25" customHeight="1">
      <c r="A70" s="48">
        <v>60</v>
      </c>
      <c r="B70" s="49">
        <f t="shared" si="6"/>
        <v>45644</v>
      </c>
      <c r="C70" s="220">
        <f t="shared" si="7"/>
        <v>1049</v>
      </c>
      <c r="D70" s="220">
        <f t="shared" ref="D70" si="76">D69-18</f>
        <v>2099</v>
      </c>
      <c r="E70" s="220">
        <f t="shared" si="8"/>
        <v>3148</v>
      </c>
      <c r="F70" s="220">
        <f t="shared" si="0"/>
        <v>679</v>
      </c>
      <c r="G70" s="220">
        <f t="shared" si="1"/>
        <v>846</v>
      </c>
      <c r="H70" s="220">
        <f t="shared" si="2"/>
        <v>976</v>
      </c>
      <c r="I70" s="220">
        <f t="shared" si="3"/>
        <v>950</v>
      </c>
      <c r="J70" s="220">
        <f t="shared" si="4"/>
        <v>768</v>
      </c>
      <c r="K70" s="220">
        <f t="shared" si="69"/>
        <v>2469</v>
      </c>
      <c r="L70" s="220">
        <f t="shared" si="69"/>
        <v>2302</v>
      </c>
      <c r="M70" s="220">
        <f t="shared" si="69"/>
        <v>2172</v>
      </c>
      <c r="N70" s="220">
        <f t="shared" si="69"/>
        <v>2198</v>
      </c>
      <c r="O70" s="220">
        <f t="shared" si="69"/>
        <v>2380</v>
      </c>
      <c r="P70" s="220">
        <f t="shared" si="64"/>
        <v>2000</v>
      </c>
      <c r="Q70" s="220">
        <f t="shared" si="64"/>
        <v>2150</v>
      </c>
      <c r="R70" s="220">
        <f t="shared" si="64"/>
        <v>2150</v>
      </c>
      <c r="S70" s="220">
        <f t="shared" si="64"/>
        <v>2150</v>
      </c>
      <c r="T70" s="220">
        <f t="shared" si="64"/>
        <v>2000</v>
      </c>
      <c r="U70" s="220">
        <f t="shared" si="65"/>
        <v>469</v>
      </c>
      <c r="V70" s="220">
        <f t="shared" si="65"/>
        <v>152</v>
      </c>
      <c r="W70" s="220">
        <f t="shared" si="65"/>
        <v>22</v>
      </c>
      <c r="X70" s="220">
        <f t="shared" si="65"/>
        <v>48</v>
      </c>
      <c r="Y70" s="220">
        <f t="shared" si="65"/>
        <v>380</v>
      </c>
      <c r="Z70" s="220">
        <v>1</v>
      </c>
      <c r="AA70" s="220">
        <v>5</v>
      </c>
      <c r="AB70" s="220">
        <v>5</v>
      </c>
      <c r="AC70" s="220">
        <v>5</v>
      </c>
      <c r="AD70" s="220">
        <v>0</v>
      </c>
      <c r="AE70" s="220">
        <f t="shared" si="66"/>
        <v>2</v>
      </c>
      <c r="AF70" s="220">
        <f t="shared" si="66"/>
        <v>-415</v>
      </c>
      <c r="AG70" s="220">
        <f t="shared" si="66"/>
        <v>-445</v>
      </c>
      <c r="AH70" s="220">
        <f t="shared" si="66"/>
        <v>-434</v>
      </c>
      <c r="AI70" s="220">
        <f t="shared" si="66"/>
        <v>-179</v>
      </c>
      <c r="AJ70" s="50">
        <f t="shared" si="12"/>
        <v>1.2220000000000026</v>
      </c>
      <c r="AK70" s="257"/>
      <c r="AL70" s="257">
        <f t="shared" si="13"/>
        <v>1.2</v>
      </c>
      <c r="AM70" s="52"/>
      <c r="AN70" s="88"/>
    </row>
    <row r="71" spans="1:40" s="29" customFormat="1" ht="17.25" customHeight="1">
      <c r="A71" s="48">
        <v>61</v>
      </c>
      <c r="B71" s="49">
        <f t="shared" si="6"/>
        <v>45645</v>
      </c>
      <c r="C71" s="220">
        <f t="shared" si="7"/>
        <v>1049</v>
      </c>
      <c r="D71" s="220">
        <f t="shared" ref="D71" si="77">D70-26</f>
        <v>2073</v>
      </c>
      <c r="E71" s="220">
        <f t="shared" si="8"/>
        <v>3122</v>
      </c>
      <c r="F71" s="220">
        <f t="shared" si="0"/>
        <v>654</v>
      </c>
      <c r="G71" s="220">
        <f t="shared" si="1"/>
        <v>823</v>
      </c>
      <c r="H71" s="220">
        <f t="shared" si="2"/>
        <v>956</v>
      </c>
      <c r="I71" s="220">
        <f t="shared" si="3"/>
        <v>927</v>
      </c>
      <c r="J71" s="220">
        <f t="shared" si="4"/>
        <v>742</v>
      </c>
      <c r="K71" s="220">
        <f t="shared" si="69"/>
        <v>2468</v>
      </c>
      <c r="L71" s="220">
        <f t="shared" si="69"/>
        <v>2299</v>
      </c>
      <c r="M71" s="220">
        <f t="shared" si="69"/>
        <v>2166</v>
      </c>
      <c r="N71" s="220">
        <f t="shared" si="69"/>
        <v>2195</v>
      </c>
      <c r="O71" s="220">
        <f t="shared" si="69"/>
        <v>2380</v>
      </c>
      <c r="P71" s="220">
        <f t="shared" si="64"/>
        <v>2000</v>
      </c>
      <c r="Q71" s="220">
        <f t="shared" si="64"/>
        <v>2150</v>
      </c>
      <c r="R71" s="220">
        <f t="shared" si="64"/>
        <v>2150</v>
      </c>
      <c r="S71" s="220">
        <f t="shared" si="64"/>
        <v>2150</v>
      </c>
      <c r="T71" s="220">
        <f t="shared" si="64"/>
        <v>2000</v>
      </c>
      <c r="U71" s="220">
        <f t="shared" si="65"/>
        <v>468</v>
      </c>
      <c r="V71" s="220">
        <f t="shared" si="65"/>
        <v>149</v>
      </c>
      <c r="W71" s="220">
        <f t="shared" si="65"/>
        <v>16</v>
      </c>
      <c r="X71" s="220">
        <f t="shared" si="65"/>
        <v>45</v>
      </c>
      <c r="Y71" s="220">
        <f t="shared" si="65"/>
        <v>380</v>
      </c>
      <c r="Z71" s="220">
        <v>1</v>
      </c>
      <c r="AA71" s="220">
        <v>3</v>
      </c>
      <c r="AB71" s="220">
        <v>6</v>
      </c>
      <c r="AC71" s="220">
        <v>3</v>
      </c>
      <c r="AD71" s="220">
        <v>0</v>
      </c>
      <c r="AE71" s="220">
        <f t="shared" si="66"/>
        <v>1</v>
      </c>
      <c r="AF71" s="220">
        <f t="shared" si="66"/>
        <v>-418</v>
      </c>
      <c r="AG71" s="220">
        <f t="shared" si="66"/>
        <v>-451</v>
      </c>
      <c r="AH71" s="220">
        <f t="shared" si="66"/>
        <v>-437</v>
      </c>
      <c r="AI71" s="220">
        <f t="shared" si="66"/>
        <v>-179</v>
      </c>
      <c r="AJ71" s="50">
        <f t="shared" si="12"/>
        <v>1.2160000000000026</v>
      </c>
      <c r="AK71" s="257"/>
      <c r="AL71" s="257">
        <f t="shared" si="13"/>
        <v>1.2</v>
      </c>
      <c r="AM71" s="52"/>
      <c r="AN71" s="88"/>
    </row>
    <row r="72" spans="1:40" s="29" customFormat="1" ht="17.25" customHeight="1">
      <c r="A72" s="48">
        <v>62</v>
      </c>
      <c r="B72" s="49">
        <f t="shared" si="6"/>
        <v>45646</v>
      </c>
      <c r="C72" s="220">
        <f t="shared" si="7"/>
        <v>1049</v>
      </c>
      <c r="D72" s="220">
        <f t="shared" ref="D72" si="78">D71+15</f>
        <v>2088</v>
      </c>
      <c r="E72" s="220">
        <f t="shared" si="8"/>
        <v>3137</v>
      </c>
      <c r="F72" s="220">
        <f t="shared" si="0"/>
        <v>669</v>
      </c>
      <c r="G72" s="220">
        <f t="shared" si="1"/>
        <v>841</v>
      </c>
      <c r="H72" s="220">
        <f t="shared" si="2"/>
        <v>977</v>
      </c>
      <c r="I72" s="220">
        <f t="shared" si="3"/>
        <v>945</v>
      </c>
      <c r="J72" s="220">
        <f t="shared" si="4"/>
        <v>757</v>
      </c>
      <c r="K72" s="220">
        <f t="shared" si="69"/>
        <v>2468</v>
      </c>
      <c r="L72" s="220">
        <f t="shared" si="69"/>
        <v>2296</v>
      </c>
      <c r="M72" s="220">
        <f t="shared" si="69"/>
        <v>2160</v>
      </c>
      <c r="N72" s="220">
        <f t="shared" si="69"/>
        <v>2192</v>
      </c>
      <c r="O72" s="220">
        <f t="shared" si="69"/>
        <v>2380</v>
      </c>
      <c r="P72" s="220">
        <f t="shared" si="64"/>
        <v>2000</v>
      </c>
      <c r="Q72" s="220">
        <f t="shared" si="64"/>
        <v>2150</v>
      </c>
      <c r="R72" s="220">
        <f t="shared" si="64"/>
        <v>2150</v>
      </c>
      <c r="S72" s="220">
        <f t="shared" si="64"/>
        <v>2150</v>
      </c>
      <c r="T72" s="220">
        <f t="shared" si="64"/>
        <v>2000</v>
      </c>
      <c r="U72" s="220">
        <f t="shared" si="65"/>
        <v>468</v>
      </c>
      <c r="V72" s="220">
        <f t="shared" si="65"/>
        <v>146</v>
      </c>
      <c r="W72" s="220">
        <f t="shared" si="65"/>
        <v>10</v>
      </c>
      <c r="X72" s="220">
        <f t="shared" si="65"/>
        <v>42</v>
      </c>
      <c r="Y72" s="220">
        <f t="shared" si="65"/>
        <v>380</v>
      </c>
      <c r="Z72" s="220">
        <v>0</v>
      </c>
      <c r="AA72" s="220">
        <v>3</v>
      </c>
      <c r="AB72" s="220">
        <v>6</v>
      </c>
      <c r="AC72" s="220">
        <v>3</v>
      </c>
      <c r="AD72" s="220">
        <v>0</v>
      </c>
      <c r="AE72" s="220">
        <f t="shared" si="66"/>
        <v>1</v>
      </c>
      <c r="AF72" s="220">
        <f t="shared" si="66"/>
        <v>-421</v>
      </c>
      <c r="AG72" s="220">
        <f t="shared" si="66"/>
        <v>-457</v>
      </c>
      <c r="AH72" s="220">
        <f t="shared" si="66"/>
        <v>-440</v>
      </c>
      <c r="AI72" s="220">
        <f t="shared" si="66"/>
        <v>-179</v>
      </c>
      <c r="AJ72" s="50">
        <f t="shared" si="12"/>
        <v>1.2100000000000026</v>
      </c>
      <c r="AK72" s="257"/>
      <c r="AL72" s="257">
        <f t="shared" si="13"/>
        <v>1.2</v>
      </c>
      <c r="AM72" s="52"/>
      <c r="AN72" s="88"/>
    </row>
    <row r="73" spans="1:40" s="29" customFormat="1" ht="17.25" customHeight="1">
      <c r="A73" s="48">
        <v>63</v>
      </c>
      <c r="B73" s="49">
        <f t="shared" si="6"/>
        <v>45647</v>
      </c>
      <c r="C73" s="220">
        <f t="shared" si="7"/>
        <v>1049</v>
      </c>
      <c r="D73" s="220">
        <f t="shared" ref="D73" si="79">D72+26</f>
        <v>2114</v>
      </c>
      <c r="E73" s="220">
        <f t="shared" si="8"/>
        <v>3163</v>
      </c>
      <c r="F73" s="220">
        <f t="shared" si="0"/>
        <v>696</v>
      </c>
      <c r="G73" s="220">
        <f t="shared" si="1"/>
        <v>870</v>
      </c>
      <c r="H73" s="220">
        <f t="shared" si="2"/>
        <v>1008</v>
      </c>
      <c r="I73" s="220">
        <f t="shared" si="3"/>
        <v>974</v>
      </c>
      <c r="J73" s="220">
        <f t="shared" si="4"/>
        <v>783</v>
      </c>
      <c r="K73" s="220">
        <f t="shared" si="69"/>
        <v>2467</v>
      </c>
      <c r="L73" s="220">
        <f t="shared" si="69"/>
        <v>2293</v>
      </c>
      <c r="M73" s="220">
        <f t="shared" si="69"/>
        <v>2155</v>
      </c>
      <c r="N73" s="220">
        <f t="shared" si="69"/>
        <v>2189</v>
      </c>
      <c r="O73" s="220">
        <f t="shared" si="69"/>
        <v>2380</v>
      </c>
      <c r="P73" s="220">
        <f t="shared" si="64"/>
        <v>2000</v>
      </c>
      <c r="Q73" s="220">
        <f t="shared" si="64"/>
        <v>2150</v>
      </c>
      <c r="R73" s="220">
        <f t="shared" si="64"/>
        <v>2150</v>
      </c>
      <c r="S73" s="220">
        <f t="shared" si="64"/>
        <v>2150</v>
      </c>
      <c r="T73" s="220">
        <f t="shared" si="64"/>
        <v>2000</v>
      </c>
      <c r="U73" s="220">
        <f t="shared" si="65"/>
        <v>467</v>
      </c>
      <c r="V73" s="220">
        <f t="shared" si="65"/>
        <v>143</v>
      </c>
      <c r="W73" s="220">
        <f t="shared" si="65"/>
        <v>5</v>
      </c>
      <c r="X73" s="220">
        <f t="shared" si="65"/>
        <v>39</v>
      </c>
      <c r="Y73" s="220">
        <f t="shared" si="65"/>
        <v>380</v>
      </c>
      <c r="Z73" s="220">
        <v>1</v>
      </c>
      <c r="AA73" s="220">
        <v>3</v>
      </c>
      <c r="AB73" s="220">
        <v>5</v>
      </c>
      <c r="AC73" s="220">
        <v>3</v>
      </c>
      <c r="AD73" s="220">
        <v>0</v>
      </c>
      <c r="AE73" s="220">
        <f t="shared" si="66"/>
        <v>0</v>
      </c>
      <c r="AF73" s="220">
        <f t="shared" si="66"/>
        <v>-424</v>
      </c>
      <c r="AG73" s="220">
        <f t="shared" si="66"/>
        <v>-462</v>
      </c>
      <c r="AH73" s="220">
        <f t="shared" si="66"/>
        <v>-443</v>
      </c>
      <c r="AI73" s="220">
        <f t="shared" si="66"/>
        <v>-179</v>
      </c>
      <c r="AJ73" s="50">
        <f t="shared" si="12"/>
        <v>1.2050000000000027</v>
      </c>
      <c r="AK73" s="257"/>
      <c r="AL73" s="257">
        <f t="shared" si="13"/>
        <v>1.2</v>
      </c>
      <c r="AM73" s="52"/>
      <c r="AN73" s="88"/>
    </row>
    <row r="74" spans="1:40" s="29" customFormat="1" ht="17.25" customHeight="1">
      <c r="A74" s="48">
        <v>64</v>
      </c>
      <c r="B74" s="49">
        <f t="shared" si="6"/>
        <v>45648</v>
      </c>
      <c r="C74" s="220">
        <f t="shared" si="7"/>
        <v>1049</v>
      </c>
      <c r="D74" s="220">
        <f t="shared" ref="D74" si="80">D73+32</f>
        <v>2146</v>
      </c>
      <c r="E74" s="220">
        <f t="shared" si="8"/>
        <v>3195</v>
      </c>
      <c r="F74" s="220">
        <f t="shared" si="0"/>
        <v>728</v>
      </c>
      <c r="G74" s="220">
        <f t="shared" si="1"/>
        <v>905</v>
      </c>
      <c r="H74" s="220">
        <f t="shared" si="2"/>
        <v>1046</v>
      </c>
      <c r="I74" s="220">
        <f t="shared" si="3"/>
        <v>1009</v>
      </c>
      <c r="J74" s="220">
        <f t="shared" si="4"/>
        <v>815</v>
      </c>
      <c r="K74" s="220">
        <f t="shared" si="69"/>
        <v>2467</v>
      </c>
      <c r="L74" s="220">
        <f t="shared" si="69"/>
        <v>2290</v>
      </c>
      <c r="M74" s="220">
        <f t="shared" si="69"/>
        <v>2149</v>
      </c>
      <c r="N74" s="220">
        <f t="shared" si="69"/>
        <v>2186</v>
      </c>
      <c r="O74" s="220">
        <f t="shared" si="69"/>
        <v>2380</v>
      </c>
      <c r="P74" s="220">
        <f t="shared" si="64"/>
        <v>2000</v>
      </c>
      <c r="Q74" s="220">
        <f t="shared" si="64"/>
        <v>2150</v>
      </c>
      <c r="R74" s="220">
        <f t="shared" si="64"/>
        <v>2150</v>
      </c>
      <c r="S74" s="220">
        <f t="shared" si="64"/>
        <v>2150</v>
      </c>
      <c r="T74" s="220">
        <f t="shared" si="64"/>
        <v>2000</v>
      </c>
      <c r="U74" s="220">
        <f t="shared" si="65"/>
        <v>467</v>
      </c>
      <c r="V74" s="220">
        <f t="shared" si="65"/>
        <v>140</v>
      </c>
      <c r="W74" s="220">
        <f t="shared" si="65"/>
        <v>-1</v>
      </c>
      <c r="X74" s="220">
        <f t="shared" si="65"/>
        <v>36</v>
      </c>
      <c r="Y74" s="220">
        <f t="shared" si="65"/>
        <v>380</v>
      </c>
      <c r="Z74" s="220">
        <v>0</v>
      </c>
      <c r="AA74" s="220">
        <v>3</v>
      </c>
      <c r="AB74" s="220">
        <v>6</v>
      </c>
      <c r="AC74" s="220">
        <v>3</v>
      </c>
      <c r="AD74" s="220">
        <v>0</v>
      </c>
      <c r="AE74" s="220">
        <f t="shared" si="66"/>
        <v>0</v>
      </c>
      <c r="AF74" s="220">
        <f t="shared" si="66"/>
        <v>-427</v>
      </c>
      <c r="AG74" s="220">
        <f t="shared" si="66"/>
        <v>-468</v>
      </c>
      <c r="AH74" s="220">
        <f t="shared" si="66"/>
        <v>-446</v>
      </c>
      <c r="AI74" s="220">
        <f t="shared" si="66"/>
        <v>-179</v>
      </c>
      <c r="AJ74" s="50">
        <f t="shared" si="12"/>
        <v>1.1990000000000027</v>
      </c>
      <c r="AK74" s="257"/>
      <c r="AL74" s="257">
        <f t="shared" si="13"/>
        <v>1.2</v>
      </c>
      <c r="AM74" s="52"/>
      <c r="AN74" s="88"/>
    </row>
    <row r="75" spans="1:40" s="29" customFormat="1" ht="17.25" customHeight="1">
      <c r="A75" s="48">
        <v>65</v>
      </c>
      <c r="B75" s="49">
        <f t="shared" si="6"/>
        <v>45649</v>
      </c>
      <c r="C75" s="220">
        <f t="shared" si="7"/>
        <v>1049</v>
      </c>
      <c r="D75" s="220">
        <f t="shared" ref="D75" si="81">D74-18</f>
        <v>2128</v>
      </c>
      <c r="E75" s="220">
        <f t="shared" si="8"/>
        <v>3177</v>
      </c>
      <c r="F75" s="220">
        <f t="shared" si="0"/>
        <v>710</v>
      </c>
      <c r="G75" s="220">
        <f t="shared" si="1"/>
        <v>889</v>
      </c>
      <c r="H75" s="220">
        <f t="shared" si="2"/>
        <v>1034</v>
      </c>
      <c r="I75" s="220">
        <f t="shared" si="3"/>
        <v>993</v>
      </c>
      <c r="J75" s="220">
        <f t="shared" si="4"/>
        <v>797</v>
      </c>
      <c r="K75" s="220">
        <f t="shared" si="69"/>
        <v>2467</v>
      </c>
      <c r="L75" s="220">
        <f t="shared" si="69"/>
        <v>2288</v>
      </c>
      <c r="M75" s="220">
        <f t="shared" si="69"/>
        <v>2143</v>
      </c>
      <c r="N75" s="220">
        <f t="shared" si="69"/>
        <v>2184</v>
      </c>
      <c r="O75" s="220">
        <f t="shared" si="69"/>
        <v>2380</v>
      </c>
      <c r="P75" s="220">
        <f t="shared" si="64"/>
        <v>2000</v>
      </c>
      <c r="Q75" s="220">
        <f t="shared" si="64"/>
        <v>2150</v>
      </c>
      <c r="R75" s="220">
        <f t="shared" si="64"/>
        <v>2150</v>
      </c>
      <c r="S75" s="220">
        <f t="shared" si="64"/>
        <v>2150</v>
      </c>
      <c r="T75" s="220">
        <f t="shared" si="64"/>
        <v>2000</v>
      </c>
      <c r="U75" s="220">
        <f t="shared" si="65"/>
        <v>467</v>
      </c>
      <c r="V75" s="220">
        <f t="shared" si="65"/>
        <v>138</v>
      </c>
      <c r="W75" s="220">
        <f t="shared" si="65"/>
        <v>-7</v>
      </c>
      <c r="X75" s="220">
        <f t="shared" si="65"/>
        <v>34</v>
      </c>
      <c r="Y75" s="220">
        <f t="shared" si="65"/>
        <v>380</v>
      </c>
      <c r="Z75" s="220">
        <v>0</v>
      </c>
      <c r="AA75" s="220">
        <v>2</v>
      </c>
      <c r="AB75" s="220">
        <v>6</v>
      </c>
      <c r="AC75" s="220">
        <v>2</v>
      </c>
      <c r="AD75" s="220">
        <v>0</v>
      </c>
      <c r="AE75" s="220">
        <f t="shared" si="66"/>
        <v>0</v>
      </c>
      <c r="AF75" s="220">
        <f t="shared" si="66"/>
        <v>-429</v>
      </c>
      <c r="AG75" s="220">
        <f t="shared" si="66"/>
        <v>-474</v>
      </c>
      <c r="AH75" s="220">
        <f t="shared" si="66"/>
        <v>-448</v>
      </c>
      <c r="AI75" s="220">
        <f t="shared" si="66"/>
        <v>-179</v>
      </c>
      <c r="AJ75" s="50">
        <f t="shared" si="12"/>
        <v>1.1930000000000027</v>
      </c>
      <c r="AK75" s="257"/>
      <c r="AL75" s="257">
        <f t="shared" si="13"/>
        <v>1.2</v>
      </c>
      <c r="AM75" s="52"/>
      <c r="AN75" s="88"/>
    </row>
    <row r="76" spans="1:40" s="29" customFormat="1" ht="17.25" customHeight="1">
      <c r="A76" s="48">
        <v>66</v>
      </c>
      <c r="B76" s="49">
        <f t="shared" si="6"/>
        <v>45650</v>
      </c>
      <c r="C76" s="220">
        <f t="shared" si="7"/>
        <v>1049</v>
      </c>
      <c r="D76" s="220">
        <f t="shared" ref="D76" si="82">D75-26</f>
        <v>2102</v>
      </c>
      <c r="E76" s="220">
        <f t="shared" si="8"/>
        <v>3151</v>
      </c>
      <c r="F76" s="220">
        <f t="shared" ref="F76:F139" si="83">E76-K76</f>
        <v>685</v>
      </c>
      <c r="G76" s="220">
        <f t="shared" ref="G76:G139" si="84">E76-L76</f>
        <v>865</v>
      </c>
      <c r="H76" s="220">
        <f t="shared" ref="H76:H139" si="85">E76-M76</f>
        <v>1014</v>
      </c>
      <c r="I76" s="220">
        <f t="shared" ref="I76:I139" si="86">E76-N76</f>
        <v>969</v>
      </c>
      <c r="J76" s="220">
        <f t="shared" ref="J76:J139" si="87">E76-O76</f>
        <v>771</v>
      </c>
      <c r="K76" s="220">
        <f t="shared" si="69"/>
        <v>2466</v>
      </c>
      <c r="L76" s="220">
        <f t="shared" si="69"/>
        <v>2286</v>
      </c>
      <c r="M76" s="220">
        <f t="shared" si="69"/>
        <v>2137</v>
      </c>
      <c r="N76" s="220">
        <f t="shared" si="69"/>
        <v>2182</v>
      </c>
      <c r="O76" s="220">
        <f t="shared" si="69"/>
        <v>2380</v>
      </c>
      <c r="P76" s="220">
        <f t="shared" si="64"/>
        <v>2000</v>
      </c>
      <c r="Q76" s="220">
        <f t="shared" si="64"/>
        <v>2150</v>
      </c>
      <c r="R76" s="220">
        <f t="shared" si="64"/>
        <v>2150</v>
      </c>
      <c r="S76" s="220">
        <f t="shared" si="64"/>
        <v>2150</v>
      </c>
      <c r="T76" s="220">
        <f t="shared" si="64"/>
        <v>2000</v>
      </c>
      <c r="U76" s="220">
        <f t="shared" si="65"/>
        <v>466</v>
      </c>
      <c r="V76" s="220">
        <f t="shared" si="65"/>
        <v>136</v>
      </c>
      <c r="W76" s="220">
        <f t="shared" si="65"/>
        <v>-13</v>
      </c>
      <c r="X76" s="220">
        <f t="shared" si="65"/>
        <v>32</v>
      </c>
      <c r="Y76" s="220">
        <f t="shared" si="65"/>
        <v>380</v>
      </c>
      <c r="Z76" s="220">
        <v>1</v>
      </c>
      <c r="AA76" s="220">
        <v>2</v>
      </c>
      <c r="AB76" s="220">
        <v>6</v>
      </c>
      <c r="AC76" s="220">
        <v>2</v>
      </c>
      <c r="AD76" s="220">
        <v>0</v>
      </c>
      <c r="AE76" s="220">
        <f t="shared" si="66"/>
        <v>-1</v>
      </c>
      <c r="AF76" s="220">
        <f t="shared" si="66"/>
        <v>-431</v>
      </c>
      <c r="AG76" s="220">
        <f t="shared" si="66"/>
        <v>-480</v>
      </c>
      <c r="AH76" s="220">
        <f t="shared" si="66"/>
        <v>-450</v>
      </c>
      <c r="AI76" s="220">
        <f t="shared" si="66"/>
        <v>-179</v>
      </c>
      <c r="AJ76" s="50">
        <f t="shared" si="12"/>
        <v>1.1870000000000027</v>
      </c>
      <c r="AK76" s="257"/>
      <c r="AL76" s="257">
        <f t="shared" si="13"/>
        <v>1.2</v>
      </c>
      <c r="AM76" s="52"/>
      <c r="AN76" s="88"/>
    </row>
    <row r="77" spans="1:40" s="29" customFormat="1" ht="17.25" customHeight="1">
      <c r="A77" s="48">
        <v>67</v>
      </c>
      <c r="B77" s="49">
        <f t="shared" ref="B77:B140" si="88">B76+1</f>
        <v>45651</v>
      </c>
      <c r="C77" s="220">
        <f t="shared" ref="C77:C140" si="89">+C76</f>
        <v>1049</v>
      </c>
      <c r="D77" s="220">
        <f t="shared" ref="D77" si="90">D76+15</f>
        <v>2117</v>
      </c>
      <c r="E77" s="220">
        <f t="shared" ref="E77:E140" si="91">+C77+D77</f>
        <v>3166</v>
      </c>
      <c r="F77" s="220">
        <f t="shared" si="83"/>
        <v>700</v>
      </c>
      <c r="G77" s="220">
        <f t="shared" si="84"/>
        <v>882</v>
      </c>
      <c r="H77" s="220">
        <f t="shared" si="85"/>
        <v>1034</v>
      </c>
      <c r="I77" s="220">
        <f t="shared" si="86"/>
        <v>986</v>
      </c>
      <c r="J77" s="220">
        <f t="shared" si="87"/>
        <v>786</v>
      </c>
      <c r="K77" s="220">
        <f t="shared" si="69"/>
        <v>2466</v>
      </c>
      <c r="L77" s="220">
        <f t="shared" si="69"/>
        <v>2284</v>
      </c>
      <c r="M77" s="220">
        <f t="shared" si="69"/>
        <v>2132</v>
      </c>
      <c r="N77" s="220">
        <f t="shared" si="69"/>
        <v>2180</v>
      </c>
      <c r="O77" s="220">
        <f t="shared" si="69"/>
        <v>2380</v>
      </c>
      <c r="P77" s="220">
        <f t="shared" ref="P77:T92" si="92">+P76</f>
        <v>2000</v>
      </c>
      <c r="Q77" s="220">
        <f t="shared" si="92"/>
        <v>2150</v>
      </c>
      <c r="R77" s="220">
        <f t="shared" si="92"/>
        <v>2150</v>
      </c>
      <c r="S77" s="220">
        <f t="shared" si="92"/>
        <v>2150</v>
      </c>
      <c r="T77" s="220">
        <f t="shared" si="92"/>
        <v>2000</v>
      </c>
      <c r="U77" s="220">
        <f t="shared" ref="U77:Y92" si="93">U76-Z77</f>
        <v>466</v>
      </c>
      <c r="V77" s="220">
        <f t="shared" si="93"/>
        <v>134</v>
      </c>
      <c r="W77" s="220">
        <f t="shared" si="93"/>
        <v>-18</v>
      </c>
      <c r="X77" s="220">
        <f t="shared" si="93"/>
        <v>30</v>
      </c>
      <c r="Y77" s="220">
        <f t="shared" si="93"/>
        <v>380</v>
      </c>
      <c r="Z77" s="220">
        <v>0</v>
      </c>
      <c r="AA77" s="220">
        <v>2</v>
      </c>
      <c r="AB77" s="220">
        <v>5</v>
      </c>
      <c r="AC77" s="220">
        <v>2</v>
      </c>
      <c r="AD77" s="220">
        <v>0</v>
      </c>
      <c r="AE77" s="220">
        <f t="shared" ref="AE77:AI92" si="94">AE76-Z77</f>
        <v>-1</v>
      </c>
      <c r="AF77" s="220">
        <f t="shared" si="94"/>
        <v>-433</v>
      </c>
      <c r="AG77" s="220">
        <f t="shared" si="94"/>
        <v>-485</v>
      </c>
      <c r="AH77" s="220">
        <f t="shared" si="94"/>
        <v>-452</v>
      </c>
      <c r="AI77" s="220">
        <f t="shared" si="94"/>
        <v>-179</v>
      </c>
      <c r="AJ77" s="50">
        <f t="shared" ref="AJ77:AJ140" si="95">AJ76-AB77/1000+AK77</f>
        <v>1.1820000000000028</v>
      </c>
      <c r="AK77" s="257"/>
      <c r="AL77" s="257">
        <f t="shared" ref="AL77:AL140" si="96">AL76+AK77</f>
        <v>1.2</v>
      </c>
      <c r="AM77" s="52"/>
      <c r="AN77" s="88"/>
    </row>
    <row r="78" spans="1:40" s="29" customFormat="1" ht="17.25" customHeight="1">
      <c r="A78" s="48">
        <v>68</v>
      </c>
      <c r="B78" s="49">
        <f t="shared" si="88"/>
        <v>45652</v>
      </c>
      <c r="C78" s="220">
        <f t="shared" si="89"/>
        <v>1049</v>
      </c>
      <c r="D78" s="220">
        <f t="shared" ref="D78" si="97">D77+26</f>
        <v>2143</v>
      </c>
      <c r="E78" s="220">
        <f t="shared" si="91"/>
        <v>3192</v>
      </c>
      <c r="F78" s="220">
        <f t="shared" si="83"/>
        <v>726</v>
      </c>
      <c r="G78" s="220">
        <f t="shared" si="84"/>
        <v>909</v>
      </c>
      <c r="H78" s="220">
        <f t="shared" si="85"/>
        <v>1064</v>
      </c>
      <c r="I78" s="220">
        <f t="shared" si="86"/>
        <v>1013</v>
      </c>
      <c r="J78" s="220">
        <f t="shared" si="87"/>
        <v>812</v>
      </c>
      <c r="K78" s="220">
        <f t="shared" si="69"/>
        <v>2466</v>
      </c>
      <c r="L78" s="220">
        <f t="shared" si="69"/>
        <v>2283</v>
      </c>
      <c r="M78" s="220">
        <f t="shared" si="69"/>
        <v>2128</v>
      </c>
      <c r="N78" s="220">
        <f t="shared" si="69"/>
        <v>2179</v>
      </c>
      <c r="O78" s="220">
        <f t="shared" si="69"/>
        <v>2380</v>
      </c>
      <c r="P78" s="220">
        <f t="shared" si="92"/>
        <v>2000</v>
      </c>
      <c r="Q78" s="220">
        <f t="shared" si="92"/>
        <v>2150</v>
      </c>
      <c r="R78" s="220">
        <f t="shared" si="92"/>
        <v>2150</v>
      </c>
      <c r="S78" s="220">
        <f t="shared" si="92"/>
        <v>2150</v>
      </c>
      <c r="T78" s="220">
        <f t="shared" si="92"/>
        <v>2000</v>
      </c>
      <c r="U78" s="220">
        <f t="shared" si="93"/>
        <v>466</v>
      </c>
      <c r="V78" s="220">
        <f t="shared" si="93"/>
        <v>133</v>
      </c>
      <c r="W78" s="220">
        <f t="shared" si="93"/>
        <v>-22</v>
      </c>
      <c r="X78" s="220">
        <f t="shared" si="93"/>
        <v>29</v>
      </c>
      <c r="Y78" s="220">
        <f t="shared" si="93"/>
        <v>380</v>
      </c>
      <c r="Z78" s="220">
        <v>0</v>
      </c>
      <c r="AA78" s="220">
        <v>1</v>
      </c>
      <c r="AB78" s="220">
        <v>4</v>
      </c>
      <c r="AC78" s="220">
        <v>1</v>
      </c>
      <c r="AD78" s="220">
        <v>0</v>
      </c>
      <c r="AE78" s="220">
        <f t="shared" si="94"/>
        <v>-1</v>
      </c>
      <c r="AF78" s="220">
        <f t="shared" si="94"/>
        <v>-434</v>
      </c>
      <c r="AG78" s="220">
        <f t="shared" si="94"/>
        <v>-489</v>
      </c>
      <c r="AH78" s="220">
        <f t="shared" si="94"/>
        <v>-453</v>
      </c>
      <c r="AI78" s="220">
        <f t="shared" si="94"/>
        <v>-179</v>
      </c>
      <c r="AJ78" s="50">
        <f t="shared" si="95"/>
        <v>1.1780000000000028</v>
      </c>
      <c r="AK78" s="257"/>
      <c r="AL78" s="257">
        <f t="shared" si="96"/>
        <v>1.2</v>
      </c>
      <c r="AM78" s="52"/>
      <c r="AN78" s="88"/>
    </row>
    <row r="79" spans="1:40" s="29" customFormat="1" ht="17.25" customHeight="1">
      <c r="A79" s="48">
        <v>69</v>
      </c>
      <c r="B79" s="49">
        <f t="shared" si="88"/>
        <v>45653</v>
      </c>
      <c r="C79" s="220">
        <f t="shared" si="89"/>
        <v>1049</v>
      </c>
      <c r="D79" s="220">
        <f t="shared" ref="D79" si="98">D78+32</f>
        <v>2175</v>
      </c>
      <c r="E79" s="220">
        <f t="shared" si="91"/>
        <v>3224</v>
      </c>
      <c r="F79" s="220">
        <f t="shared" si="83"/>
        <v>759</v>
      </c>
      <c r="G79" s="220">
        <f t="shared" si="84"/>
        <v>942</v>
      </c>
      <c r="H79" s="220">
        <f t="shared" si="85"/>
        <v>1100</v>
      </c>
      <c r="I79" s="220">
        <f t="shared" si="86"/>
        <v>1049</v>
      </c>
      <c r="J79" s="220">
        <f t="shared" si="87"/>
        <v>846</v>
      </c>
      <c r="K79" s="220">
        <f t="shared" si="69"/>
        <v>2465</v>
      </c>
      <c r="L79" s="220">
        <f t="shared" si="69"/>
        <v>2282</v>
      </c>
      <c r="M79" s="220">
        <f t="shared" si="69"/>
        <v>2124</v>
      </c>
      <c r="N79" s="220">
        <f t="shared" si="69"/>
        <v>2175</v>
      </c>
      <c r="O79" s="220">
        <f t="shared" si="69"/>
        <v>2378</v>
      </c>
      <c r="P79" s="220">
        <f t="shared" si="92"/>
        <v>2000</v>
      </c>
      <c r="Q79" s="220">
        <f t="shared" si="92"/>
        <v>2150</v>
      </c>
      <c r="R79" s="220">
        <f t="shared" si="92"/>
        <v>2150</v>
      </c>
      <c r="S79" s="220">
        <f t="shared" si="92"/>
        <v>2150</v>
      </c>
      <c r="T79" s="220">
        <f t="shared" si="92"/>
        <v>2000</v>
      </c>
      <c r="U79" s="220">
        <f t="shared" si="93"/>
        <v>465</v>
      </c>
      <c r="V79" s="220">
        <f t="shared" si="93"/>
        <v>132</v>
      </c>
      <c r="W79" s="220">
        <f t="shared" si="93"/>
        <v>-26</v>
      </c>
      <c r="X79" s="220">
        <f t="shared" si="93"/>
        <v>25</v>
      </c>
      <c r="Y79" s="220">
        <f t="shared" si="93"/>
        <v>378</v>
      </c>
      <c r="Z79" s="220">
        <v>1</v>
      </c>
      <c r="AA79" s="220">
        <v>1</v>
      </c>
      <c r="AB79" s="220">
        <v>4</v>
      </c>
      <c r="AC79" s="220">
        <v>4</v>
      </c>
      <c r="AD79" s="220">
        <v>2</v>
      </c>
      <c r="AE79" s="220">
        <f t="shared" si="94"/>
        <v>-2</v>
      </c>
      <c r="AF79" s="220">
        <f t="shared" si="94"/>
        <v>-435</v>
      </c>
      <c r="AG79" s="220">
        <f t="shared" si="94"/>
        <v>-493</v>
      </c>
      <c r="AH79" s="220">
        <f t="shared" si="94"/>
        <v>-457</v>
      </c>
      <c r="AI79" s="220">
        <f t="shared" si="94"/>
        <v>-181</v>
      </c>
      <c r="AJ79" s="50">
        <f t="shared" si="95"/>
        <v>1.1740000000000028</v>
      </c>
      <c r="AK79" s="257"/>
      <c r="AL79" s="257">
        <f t="shared" si="96"/>
        <v>1.2</v>
      </c>
      <c r="AM79" s="52"/>
      <c r="AN79" s="88"/>
    </row>
    <row r="80" spans="1:40" s="29" customFormat="1" ht="17.25" customHeight="1">
      <c r="A80" s="48">
        <v>70</v>
      </c>
      <c r="B80" s="49">
        <f t="shared" si="88"/>
        <v>45654</v>
      </c>
      <c r="C80" s="220">
        <f t="shared" si="89"/>
        <v>1049</v>
      </c>
      <c r="D80" s="220">
        <f t="shared" ref="D80" si="99">D79-18</f>
        <v>2157</v>
      </c>
      <c r="E80" s="220">
        <f t="shared" si="91"/>
        <v>3206</v>
      </c>
      <c r="F80" s="220">
        <f t="shared" si="83"/>
        <v>741</v>
      </c>
      <c r="G80" s="220">
        <f t="shared" si="84"/>
        <v>925</v>
      </c>
      <c r="H80" s="220">
        <f t="shared" si="85"/>
        <v>1087</v>
      </c>
      <c r="I80" s="220">
        <f t="shared" si="86"/>
        <v>1032</v>
      </c>
      <c r="J80" s="220">
        <f t="shared" si="87"/>
        <v>828</v>
      </c>
      <c r="K80" s="220">
        <f t="shared" si="69"/>
        <v>2465</v>
      </c>
      <c r="L80" s="220">
        <f t="shared" si="69"/>
        <v>2281</v>
      </c>
      <c r="M80" s="220">
        <f t="shared" si="69"/>
        <v>2119</v>
      </c>
      <c r="N80" s="220">
        <f t="shared" si="69"/>
        <v>2174</v>
      </c>
      <c r="O80" s="220">
        <f t="shared" si="69"/>
        <v>2378</v>
      </c>
      <c r="P80" s="220">
        <f t="shared" si="92"/>
        <v>2000</v>
      </c>
      <c r="Q80" s="220">
        <f t="shared" si="92"/>
        <v>2150</v>
      </c>
      <c r="R80" s="220">
        <f t="shared" si="92"/>
        <v>2150</v>
      </c>
      <c r="S80" s="220">
        <f t="shared" si="92"/>
        <v>2150</v>
      </c>
      <c r="T80" s="220">
        <f t="shared" si="92"/>
        <v>2000</v>
      </c>
      <c r="U80" s="220">
        <f t="shared" si="93"/>
        <v>465</v>
      </c>
      <c r="V80" s="220">
        <f t="shared" si="93"/>
        <v>131</v>
      </c>
      <c r="W80" s="220">
        <f t="shared" si="93"/>
        <v>-31</v>
      </c>
      <c r="X80" s="220">
        <f t="shared" si="93"/>
        <v>24</v>
      </c>
      <c r="Y80" s="220">
        <f t="shared" si="93"/>
        <v>378</v>
      </c>
      <c r="Z80" s="220">
        <v>0</v>
      </c>
      <c r="AA80" s="220">
        <v>1</v>
      </c>
      <c r="AB80" s="220">
        <v>5</v>
      </c>
      <c r="AC80" s="220">
        <v>1</v>
      </c>
      <c r="AD80" s="220">
        <v>0</v>
      </c>
      <c r="AE80" s="220">
        <f t="shared" si="94"/>
        <v>-2</v>
      </c>
      <c r="AF80" s="220">
        <f t="shared" si="94"/>
        <v>-436</v>
      </c>
      <c r="AG80" s="220">
        <f t="shared" si="94"/>
        <v>-498</v>
      </c>
      <c r="AH80" s="220">
        <f t="shared" si="94"/>
        <v>-458</v>
      </c>
      <c r="AI80" s="220">
        <f t="shared" si="94"/>
        <v>-181</v>
      </c>
      <c r="AJ80" s="50">
        <f t="shared" si="95"/>
        <v>1.1690000000000029</v>
      </c>
      <c r="AK80" s="257"/>
      <c r="AL80" s="257">
        <f t="shared" si="96"/>
        <v>1.2</v>
      </c>
      <c r="AM80" s="52"/>
      <c r="AN80" s="88"/>
    </row>
    <row r="81" spans="1:40" s="29" customFormat="1" ht="17.25" customHeight="1">
      <c r="A81" s="48">
        <v>71</v>
      </c>
      <c r="B81" s="49">
        <f t="shared" si="88"/>
        <v>45655</v>
      </c>
      <c r="C81" s="220">
        <f t="shared" si="89"/>
        <v>1049</v>
      </c>
      <c r="D81" s="220">
        <f t="shared" ref="D81" si="100">D80-26</f>
        <v>2131</v>
      </c>
      <c r="E81" s="220">
        <f t="shared" si="91"/>
        <v>3180</v>
      </c>
      <c r="F81" s="220">
        <f t="shared" si="83"/>
        <v>716</v>
      </c>
      <c r="G81" s="220">
        <f t="shared" si="84"/>
        <v>900</v>
      </c>
      <c r="H81" s="220">
        <f t="shared" si="85"/>
        <v>1066</v>
      </c>
      <c r="I81" s="220">
        <f t="shared" si="86"/>
        <v>1010</v>
      </c>
      <c r="J81" s="220">
        <f t="shared" si="87"/>
        <v>802</v>
      </c>
      <c r="K81" s="220">
        <f t="shared" si="69"/>
        <v>2464</v>
      </c>
      <c r="L81" s="220">
        <f t="shared" si="69"/>
        <v>2280</v>
      </c>
      <c r="M81" s="220">
        <f t="shared" si="69"/>
        <v>2114</v>
      </c>
      <c r="N81" s="220">
        <f t="shared" si="69"/>
        <v>2170</v>
      </c>
      <c r="O81" s="220">
        <f t="shared" si="69"/>
        <v>2378</v>
      </c>
      <c r="P81" s="220">
        <f t="shared" si="92"/>
        <v>2000</v>
      </c>
      <c r="Q81" s="220">
        <f t="shared" si="92"/>
        <v>2150</v>
      </c>
      <c r="R81" s="220">
        <f t="shared" si="92"/>
        <v>2150</v>
      </c>
      <c r="S81" s="220">
        <f t="shared" si="92"/>
        <v>2150</v>
      </c>
      <c r="T81" s="220">
        <f t="shared" si="92"/>
        <v>2000</v>
      </c>
      <c r="U81" s="220">
        <f t="shared" si="93"/>
        <v>464</v>
      </c>
      <c r="V81" s="220">
        <f t="shared" si="93"/>
        <v>130</v>
      </c>
      <c r="W81" s="220">
        <f t="shared" si="93"/>
        <v>-36</v>
      </c>
      <c r="X81" s="220">
        <f t="shared" si="93"/>
        <v>20</v>
      </c>
      <c r="Y81" s="220">
        <f t="shared" si="93"/>
        <v>378</v>
      </c>
      <c r="Z81" s="220">
        <v>1</v>
      </c>
      <c r="AA81" s="220">
        <v>1</v>
      </c>
      <c r="AB81" s="220">
        <v>5</v>
      </c>
      <c r="AC81" s="220">
        <v>4</v>
      </c>
      <c r="AD81" s="220">
        <v>0</v>
      </c>
      <c r="AE81" s="220">
        <f t="shared" si="94"/>
        <v>-3</v>
      </c>
      <c r="AF81" s="220">
        <f t="shared" si="94"/>
        <v>-437</v>
      </c>
      <c r="AG81" s="220">
        <f t="shared" si="94"/>
        <v>-503</v>
      </c>
      <c r="AH81" s="220">
        <f t="shared" si="94"/>
        <v>-462</v>
      </c>
      <c r="AI81" s="220">
        <f t="shared" si="94"/>
        <v>-181</v>
      </c>
      <c r="AJ81" s="50">
        <f t="shared" si="95"/>
        <v>1.164000000000003</v>
      </c>
      <c r="AK81" s="257"/>
      <c r="AL81" s="257">
        <f t="shared" si="96"/>
        <v>1.2</v>
      </c>
      <c r="AM81" s="52"/>
      <c r="AN81" s="88"/>
    </row>
    <row r="82" spans="1:40" s="29" customFormat="1" ht="17.25" customHeight="1">
      <c r="A82" s="48">
        <v>72</v>
      </c>
      <c r="B82" s="49">
        <f t="shared" si="88"/>
        <v>45656</v>
      </c>
      <c r="C82" s="220">
        <f t="shared" si="89"/>
        <v>1049</v>
      </c>
      <c r="D82" s="220">
        <f t="shared" ref="D82" si="101">D81+15</f>
        <v>2146</v>
      </c>
      <c r="E82" s="220">
        <f t="shared" si="91"/>
        <v>3195</v>
      </c>
      <c r="F82" s="220">
        <f t="shared" si="83"/>
        <v>731</v>
      </c>
      <c r="G82" s="220">
        <f t="shared" si="84"/>
        <v>916</v>
      </c>
      <c r="H82" s="220">
        <f t="shared" si="85"/>
        <v>1086</v>
      </c>
      <c r="I82" s="220">
        <f t="shared" si="86"/>
        <v>1026</v>
      </c>
      <c r="J82" s="220">
        <f t="shared" si="87"/>
        <v>817</v>
      </c>
      <c r="K82" s="220">
        <f t="shared" si="69"/>
        <v>2464</v>
      </c>
      <c r="L82" s="220">
        <f t="shared" si="69"/>
        <v>2279</v>
      </c>
      <c r="M82" s="220">
        <f t="shared" si="69"/>
        <v>2109</v>
      </c>
      <c r="N82" s="220">
        <f t="shared" si="69"/>
        <v>2169</v>
      </c>
      <c r="O82" s="220">
        <f t="shared" si="69"/>
        <v>2378</v>
      </c>
      <c r="P82" s="220">
        <f t="shared" si="92"/>
        <v>2000</v>
      </c>
      <c r="Q82" s="220">
        <f t="shared" si="92"/>
        <v>2150</v>
      </c>
      <c r="R82" s="220">
        <f t="shared" si="92"/>
        <v>2150</v>
      </c>
      <c r="S82" s="220">
        <f t="shared" si="92"/>
        <v>2150</v>
      </c>
      <c r="T82" s="220">
        <f t="shared" si="92"/>
        <v>2000</v>
      </c>
      <c r="U82" s="220">
        <f t="shared" si="93"/>
        <v>464</v>
      </c>
      <c r="V82" s="220">
        <f t="shared" si="93"/>
        <v>129</v>
      </c>
      <c r="W82" s="220">
        <f t="shared" si="93"/>
        <v>-41</v>
      </c>
      <c r="X82" s="220">
        <f t="shared" si="93"/>
        <v>19</v>
      </c>
      <c r="Y82" s="220">
        <f t="shared" si="93"/>
        <v>378</v>
      </c>
      <c r="Z82" s="220">
        <v>0</v>
      </c>
      <c r="AA82" s="220">
        <v>1</v>
      </c>
      <c r="AB82" s="220">
        <v>5</v>
      </c>
      <c r="AC82" s="220">
        <v>1</v>
      </c>
      <c r="AD82" s="220">
        <v>0</v>
      </c>
      <c r="AE82" s="220">
        <f t="shared" si="94"/>
        <v>-3</v>
      </c>
      <c r="AF82" s="220">
        <f t="shared" si="94"/>
        <v>-438</v>
      </c>
      <c r="AG82" s="220">
        <f t="shared" si="94"/>
        <v>-508</v>
      </c>
      <c r="AH82" s="220">
        <f t="shared" si="94"/>
        <v>-463</v>
      </c>
      <c r="AI82" s="220">
        <f t="shared" si="94"/>
        <v>-181</v>
      </c>
      <c r="AJ82" s="50">
        <f t="shared" si="95"/>
        <v>1.1590000000000031</v>
      </c>
      <c r="AK82" s="257"/>
      <c r="AL82" s="257">
        <f t="shared" si="96"/>
        <v>1.2</v>
      </c>
      <c r="AM82" s="52"/>
      <c r="AN82" s="88"/>
    </row>
    <row r="83" spans="1:40" s="29" customFormat="1" ht="17.25" customHeight="1">
      <c r="A83" s="48">
        <v>73</v>
      </c>
      <c r="B83" s="49">
        <f t="shared" si="88"/>
        <v>45657</v>
      </c>
      <c r="C83" s="220">
        <f t="shared" si="89"/>
        <v>1049</v>
      </c>
      <c r="D83" s="220">
        <f t="shared" ref="D83" si="102">D82+26</f>
        <v>2172</v>
      </c>
      <c r="E83" s="220">
        <f t="shared" si="91"/>
        <v>3221</v>
      </c>
      <c r="F83" s="220">
        <f t="shared" si="83"/>
        <v>758</v>
      </c>
      <c r="G83" s="220">
        <f t="shared" si="84"/>
        <v>945</v>
      </c>
      <c r="H83" s="220">
        <f t="shared" si="85"/>
        <v>1115</v>
      </c>
      <c r="I83" s="220">
        <f t="shared" si="86"/>
        <v>1055</v>
      </c>
      <c r="J83" s="220">
        <f t="shared" si="87"/>
        <v>843</v>
      </c>
      <c r="K83" s="220">
        <f t="shared" si="69"/>
        <v>2463</v>
      </c>
      <c r="L83" s="220">
        <f t="shared" si="69"/>
        <v>2276</v>
      </c>
      <c r="M83" s="220">
        <f t="shared" si="69"/>
        <v>2106</v>
      </c>
      <c r="N83" s="220">
        <f t="shared" si="69"/>
        <v>2166</v>
      </c>
      <c r="O83" s="220">
        <f t="shared" si="69"/>
        <v>2378</v>
      </c>
      <c r="P83" s="220">
        <f t="shared" si="92"/>
        <v>2000</v>
      </c>
      <c r="Q83" s="220">
        <f t="shared" si="92"/>
        <v>2150</v>
      </c>
      <c r="R83" s="220">
        <f t="shared" si="92"/>
        <v>2150</v>
      </c>
      <c r="S83" s="220">
        <f t="shared" si="92"/>
        <v>2150</v>
      </c>
      <c r="T83" s="220">
        <f t="shared" si="92"/>
        <v>2000</v>
      </c>
      <c r="U83" s="220">
        <f t="shared" si="93"/>
        <v>463</v>
      </c>
      <c r="V83" s="220">
        <f t="shared" si="93"/>
        <v>126</v>
      </c>
      <c r="W83" s="220">
        <f t="shared" si="93"/>
        <v>-44</v>
      </c>
      <c r="X83" s="220">
        <f t="shared" si="93"/>
        <v>16</v>
      </c>
      <c r="Y83" s="220">
        <f t="shared" si="93"/>
        <v>378</v>
      </c>
      <c r="Z83" s="220">
        <v>1</v>
      </c>
      <c r="AA83" s="220">
        <v>3</v>
      </c>
      <c r="AB83" s="220">
        <v>3</v>
      </c>
      <c r="AC83" s="220">
        <v>3</v>
      </c>
      <c r="AD83" s="220">
        <v>0</v>
      </c>
      <c r="AE83" s="220">
        <f t="shared" si="94"/>
        <v>-4</v>
      </c>
      <c r="AF83" s="220">
        <f t="shared" si="94"/>
        <v>-441</v>
      </c>
      <c r="AG83" s="220">
        <f t="shared" si="94"/>
        <v>-511</v>
      </c>
      <c r="AH83" s="220">
        <f t="shared" si="94"/>
        <v>-466</v>
      </c>
      <c r="AI83" s="220">
        <f t="shared" si="94"/>
        <v>-181</v>
      </c>
      <c r="AJ83" s="50">
        <f t="shared" si="95"/>
        <v>1.1560000000000032</v>
      </c>
      <c r="AK83" s="257"/>
      <c r="AL83" s="257">
        <f t="shared" si="96"/>
        <v>1.2</v>
      </c>
      <c r="AM83" s="52"/>
      <c r="AN83" s="88"/>
    </row>
    <row r="84" spans="1:40" s="29" customFormat="1" ht="17.25" customHeight="1">
      <c r="A84" s="48">
        <v>74</v>
      </c>
      <c r="B84" s="49">
        <f t="shared" si="88"/>
        <v>45658</v>
      </c>
      <c r="C84" s="220">
        <f t="shared" si="89"/>
        <v>1049</v>
      </c>
      <c r="D84" s="220">
        <f t="shared" ref="D84" si="103">D83+32</f>
        <v>2204</v>
      </c>
      <c r="E84" s="220">
        <f t="shared" si="91"/>
        <v>3253</v>
      </c>
      <c r="F84" s="220">
        <f t="shared" si="83"/>
        <v>790</v>
      </c>
      <c r="G84" s="220">
        <f t="shared" si="84"/>
        <v>977</v>
      </c>
      <c r="H84" s="220">
        <f t="shared" si="85"/>
        <v>1151</v>
      </c>
      <c r="I84" s="220">
        <f t="shared" si="86"/>
        <v>1091</v>
      </c>
      <c r="J84" s="220">
        <f t="shared" si="87"/>
        <v>875</v>
      </c>
      <c r="K84" s="220">
        <f t="shared" si="69"/>
        <v>2463</v>
      </c>
      <c r="L84" s="220">
        <f t="shared" si="69"/>
        <v>2276</v>
      </c>
      <c r="M84" s="220">
        <f t="shared" si="69"/>
        <v>2102</v>
      </c>
      <c r="N84" s="220">
        <f t="shared" si="69"/>
        <v>2162</v>
      </c>
      <c r="O84" s="220">
        <f t="shared" si="69"/>
        <v>2378</v>
      </c>
      <c r="P84" s="220">
        <f t="shared" si="92"/>
        <v>2000</v>
      </c>
      <c r="Q84" s="220">
        <f t="shared" si="92"/>
        <v>2150</v>
      </c>
      <c r="R84" s="220">
        <f t="shared" si="92"/>
        <v>2150</v>
      </c>
      <c r="S84" s="220">
        <f t="shared" si="92"/>
        <v>2150</v>
      </c>
      <c r="T84" s="220">
        <f t="shared" si="92"/>
        <v>2000</v>
      </c>
      <c r="U84" s="220">
        <f t="shared" si="93"/>
        <v>463</v>
      </c>
      <c r="V84" s="220">
        <f t="shared" si="93"/>
        <v>126</v>
      </c>
      <c r="W84" s="220">
        <f t="shared" si="93"/>
        <v>-48</v>
      </c>
      <c r="X84" s="220">
        <f t="shared" si="93"/>
        <v>12</v>
      </c>
      <c r="Y84" s="220">
        <f t="shared" si="93"/>
        <v>378</v>
      </c>
      <c r="Z84" s="220">
        <v>0</v>
      </c>
      <c r="AA84" s="220">
        <v>0</v>
      </c>
      <c r="AB84" s="220">
        <v>4</v>
      </c>
      <c r="AC84" s="220">
        <v>4</v>
      </c>
      <c r="AD84" s="220">
        <v>0</v>
      </c>
      <c r="AE84" s="220">
        <f t="shared" si="94"/>
        <v>-4</v>
      </c>
      <c r="AF84" s="220">
        <f t="shared" si="94"/>
        <v>-441</v>
      </c>
      <c r="AG84" s="220">
        <f t="shared" si="94"/>
        <v>-515</v>
      </c>
      <c r="AH84" s="220">
        <f t="shared" si="94"/>
        <v>-470</v>
      </c>
      <c r="AI84" s="220">
        <f t="shared" si="94"/>
        <v>-181</v>
      </c>
      <c r="AJ84" s="50">
        <f t="shared" si="95"/>
        <v>1.1520000000000032</v>
      </c>
      <c r="AK84" s="257"/>
      <c r="AL84" s="257">
        <f t="shared" si="96"/>
        <v>1.2</v>
      </c>
      <c r="AM84" s="52"/>
      <c r="AN84" s="88"/>
    </row>
    <row r="85" spans="1:40" s="29" customFormat="1" ht="17.25" customHeight="1">
      <c r="A85" s="48">
        <v>75</v>
      </c>
      <c r="B85" s="49">
        <f t="shared" si="88"/>
        <v>45659</v>
      </c>
      <c r="C85" s="220">
        <f t="shared" si="89"/>
        <v>1049</v>
      </c>
      <c r="D85" s="220">
        <f t="shared" ref="D85" si="104">D84-18</f>
        <v>2186</v>
      </c>
      <c r="E85" s="220">
        <f t="shared" si="91"/>
        <v>3235</v>
      </c>
      <c r="F85" s="220">
        <f t="shared" si="83"/>
        <v>773</v>
      </c>
      <c r="G85" s="220">
        <f t="shared" si="84"/>
        <v>960</v>
      </c>
      <c r="H85" s="220">
        <f t="shared" si="85"/>
        <v>1136</v>
      </c>
      <c r="I85" s="220">
        <f t="shared" si="86"/>
        <v>1074</v>
      </c>
      <c r="J85" s="220">
        <f t="shared" si="87"/>
        <v>857</v>
      </c>
      <c r="K85" s="220">
        <f t="shared" si="69"/>
        <v>2462</v>
      </c>
      <c r="L85" s="220">
        <f t="shared" si="69"/>
        <v>2275</v>
      </c>
      <c r="M85" s="220">
        <f t="shared" si="69"/>
        <v>2099</v>
      </c>
      <c r="N85" s="220">
        <f t="shared" si="69"/>
        <v>2161</v>
      </c>
      <c r="O85" s="220">
        <f t="shared" si="69"/>
        <v>2378</v>
      </c>
      <c r="P85" s="220">
        <f t="shared" si="92"/>
        <v>2000</v>
      </c>
      <c r="Q85" s="220">
        <f t="shared" si="92"/>
        <v>2150</v>
      </c>
      <c r="R85" s="220">
        <f t="shared" si="92"/>
        <v>2150</v>
      </c>
      <c r="S85" s="220">
        <f t="shared" si="92"/>
        <v>2150</v>
      </c>
      <c r="T85" s="220">
        <f t="shared" si="92"/>
        <v>2000</v>
      </c>
      <c r="U85" s="220">
        <f t="shared" si="93"/>
        <v>462</v>
      </c>
      <c r="V85" s="220">
        <f t="shared" si="93"/>
        <v>125</v>
      </c>
      <c r="W85" s="220">
        <f t="shared" si="93"/>
        <v>-51</v>
      </c>
      <c r="X85" s="220">
        <f t="shared" si="93"/>
        <v>11</v>
      </c>
      <c r="Y85" s="220">
        <f t="shared" si="93"/>
        <v>378</v>
      </c>
      <c r="Z85" s="220">
        <v>1</v>
      </c>
      <c r="AA85" s="220">
        <v>1</v>
      </c>
      <c r="AB85" s="220">
        <v>3</v>
      </c>
      <c r="AC85" s="220">
        <v>1</v>
      </c>
      <c r="AD85" s="220">
        <v>0</v>
      </c>
      <c r="AE85" s="220">
        <f t="shared" si="94"/>
        <v>-5</v>
      </c>
      <c r="AF85" s="220">
        <f t="shared" si="94"/>
        <v>-442</v>
      </c>
      <c r="AG85" s="220">
        <f t="shared" si="94"/>
        <v>-518</v>
      </c>
      <c r="AH85" s="220">
        <f t="shared" si="94"/>
        <v>-471</v>
      </c>
      <c r="AI85" s="220">
        <f t="shared" si="94"/>
        <v>-181</v>
      </c>
      <c r="AJ85" s="50">
        <f t="shared" si="95"/>
        <v>1.1490000000000034</v>
      </c>
      <c r="AK85" s="257"/>
      <c r="AL85" s="257">
        <f t="shared" si="96"/>
        <v>1.2</v>
      </c>
      <c r="AM85" s="52"/>
      <c r="AN85" s="88"/>
    </row>
    <row r="86" spans="1:40" s="29" customFormat="1" ht="17.25" customHeight="1">
      <c r="A86" s="48">
        <v>76</v>
      </c>
      <c r="B86" s="49">
        <f t="shared" si="88"/>
        <v>45660</v>
      </c>
      <c r="C86" s="220">
        <f t="shared" si="89"/>
        <v>1049</v>
      </c>
      <c r="D86" s="220">
        <f t="shared" ref="D86" si="105">D85-26</f>
        <v>2160</v>
      </c>
      <c r="E86" s="220">
        <f t="shared" si="91"/>
        <v>3209</v>
      </c>
      <c r="F86" s="220">
        <f t="shared" si="83"/>
        <v>747</v>
      </c>
      <c r="G86" s="220">
        <f t="shared" si="84"/>
        <v>935</v>
      </c>
      <c r="H86" s="220">
        <f t="shared" si="85"/>
        <v>1114</v>
      </c>
      <c r="I86" s="220">
        <f t="shared" si="86"/>
        <v>1052</v>
      </c>
      <c r="J86" s="220">
        <f t="shared" si="87"/>
        <v>831</v>
      </c>
      <c r="K86" s="220">
        <f t="shared" si="69"/>
        <v>2462</v>
      </c>
      <c r="L86" s="220">
        <f t="shared" si="69"/>
        <v>2274</v>
      </c>
      <c r="M86" s="220">
        <f t="shared" si="69"/>
        <v>2095</v>
      </c>
      <c r="N86" s="220">
        <f t="shared" si="69"/>
        <v>2157</v>
      </c>
      <c r="O86" s="220">
        <f t="shared" si="69"/>
        <v>2378</v>
      </c>
      <c r="P86" s="220">
        <f t="shared" si="92"/>
        <v>2000</v>
      </c>
      <c r="Q86" s="220">
        <f t="shared" si="92"/>
        <v>2150</v>
      </c>
      <c r="R86" s="220">
        <f t="shared" si="92"/>
        <v>2150</v>
      </c>
      <c r="S86" s="220">
        <f t="shared" si="92"/>
        <v>2150</v>
      </c>
      <c r="T86" s="220">
        <f t="shared" si="92"/>
        <v>2000</v>
      </c>
      <c r="U86" s="220">
        <f t="shared" si="93"/>
        <v>462</v>
      </c>
      <c r="V86" s="220">
        <f t="shared" si="93"/>
        <v>124</v>
      </c>
      <c r="W86" s="220">
        <f t="shared" si="93"/>
        <v>-55</v>
      </c>
      <c r="X86" s="220">
        <f t="shared" si="93"/>
        <v>7</v>
      </c>
      <c r="Y86" s="220">
        <f t="shared" si="93"/>
        <v>378</v>
      </c>
      <c r="Z86" s="220">
        <v>0</v>
      </c>
      <c r="AA86" s="220">
        <v>1</v>
      </c>
      <c r="AB86" s="220">
        <v>4</v>
      </c>
      <c r="AC86" s="220">
        <v>4</v>
      </c>
      <c r="AD86" s="220">
        <v>0</v>
      </c>
      <c r="AE86" s="220">
        <f t="shared" si="94"/>
        <v>-5</v>
      </c>
      <c r="AF86" s="220">
        <f t="shared" si="94"/>
        <v>-443</v>
      </c>
      <c r="AG86" s="220">
        <f t="shared" si="94"/>
        <v>-522</v>
      </c>
      <c r="AH86" s="220">
        <f t="shared" si="94"/>
        <v>-475</v>
      </c>
      <c r="AI86" s="220">
        <f t="shared" si="94"/>
        <v>-181</v>
      </c>
      <c r="AJ86" s="50">
        <f t="shared" si="95"/>
        <v>1.1450000000000033</v>
      </c>
      <c r="AK86" s="257"/>
      <c r="AL86" s="257">
        <f t="shared" si="96"/>
        <v>1.2</v>
      </c>
      <c r="AM86" s="52"/>
      <c r="AN86" s="88"/>
    </row>
    <row r="87" spans="1:40" s="29" customFormat="1" ht="17.25" customHeight="1">
      <c r="A87" s="48">
        <v>77</v>
      </c>
      <c r="B87" s="49">
        <f t="shared" si="88"/>
        <v>45661</v>
      </c>
      <c r="C87" s="220">
        <f t="shared" si="89"/>
        <v>1049</v>
      </c>
      <c r="D87" s="220">
        <f t="shared" ref="D87" si="106">D86+15</f>
        <v>2175</v>
      </c>
      <c r="E87" s="220">
        <f t="shared" si="91"/>
        <v>3224</v>
      </c>
      <c r="F87" s="220">
        <f t="shared" si="83"/>
        <v>763</v>
      </c>
      <c r="G87" s="220">
        <f t="shared" si="84"/>
        <v>953</v>
      </c>
      <c r="H87" s="220">
        <f t="shared" si="85"/>
        <v>1133</v>
      </c>
      <c r="I87" s="220">
        <f t="shared" si="86"/>
        <v>1070</v>
      </c>
      <c r="J87" s="220">
        <f t="shared" si="87"/>
        <v>846</v>
      </c>
      <c r="K87" s="220">
        <f t="shared" si="69"/>
        <v>2461</v>
      </c>
      <c r="L87" s="220">
        <f t="shared" si="69"/>
        <v>2271</v>
      </c>
      <c r="M87" s="220">
        <f t="shared" si="69"/>
        <v>2091</v>
      </c>
      <c r="N87" s="220">
        <f t="shared" si="69"/>
        <v>2154</v>
      </c>
      <c r="O87" s="220">
        <f t="shared" si="69"/>
        <v>2378</v>
      </c>
      <c r="P87" s="220">
        <f t="shared" si="92"/>
        <v>2000</v>
      </c>
      <c r="Q87" s="220">
        <f t="shared" si="92"/>
        <v>2150</v>
      </c>
      <c r="R87" s="220">
        <f t="shared" si="92"/>
        <v>2150</v>
      </c>
      <c r="S87" s="220">
        <f t="shared" si="92"/>
        <v>2150</v>
      </c>
      <c r="T87" s="220">
        <f t="shared" si="92"/>
        <v>2000</v>
      </c>
      <c r="U87" s="220">
        <f t="shared" si="93"/>
        <v>461</v>
      </c>
      <c r="V87" s="220">
        <f t="shared" si="93"/>
        <v>121</v>
      </c>
      <c r="W87" s="220">
        <f t="shared" si="93"/>
        <v>-59</v>
      </c>
      <c r="X87" s="220">
        <f t="shared" si="93"/>
        <v>4</v>
      </c>
      <c r="Y87" s="220">
        <f t="shared" si="93"/>
        <v>378</v>
      </c>
      <c r="Z87" s="220">
        <v>1</v>
      </c>
      <c r="AA87" s="220">
        <v>3</v>
      </c>
      <c r="AB87" s="220">
        <v>4</v>
      </c>
      <c r="AC87" s="220">
        <v>3</v>
      </c>
      <c r="AD87" s="220">
        <v>0</v>
      </c>
      <c r="AE87" s="220">
        <f t="shared" si="94"/>
        <v>-6</v>
      </c>
      <c r="AF87" s="220">
        <f t="shared" si="94"/>
        <v>-446</v>
      </c>
      <c r="AG87" s="220">
        <f t="shared" si="94"/>
        <v>-526</v>
      </c>
      <c r="AH87" s="220">
        <f t="shared" si="94"/>
        <v>-478</v>
      </c>
      <c r="AI87" s="220">
        <f t="shared" si="94"/>
        <v>-181</v>
      </c>
      <c r="AJ87" s="50">
        <f t="shared" si="95"/>
        <v>1.1410000000000033</v>
      </c>
      <c r="AK87" s="257"/>
      <c r="AL87" s="257">
        <f t="shared" si="96"/>
        <v>1.2</v>
      </c>
      <c r="AM87" s="52"/>
      <c r="AN87" s="88"/>
    </row>
    <row r="88" spans="1:40" s="29" customFormat="1" ht="17.25" customHeight="1">
      <c r="A88" s="48">
        <v>78</v>
      </c>
      <c r="B88" s="49">
        <f t="shared" si="88"/>
        <v>45662</v>
      </c>
      <c r="C88" s="220">
        <f t="shared" si="89"/>
        <v>1049</v>
      </c>
      <c r="D88" s="220">
        <f t="shared" ref="D88" si="107">D87+26</f>
        <v>2201</v>
      </c>
      <c r="E88" s="220">
        <f t="shared" si="91"/>
        <v>3250</v>
      </c>
      <c r="F88" s="220">
        <f t="shared" si="83"/>
        <v>790</v>
      </c>
      <c r="G88" s="220">
        <f t="shared" si="84"/>
        <v>980</v>
      </c>
      <c r="H88" s="220">
        <f t="shared" si="85"/>
        <v>1163</v>
      </c>
      <c r="I88" s="220">
        <f t="shared" si="86"/>
        <v>1097</v>
      </c>
      <c r="J88" s="220">
        <f t="shared" si="87"/>
        <v>872</v>
      </c>
      <c r="K88" s="220">
        <f t="shared" si="69"/>
        <v>2460</v>
      </c>
      <c r="L88" s="220">
        <f t="shared" si="69"/>
        <v>2270</v>
      </c>
      <c r="M88" s="220">
        <f t="shared" si="69"/>
        <v>2087</v>
      </c>
      <c r="N88" s="220">
        <f t="shared" si="69"/>
        <v>2153</v>
      </c>
      <c r="O88" s="220">
        <f t="shared" si="69"/>
        <v>2378</v>
      </c>
      <c r="P88" s="220">
        <f t="shared" si="92"/>
        <v>2000</v>
      </c>
      <c r="Q88" s="220">
        <f t="shared" si="92"/>
        <v>2150</v>
      </c>
      <c r="R88" s="220">
        <f t="shared" si="92"/>
        <v>2150</v>
      </c>
      <c r="S88" s="220">
        <f t="shared" si="92"/>
        <v>2150</v>
      </c>
      <c r="T88" s="220">
        <f t="shared" si="92"/>
        <v>2000</v>
      </c>
      <c r="U88" s="220">
        <f t="shared" si="93"/>
        <v>460</v>
      </c>
      <c r="V88" s="220">
        <f t="shared" si="93"/>
        <v>120</v>
      </c>
      <c r="W88" s="220">
        <f t="shared" si="93"/>
        <v>-63</v>
      </c>
      <c r="X88" s="220">
        <f t="shared" si="93"/>
        <v>3</v>
      </c>
      <c r="Y88" s="220">
        <f t="shared" si="93"/>
        <v>378</v>
      </c>
      <c r="Z88" s="220">
        <v>1</v>
      </c>
      <c r="AA88" s="220">
        <v>1</v>
      </c>
      <c r="AB88" s="220">
        <v>4</v>
      </c>
      <c r="AC88" s="220">
        <v>1</v>
      </c>
      <c r="AD88" s="220">
        <v>0</v>
      </c>
      <c r="AE88" s="220">
        <f t="shared" si="94"/>
        <v>-7</v>
      </c>
      <c r="AF88" s="220">
        <f t="shared" si="94"/>
        <v>-447</v>
      </c>
      <c r="AG88" s="220">
        <f t="shared" si="94"/>
        <v>-530</v>
      </c>
      <c r="AH88" s="220">
        <f t="shared" si="94"/>
        <v>-479</v>
      </c>
      <c r="AI88" s="220">
        <f t="shared" si="94"/>
        <v>-181</v>
      </c>
      <c r="AJ88" s="50">
        <f t="shared" si="95"/>
        <v>1.1370000000000033</v>
      </c>
      <c r="AK88" s="257"/>
      <c r="AL88" s="257">
        <f t="shared" si="96"/>
        <v>1.2</v>
      </c>
      <c r="AM88" s="52"/>
      <c r="AN88" s="88"/>
    </row>
    <row r="89" spans="1:40" s="29" customFormat="1" ht="17.25" customHeight="1">
      <c r="A89" s="48">
        <v>79</v>
      </c>
      <c r="B89" s="49">
        <f t="shared" si="88"/>
        <v>45663</v>
      </c>
      <c r="C89" s="220">
        <f t="shared" si="89"/>
        <v>1049</v>
      </c>
      <c r="D89" s="220">
        <f t="shared" ref="D89" si="108">D88+32</f>
        <v>2233</v>
      </c>
      <c r="E89" s="220">
        <f t="shared" si="91"/>
        <v>3282</v>
      </c>
      <c r="F89" s="220">
        <f t="shared" si="83"/>
        <v>822</v>
      </c>
      <c r="G89" s="220">
        <f t="shared" si="84"/>
        <v>1012</v>
      </c>
      <c r="H89" s="220">
        <f t="shared" si="85"/>
        <v>1198</v>
      </c>
      <c r="I89" s="220">
        <f t="shared" si="86"/>
        <v>1129</v>
      </c>
      <c r="J89" s="220">
        <f t="shared" si="87"/>
        <v>905</v>
      </c>
      <c r="K89" s="220">
        <f t="shared" si="69"/>
        <v>2460</v>
      </c>
      <c r="L89" s="220">
        <f t="shared" si="69"/>
        <v>2270</v>
      </c>
      <c r="M89" s="220">
        <f t="shared" si="69"/>
        <v>2084</v>
      </c>
      <c r="N89" s="220">
        <f t="shared" si="69"/>
        <v>2153</v>
      </c>
      <c r="O89" s="220">
        <f t="shared" si="69"/>
        <v>2377</v>
      </c>
      <c r="P89" s="220">
        <f t="shared" si="92"/>
        <v>2000</v>
      </c>
      <c r="Q89" s="220">
        <f t="shared" si="92"/>
        <v>2150</v>
      </c>
      <c r="R89" s="220">
        <f t="shared" si="92"/>
        <v>2150</v>
      </c>
      <c r="S89" s="220">
        <f t="shared" si="92"/>
        <v>2150</v>
      </c>
      <c r="T89" s="220">
        <f t="shared" si="92"/>
        <v>2000</v>
      </c>
      <c r="U89" s="220">
        <f t="shared" si="93"/>
        <v>460</v>
      </c>
      <c r="V89" s="220">
        <f t="shared" si="93"/>
        <v>120</v>
      </c>
      <c r="W89" s="220">
        <f t="shared" si="93"/>
        <v>-66</v>
      </c>
      <c r="X89" s="220">
        <f t="shared" si="93"/>
        <v>3</v>
      </c>
      <c r="Y89" s="220">
        <f t="shared" si="93"/>
        <v>377</v>
      </c>
      <c r="Z89" s="220">
        <v>0</v>
      </c>
      <c r="AA89" s="220">
        <v>0</v>
      </c>
      <c r="AB89" s="220">
        <v>3</v>
      </c>
      <c r="AC89" s="220">
        <v>0</v>
      </c>
      <c r="AD89" s="220">
        <v>1</v>
      </c>
      <c r="AE89" s="220">
        <f t="shared" si="94"/>
        <v>-7</v>
      </c>
      <c r="AF89" s="220">
        <f t="shared" si="94"/>
        <v>-447</v>
      </c>
      <c r="AG89" s="220">
        <f t="shared" si="94"/>
        <v>-533</v>
      </c>
      <c r="AH89" s="220">
        <f t="shared" si="94"/>
        <v>-479</v>
      </c>
      <c r="AI89" s="220">
        <f t="shared" si="94"/>
        <v>-182</v>
      </c>
      <c r="AJ89" s="50">
        <f t="shared" si="95"/>
        <v>1.1340000000000034</v>
      </c>
      <c r="AK89" s="257"/>
      <c r="AL89" s="257">
        <f t="shared" si="96"/>
        <v>1.2</v>
      </c>
      <c r="AM89" s="52"/>
      <c r="AN89" s="88"/>
    </row>
    <row r="90" spans="1:40" s="29" customFormat="1" ht="17.25" customHeight="1">
      <c r="A90" s="48">
        <v>80</v>
      </c>
      <c r="B90" s="49">
        <f t="shared" si="88"/>
        <v>45664</v>
      </c>
      <c r="C90" s="220">
        <f t="shared" si="89"/>
        <v>1049</v>
      </c>
      <c r="D90" s="220">
        <f t="shared" ref="D90" si="109">D89-18</f>
        <v>2215</v>
      </c>
      <c r="E90" s="220">
        <f t="shared" si="91"/>
        <v>3264</v>
      </c>
      <c r="F90" s="220">
        <f t="shared" si="83"/>
        <v>804</v>
      </c>
      <c r="G90" s="220">
        <f t="shared" si="84"/>
        <v>995</v>
      </c>
      <c r="H90" s="220">
        <f t="shared" si="85"/>
        <v>1183</v>
      </c>
      <c r="I90" s="220">
        <f t="shared" si="86"/>
        <v>1112</v>
      </c>
      <c r="J90" s="220">
        <f t="shared" si="87"/>
        <v>887</v>
      </c>
      <c r="K90" s="220">
        <f t="shared" si="69"/>
        <v>2460</v>
      </c>
      <c r="L90" s="220">
        <f t="shared" si="69"/>
        <v>2269</v>
      </c>
      <c r="M90" s="220">
        <f t="shared" si="69"/>
        <v>2081</v>
      </c>
      <c r="N90" s="220">
        <f t="shared" si="69"/>
        <v>2152</v>
      </c>
      <c r="O90" s="220">
        <f t="shared" si="69"/>
        <v>2377</v>
      </c>
      <c r="P90" s="220">
        <f t="shared" si="92"/>
        <v>2000</v>
      </c>
      <c r="Q90" s="220">
        <f t="shared" si="92"/>
        <v>2150</v>
      </c>
      <c r="R90" s="220">
        <f t="shared" si="92"/>
        <v>2150</v>
      </c>
      <c r="S90" s="220">
        <f t="shared" si="92"/>
        <v>2150</v>
      </c>
      <c r="T90" s="220">
        <f t="shared" si="92"/>
        <v>2000</v>
      </c>
      <c r="U90" s="220">
        <f t="shared" si="93"/>
        <v>460</v>
      </c>
      <c r="V90" s="220">
        <f t="shared" si="93"/>
        <v>119</v>
      </c>
      <c r="W90" s="220">
        <f t="shared" si="93"/>
        <v>-69</v>
      </c>
      <c r="X90" s="220">
        <f t="shared" si="93"/>
        <v>2</v>
      </c>
      <c r="Y90" s="220">
        <f t="shared" si="93"/>
        <v>377</v>
      </c>
      <c r="Z90" s="220">
        <v>0</v>
      </c>
      <c r="AA90" s="220">
        <v>1</v>
      </c>
      <c r="AB90" s="220">
        <v>3</v>
      </c>
      <c r="AC90" s="220">
        <v>1</v>
      </c>
      <c r="AD90" s="220">
        <v>0</v>
      </c>
      <c r="AE90" s="220">
        <f t="shared" si="94"/>
        <v>-7</v>
      </c>
      <c r="AF90" s="220">
        <f t="shared" si="94"/>
        <v>-448</v>
      </c>
      <c r="AG90" s="220">
        <f t="shared" si="94"/>
        <v>-536</v>
      </c>
      <c r="AH90" s="220">
        <f t="shared" si="94"/>
        <v>-480</v>
      </c>
      <c r="AI90" s="220">
        <f t="shared" si="94"/>
        <v>-182</v>
      </c>
      <c r="AJ90" s="50">
        <f t="shared" si="95"/>
        <v>1.1310000000000036</v>
      </c>
      <c r="AK90" s="257"/>
      <c r="AL90" s="257">
        <f t="shared" si="96"/>
        <v>1.2</v>
      </c>
      <c r="AM90" s="52"/>
      <c r="AN90" s="88"/>
    </row>
    <row r="91" spans="1:40" s="29" customFormat="1" ht="17.25" customHeight="1">
      <c r="A91" s="48">
        <v>81</v>
      </c>
      <c r="B91" s="49">
        <f t="shared" si="88"/>
        <v>45665</v>
      </c>
      <c r="C91" s="220">
        <f t="shared" si="89"/>
        <v>1049</v>
      </c>
      <c r="D91" s="220">
        <f t="shared" ref="D91" si="110">D90-26</f>
        <v>2189</v>
      </c>
      <c r="E91" s="220">
        <f t="shared" si="91"/>
        <v>3238</v>
      </c>
      <c r="F91" s="220">
        <f t="shared" si="83"/>
        <v>779</v>
      </c>
      <c r="G91" s="220">
        <f t="shared" si="84"/>
        <v>971</v>
      </c>
      <c r="H91" s="220">
        <f t="shared" si="85"/>
        <v>1160</v>
      </c>
      <c r="I91" s="220">
        <f t="shared" si="86"/>
        <v>1088</v>
      </c>
      <c r="J91" s="220">
        <f t="shared" si="87"/>
        <v>861</v>
      </c>
      <c r="K91" s="220">
        <f t="shared" si="69"/>
        <v>2459</v>
      </c>
      <c r="L91" s="220">
        <f t="shared" si="69"/>
        <v>2267</v>
      </c>
      <c r="M91" s="220">
        <f t="shared" si="69"/>
        <v>2078</v>
      </c>
      <c r="N91" s="220">
        <f t="shared" si="69"/>
        <v>2150</v>
      </c>
      <c r="O91" s="220">
        <f t="shared" si="69"/>
        <v>2377</v>
      </c>
      <c r="P91" s="220">
        <f t="shared" si="92"/>
        <v>2000</v>
      </c>
      <c r="Q91" s="220">
        <f t="shared" si="92"/>
        <v>2150</v>
      </c>
      <c r="R91" s="220">
        <f t="shared" si="92"/>
        <v>2150</v>
      </c>
      <c r="S91" s="220">
        <f t="shared" si="92"/>
        <v>2150</v>
      </c>
      <c r="T91" s="220">
        <f t="shared" si="92"/>
        <v>2000</v>
      </c>
      <c r="U91" s="220">
        <f t="shared" si="93"/>
        <v>459</v>
      </c>
      <c r="V91" s="220">
        <f t="shared" si="93"/>
        <v>117</v>
      </c>
      <c r="W91" s="220">
        <f t="shared" si="93"/>
        <v>-72</v>
      </c>
      <c r="X91" s="220">
        <f t="shared" si="93"/>
        <v>0</v>
      </c>
      <c r="Y91" s="220">
        <f t="shared" si="93"/>
        <v>377</v>
      </c>
      <c r="Z91" s="220">
        <v>1</v>
      </c>
      <c r="AA91" s="220">
        <v>2</v>
      </c>
      <c r="AB91" s="220">
        <v>3</v>
      </c>
      <c r="AC91" s="220">
        <v>2</v>
      </c>
      <c r="AD91" s="220">
        <v>0</v>
      </c>
      <c r="AE91" s="220">
        <f t="shared" si="94"/>
        <v>-8</v>
      </c>
      <c r="AF91" s="220">
        <f t="shared" si="94"/>
        <v>-450</v>
      </c>
      <c r="AG91" s="220">
        <f t="shared" si="94"/>
        <v>-539</v>
      </c>
      <c r="AH91" s="220">
        <f t="shared" si="94"/>
        <v>-482</v>
      </c>
      <c r="AI91" s="220">
        <f t="shared" si="94"/>
        <v>-182</v>
      </c>
      <c r="AJ91" s="50">
        <f t="shared" si="95"/>
        <v>1.1280000000000037</v>
      </c>
      <c r="AK91" s="257"/>
      <c r="AL91" s="257">
        <f t="shared" si="96"/>
        <v>1.2</v>
      </c>
      <c r="AM91" s="52"/>
      <c r="AN91" s="88"/>
    </row>
    <row r="92" spans="1:40" s="29" customFormat="1" ht="17.25" customHeight="1">
      <c r="A92" s="48">
        <v>82</v>
      </c>
      <c r="B92" s="49">
        <f t="shared" si="88"/>
        <v>45666</v>
      </c>
      <c r="C92" s="220">
        <f t="shared" si="89"/>
        <v>1049</v>
      </c>
      <c r="D92" s="220">
        <f t="shared" ref="D92" si="111">D91+15</f>
        <v>2204</v>
      </c>
      <c r="E92" s="220">
        <f t="shared" si="91"/>
        <v>3253</v>
      </c>
      <c r="F92" s="220">
        <f t="shared" si="83"/>
        <v>795</v>
      </c>
      <c r="G92" s="220">
        <f t="shared" si="84"/>
        <v>988</v>
      </c>
      <c r="H92" s="220">
        <f t="shared" si="85"/>
        <v>1178</v>
      </c>
      <c r="I92" s="220">
        <f t="shared" si="86"/>
        <v>1105</v>
      </c>
      <c r="J92" s="220">
        <f t="shared" si="87"/>
        <v>877</v>
      </c>
      <c r="K92" s="220">
        <f t="shared" si="69"/>
        <v>2458</v>
      </c>
      <c r="L92" s="220">
        <f t="shared" si="69"/>
        <v>2265</v>
      </c>
      <c r="M92" s="220">
        <f t="shared" si="69"/>
        <v>2075</v>
      </c>
      <c r="N92" s="220">
        <f t="shared" si="69"/>
        <v>2148</v>
      </c>
      <c r="O92" s="220">
        <f t="shared" si="69"/>
        <v>2376</v>
      </c>
      <c r="P92" s="220">
        <f t="shared" si="92"/>
        <v>2000</v>
      </c>
      <c r="Q92" s="220">
        <f t="shared" si="92"/>
        <v>2150</v>
      </c>
      <c r="R92" s="220">
        <f t="shared" si="92"/>
        <v>2150</v>
      </c>
      <c r="S92" s="220">
        <f t="shared" si="92"/>
        <v>2150</v>
      </c>
      <c r="T92" s="220">
        <f t="shared" si="92"/>
        <v>2000</v>
      </c>
      <c r="U92" s="220">
        <f t="shared" si="93"/>
        <v>458</v>
      </c>
      <c r="V92" s="220">
        <f t="shared" si="93"/>
        <v>115</v>
      </c>
      <c r="W92" s="220">
        <f t="shared" si="93"/>
        <v>-75</v>
      </c>
      <c r="X92" s="220">
        <f t="shared" si="93"/>
        <v>-2</v>
      </c>
      <c r="Y92" s="220">
        <f t="shared" si="93"/>
        <v>376</v>
      </c>
      <c r="Z92" s="220">
        <v>1</v>
      </c>
      <c r="AA92" s="220">
        <v>2</v>
      </c>
      <c r="AB92" s="220">
        <v>3</v>
      </c>
      <c r="AC92" s="220">
        <v>2</v>
      </c>
      <c r="AD92" s="220">
        <v>1</v>
      </c>
      <c r="AE92" s="220">
        <f t="shared" si="94"/>
        <v>-9</v>
      </c>
      <c r="AF92" s="220">
        <f t="shared" si="94"/>
        <v>-452</v>
      </c>
      <c r="AG92" s="220">
        <f t="shared" si="94"/>
        <v>-542</v>
      </c>
      <c r="AH92" s="220">
        <f t="shared" si="94"/>
        <v>-484</v>
      </c>
      <c r="AI92" s="220">
        <f t="shared" si="94"/>
        <v>-183</v>
      </c>
      <c r="AJ92" s="50">
        <f t="shared" si="95"/>
        <v>1.1250000000000038</v>
      </c>
      <c r="AK92" s="257"/>
      <c r="AL92" s="257">
        <f t="shared" si="96"/>
        <v>1.2</v>
      </c>
      <c r="AM92" s="52"/>
      <c r="AN92" s="88"/>
    </row>
    <row r="93" spans="1:40" s="29" customFormat="1" ht="17.25" customHeight="1">
      <c r="A93" s="48">
        <v>83</v>
      </c>
      <c r="B93" s="49">
        <f t="shared" si="88"/>
        <v>45667</v>
      </c>
      <c r="C93" s="220">
        <f t="shared" si="89"/>
        <v>1049</v>
      </c>
      <c r="D93" s="220">
        <f t="shared" ref="D93" si="112">D92+26</f>
        <v>2230</v>
      </c>
      <c r="E93" s="220">
        <f t="shared" si="91"/>
        <v>3279</v>
      </c>
      <c r="F93" s="220">
        <f t="shared" si="83"/>
        <v>821</v>
      </c>
      <c r="G93" s="220">
        <f t="shared" si="84"/>
        <v>1015</v>
      </c>
      <c r="H93" s="220">
        <f t="shared" si="85"/>
        <v>1206</v>
      </c>
      <c r="I93" s="220">
        <f t="shared" si="86"/>
        <v>1132</v>
      </c>
      <c r="J93" s="220">
        <f t="shared" si="87"/>
        <v>903</v>
      </c>
      <c r="K93" s="220">
        <f t="shared" si="69"/>
        <v>2458</v>
      </c>
      <c r="L93" s="220">
        <f t="shared" si="69"/>
        <v>2264</v>
      </c>
      <c r="M93" s="220">
        <f t="shared" si="69"/>
        <v>2073</v>
      </c>
      <c r="N93" s="220">
        <f t="shared" si="69"/>
        <v>2147</v>
      </c>
      <c r="O93" s="220">
        <f t="shared" si="69"/>
        <v>2376</v>
      </c>
      <c r="P93" s="220">
        <f t="shared" ref="P93:T108" si="113">+P92</f>
        <v>2000</v>
      </c>
      <c r="Q93" s="220">
        <f t="shared" si="113"/>
        <v>2150</v>
      </c>
      <c r="R93" s="220">
        <f t="shared" si="113"/>
        <v>2150</v>
      </c>
      <c r="S93" s="220">
        <f t="shared" si="113"/>
        <v>2150</v>
      </c>
      <c r="T93" s="220">
        <f t="shared" si="113"/>
        <v>2000</v>
      </c>
      <c r="U93" s="220">
        <f t="shared" ref="U93:Y108" si="114">U92-Z93</f>
        <v>458</v>
      </c>
      <c r="V93" s="220">
        <f t="shared" si="114"/>
        <v>114</v>
      </c>
      <c r="W93" s="220">
        <f t="shared" si="114"/>
        <v>-77</v>
      </c>
      <c r="X93" s="220">
        <f t="shared" si="114"/>
        <v>-3</v>
      </c>
      <c r="Y93" s="220">
        <f t="shared" si="114"/>
        <v>376</v>
      </c>
      <c r="Z93" s="220">
        <v>0</v>
      </c>
      <c r="AA93" s="220">
        <v>1</v>
      </c>
      <c r="AB93" s="220">
        <v>2</v>
      </c>
      <c r="AC93" s="220">
        <v>1</v>
      </c>
      <c r="AD93" s="220">
        <v>0</v>
      </c>
      <c r="AE93" s="220">
        <f t="shared" ref="AE93:AI108" si="115">AE92-Z93</f>
        <v>-9</v>
      </c>
      <c r="AF93" s="220">
        <f t="shared" si="115"/>
        <v>-453</v>
      </c>
      <c r="AG93" s="220">
        <f t="shared" si="115"/>
        <v>-544</v>
      </c>
      <c r="AH93" s="220">
        <f t="shared" si="115"/>
        <v>-485</v>
      </c>
      <c r="AI93" s="220">
        <f t="shared" si="115"/>
        <v>-183</v>
      </c>
      <c r="AJ93" s="50">
        <f t="shared" si="95"/>
        <v>1.1230000000000038</v>
      </c>
      <c r="AK93" s="257"/>
      <c r="AL93" s="257">
        <f t="shared" si="96"/>
        <v>1.2</v>
      </c>
      <c r="AM93" s="52"/>
      <c r="AN93" s="88"/>
    </row>
    <row r="94" spans="1:40" s="29" customFormat="1" ht="17.25" customHeight="1">
      <c r="A94" s="48">
        <v>84</v>
      </c>
      <c r="B94" s="49">
        <f t="shared" si="88"/>
        <v>45668</v>
      </c>
      <c r="C94" s="220">
        <f t="shared" si="89"/>
        <v>1049</v>
      </c>
      <c r="D94" s="220">
        <f t="shared" ref="D94" si="116">D93+32</f>
        <v>2262</v>
      </c>
      <c r="E94" s="220">
        <f t="shared" si="91"/>
        <v>3311</v>
      </c>
      <c r="F94" s="220">
        <f t="shared" si="83"/>
        <v>854</v>
      </c>
      <c r="G94" s="220">
        <f t="shared" si="84"/>
        <v>1050</v>
      </c>
      <c r="H94" s="220">
        <f t="shared" si="85"/>
        <v>1240</v>
      </c>
      <c r="I94" s="220">
        <f t="shared" si="86"/>
        <v>1167</v>
      </c>
      <c r="J94" s="220">
        <f t="shared" si="87"/>
        <v>935</v>
      </c>
      <c r="K94" s="220">
        <f t="shared" si="69"/>
        <v>2457</v>
      </c>
      <c r="L94" s="220">
        <f t="shared" si="69"/>
        <v>2261</v>
      </c>
      <c r="M94" s="220">
        <f t="shared" si="69"/>
        <v>2071</v>
      </c>
      <c r="N94" s="220">
        <f t="shared" si="69"/>
        <v>2144</v>
      </c>
      <c r="O94" s="220">
        <f t="shared" si="69"/>
        <v>2376</v>
      </c>
      <c r="P94" s="220">
        <f t="shared" si="113"/>
        <v>2000</v>
      </c>
      <c r="Q94" s="220">
        <f t="shared" si="113"/>
        <v>2150</v>
      </c>
      <c r="R94" s="220">
        <f t="shared" si="113"/>
        <v>2150</v>
      </c>
      <c r="S94" s="220">
        <f t="shared" si="113"/>
        <v>2150</v>
      </c>
      <c r="T94" s="220">
        <f t="shared" si="113"/>
        <v>2000</v>
      </c>
      <c r="U94" s="220">
        <f t="shared" si="114"/>
        <v>457</v>
      </c>
      <c r="V94" s="220">
        <f t="shared" si="114"/>
        <v>111</v>
      </c>
      <c r="W94" s="220">
        <f t="shared" si="114"/>
        <v>-79</v>
      </c>
      <c r="X94" s="220">
        <f t="shared" si="114"/>
        <v>-6</v>
      </c>
      <c r="Y94" s="220">
        <f t="shared" si="114"/>
        <v>376</v>
      </c>
      <c r="Z94" s="220">
        <v>1</v>
      </c>
      <c r="AA94" s="220">
        <v>3</v>
      </c>
      <c r="AB94" s="220">
        <v>2</v>
      </c>
      <c r="AC94" s="220">
        <v>3</v>
      </c>
      <c r="AD94" s="220">
        <v>0</v>
      </c>
      <c r="AE94" s="220">
        <f t="shared" si="115"/>
        <v>-10</v>
      </c>
      <c r="AF94" s="220">
        <f t="shared" si="115"/>
        <v>-456</v>
      </c>
      <c r="AG94" s="220">
        <f t="shared" si="115"/>
        <v>-546</v>
      </c>
      <c r="AH94" s="220">
        <f t="shared" si="115"/>
        <v>-488</v>
      </c>
      <c r="AI94" s="220">
        <f t="shared" si="115"/>
        <v>-183</v>
      </c>
      <c r="AJ94" s="50">
        <f t="shared" si="95"/>
        <v>1.1210000000000038</v>
      </c>
      <c r="AK94" s="257"/>
      <c r="AL94" s="257">
        <f t="shared" si="96"/>
        <v>1.2</v>
      </c>
      <c r="AM94" s="52"/>
      <c r="AN94" s="88"/>
    </row>
    <row r="95" spans="1:40" s="29" customFormat="1" ht="17.25" customHeight="1">
      <c r="A95" s="48">
        <v>85</v>
      </c>
      <c r="B95" s="49">
        <f t="shared" si="88"/>
        <v>45669</v>
      </c>
      <c r="C95" s="220">
        <f t="shared" si="89"/>
        <v>1049</v>
      </c>
      <c r="D95" s="220">
        <f t="shared" ref="D95" si="117">D94-18</f>
        <v>2244</v>
      </c>
      <c r="E95" s="220">
        <f t="shared" si="91"/>
        <v>3293</v>
      </c>
      <c r="F95" s="220">
        <f t="shared" si="83"/>
        <v>836</v>
      </c>
      <c r="G95" s="220">
        <f t="shared" si="84"/>
        <v>1032</v>
      </c>
      <c r="H95" s="220">
        <f t="shared" si="85"/>
        <v>1224</v>
      </c>
      <c r="I95" s="220">
        <f t="shared" si="86"/>
        <v>1153</v>
      </c>
      <c r="J95" s="220">
        <f t="shared" si="87"/>
        <v>917</v>
      </c>
      <c r="K95" s="220">
        <f t="shared" si="69"/>
        <v>2457</v>
      </c>
      <c r="L95" s="220">
        <f t="shared" si="69"/>
        <v>2261</v>
      </c>
      <c r="M95" s="220">
        <f t="shared" si="69"/>
        <v>2069</v>
      </c>
      <c r="N95" s="220">
        <f t="shared" si="69"/>
        <v>2140</v>
      </c>
      <c r="O95" s="220">
        <f t="shared" si="69"/>
        <v>2376</v>
      </c>
      <c r="P95" s="220">
        <f t="shared" si="113"/>
        <v>2000</v>
      </c>
      <c r="Q95" s="220">
        <f t="shared" si="113"/>
        <v>2150</v>
      </c>
      <c r="R95" s="220">
        <f t="shared" si="113"/>
        <v>2150</v>
      </c>
      <c r="S95" s="220">
        <f t="shared" si="113"/>
        <v>2150</v>
      </c>
      <c r="T95" s="220">
        <f t="shared" si="113"/>
        <v>2000</v>
      </c>
      <c r="U95" s="220">
        <f t="shared" si="114"/>
        <v>457</v>
      </c>
      <c r="V95" s="220">
        <f t="shared" si="114"/>
        <v>111</v>
      </c>
      <c r="W95" s="220">
        <f t="shared" si="114"/>
        <v>-81</v>
      </c>
      <c r="X95" s="220">
        <f t="shared" si="114"/>
        <v>-10</v>
      </c>
      <c r="Y95" s="220">
        <f t="shared" si="114"/>
        <v>376</v>
      </c>
      <c r="Z95" s="220">
        <v>0</v>
      </c>
      <c r="AA95" s="220">
        <v>0</v>
      </c>
      <c r="AB95" s="220">
        <v>2</v>
      </c>
      <c r="AC95" s="220">
        <v>4</v>
      </c>
      <c r="AD95" s="220">
        <v>0</v>
      </c>
      <c r="AE95" s="220">
        <f t="shared" si="115"/>
        <v>-10</v>
      </c>
      <c r="AF95" s="220">
        <f t="shared" si="115"/>
        <v>-456</v>
      </c>
      <c r="AG95" s="220">
        <f t="shared" si="115"/>
        <v>-548</v>
      </c>
      <c r="AH95" s="220">
        <f t="shared" si="115"/>
        <v>-492</v>
      </c>
      <c r="AI95" s="220">
        <f t="shared" si="115"/>
        <v>-183</v>
      </c>
      <c r="AJ95" s="50">
        <f t="shared" si="95"/>
        <v>1.1190000000000038</v>
      </c>
      <c r="AK95" s="257"/>
      <c r="AL95" s="257">
        <f t="shared" si="96"/>
        <v>1.2</v>
      </c>
      <c r="AM95" s="52"/>
      <c r="AN95" s="88"/>
    </row>
    <row r="96" spans="1:40" s="29" customFormat="1" ht="17.25" customHeight="1">
      <c r="A96" s="48">
        <v>86</v>
      </c>
      <c r="B96" s="49">
        <f t="shared" si="88"/>
        <v>45670</v>
      </c>
      <c r="C96" s="220">
        <f t="shared" si="89"/>
        <v>1049</v>
      </c>
      <c r="D96" s="220">
        <f t="shared" ref="D96" si="118">D95-26</f>
        <v>2218</v>
      </c>
      <c r="E96" s="220">
        <f t="shared" si="91"/>
        <v>3267</v>
      </c>
      <c r="F96" s="220">
        <f t="shared" si="83"/>
        <v>811</v>
      </c>
      <c r="G96" s="220">
        <f t="shared" si="84"/>
        <v>1006</v>
      </c>
      <c r="H96" s="220">
        <f t="shared" si="85"/>
        <v>1200</v>
      </c>
      <c r="I96" s="220">
        <f t="shared" si="86"/>
        <v>1127</v>
      </c>
      <c r="J96" s="220">
        <f t="shared" si="87"/>
        <v>891</v>
      </c>
      <c r="K96" s="220">
        <f t="shared" si="69"/>
        <v>2456</v>
      </c>
      <c r="L96" s="220">
        <f t="shared" si="69"/>
        <v>2261</v>
      </c>
      <c r="M96" s="220">
        <f t="shared" si="69"/>
        <v>2067</v>
      </c>
      <c r="N96" s="220">
        <f t="shared" si="69"/>
        <v>2140</v>
      </c>
      <c r="O96" s="220">
        <f t="shared" si="69"/>
        <v>2376</v>
      </c>
      <c r="P96" s="220">
        <f t="shared" si="113"/>
        <v>2000</v>
      </c>
      <c r="Q96" s="220">
        <f t="shared" si="113"/>
        <v>2150</v>
      </c>
      <c r="R96" s="220">
        <f t="shared" si="113"/>
        <v>2150</v>
      </c>
      <c r="S96" s="220">
        <f t="shared" si="113"/>
        <v>2150</v>
      </c>
      <c r="T96" s="220">
        <f t="shared" si="113"/>
        <v>2000</v>
      </c>
      <c r="U96" s="220">
        <f t="shared" si="114"/>
        <v>456</v>
      </c>
      <c r="V96" s="220">
        <f t="shared" si="114"/>
        <v>111</v>
      </c>
      <c r="W96" s="220">
        <f t="shared" si="114"/>
        <v>-83</v>
      </c>
      <c r="X96" s="220">
        <f t="shared" si="114"/>
        <v>-10</v>
      </c>
      <c r="Y96" s="220">
        <f t="shared" si="114"/>
        <v>376</v>
      </c>
      <c r="Z96" s="220">
        <v>1</v>
      </c>
      <c r="AA96" s="220">
        <v>0</v>
      </c>
      <c r="AB96" s="220">
        <v>2</v>
      </c>
      <c r="AC96" s="220">
        <v>0</v>
      </c>
      <c r="AD96" s="220">
        <v>0</v>
      </c>
      <c r="AE96" s="220">
        <f t="shared" si="115"/>
        <v>-11</v>
      </c>
      <c r="AF96" s="220">
        <f t="shared" si="115"/>
        <v>-456</v>
      </c>
      <c r="AG96" s="220">
        <f t="shared" si="115"/>
        <v>-550</v>
      </c>
      <c r="AH96" s="220">
        <f t="shared" si="115"/>
        <v>-492</v>
      </c>
      <c r="AI96" s="220">
        <f t="shared" si="115"/>
        <v>-183</v>
      </c>
      <c r="AJ96" s="50">
        <f t="shared" si="95"/>
        <v>1.1170000000000038</v>
      </c>
      <c r="AK96" s="257"/>
      <c r="AL96" s="257">
        <f t="shared" si="96"/>
        <v>1.2</v>
      </c>
      <c r="AM96" s="52"/>
      <c r="AN96" s="88"/>
    </row>
    <row r="97" spans="1:40" s="29" customFormat="1" ht="17.25" customHeight="1">
      <c r="A97" s="48">
        <v>87</v>
      </c>
      <c r="B97" s="49">
        <f t="shared" si="88"/>
        <v>45671</v>
      </c>
      <c r="C97" s="220">
        <f t="shared" si="89"/>
        <v>1049</v>
      </c>
      <c r="D97" s="220">
        <f t="shared" ref="D97" si="119">D96+15</f>
        <v>2233</v>
      </c>
      <c r="E97" s="220">
        <f t="shared" si="91"/>
        <v>3282</v>
      </c>
      <c r="F97" s="220">
        <f t="shared" si="83"/>
        <v>827</v>
      </c>
      <c r="G97" s="220">
        <f t="shared" si="84"/>
        <v>1021</v>
      </c>
      <c r="H97" s="220">
        <f t="shared" si="85"/>
        <v>1217</v>
      </c>
      <c r="I97" s="220">
        <f t="shared" si="86"/>
        <v>1142</v>
      </c>
      <c r="J97" s="220">
        <f t="shared" si="87"/>
        <v>906</v>
      </c>
      <c r="K97" s="220">
        <f t="shared" si="69"/>
        <v>2455</v>
      </c>
      <c r="L97" s="220">
        <f t="shared" si="69"/>
        <v>2261</v>
      </c>
      <c r="M97" s="220">
        <f t="shared" si="69"/>
        <v>2065</v>
      </c>
      <c r="N97" s="220">
        <f t="shared" si="69"/>
        <v>2140</v>
      </c>
      <c r="O97" s="220">
        <f t="shared" si="69"/>
        <v>2376</v>
      </c>
      <c r="P97" s="220">
        <f t="shared" si="113"/>
        <v>2000</v>
      </c>
      <c r="Q97" s="220">
        <f t="shared" si="113"/>
        <v>2150</v>
      </c>
      <c r="R97" s="220">
        <f t="shared" si="113"/>
        <v>2150</v>
      </c>
      <c r="S97" s="220">
        <f t="shared" si="113"/>
        <v>2150</v>
      </c>
      <c r="T97" s="220">
        <f t="shared" si="113"/>
        <v>2000</v>
      </c>
      <c r="U97" s="220">
        <f t="shared" si="114"/>
        <v>455</v>
      </c>
      <c r="V97" s="220">
        <f t="shared" si="114"/>
        <v>111</v>
      </c>
      <c r="W97" s="220">
        <f t="shared" si="114"/>
        <v>-85</v>
      </c>
      <c r="X97" s="220">
        <f t="shared" si="114"/>
        <v>-10</v>
      </c>
      <c r="Y97" s="220">
        <f t="shared" si="114"/>
        <v>376</v>
      </c>
      <c r="Z97" s="220">
        <v>1</v>
      </c>
      <c r="AA97" s="220">
        <v>0</v>
      </c>
      <c r="AB97" s="220">
        <v>2</v>
      </c>
      <c r="AC97" s="220">
        <v>0</v>
      </c>
      <c r="AD97" s="220">
        <v>0</v>
      </c>
      <c r="AE97" s="220">
        <f t="shared" si="115"/>
        <v>-12</v>
      </c>
      <c r="AF97" s="220">
        <f t="shared" si="115"/>
        <v>-456</v>
      </c>
      <c r="AG97" s="220">
        <f t="shared" si="115"/>
        <v>-552</v>
      </c>
      <c r="AH97" s="220">
        <f t="shared" si="115"/>
        <v>-492</v>
      </c>
      <c r="AI97" s="220">
        <f t="shared" si="115"/>
        <v>-183</v>
      </c>
      <c r="AJ97" s="50">
        <f t="shared" si="95"/>
        <v>1.1150000000000038</v>
      </c>
      <c r="AK97" s="257"/>
      <c r="AL97" s="257">
        <f t="shared" si="96"/>
        <v>1.2</v>
      </c>
      <c r="AM97" s="52"/>
      <c r="AN97" s="88"/>
    </row>
    <row r="98" spans="1:40" s="29" customFormat="1" ht="17.25" customHeight="1">
      <c r="A98" s="48">
        <v>88</v>
      </c>
      <c r="B98" s="49">
        <f t="shared" si="88"/>
        <v>45672</v>
      </c>
      <c r="C98" s="220">
        <f t="shared" si="89"/>
        <v>1049</v>
      </c>
      <c r="D98" s="220">
        <f t="shared" ref="D98" si="120">D97+26</f>
        <v>2259</v>
      </c>
      <c r="E98" s="220">
        <f t="shared" si="91"/>
        <v>3308</v>
      </c>
      <c r="F98" s="220">
        <f t="shared" si="83"/>
        <v>853</v>
      </c>
      <c r="G98" s="220">
        <f t="shared" si="84"/>
        <v>1047</v>
      </c>
      <c r="H98" s="220">
        <f t="shared" si="85"/>
        <v>1245</v>
      </c>
      <c r="I98" s="220">
        <f t="shared" si="86"/>
        <v>1172</v>
      </c>
      <c r="J98" s="220">
        <f t="shared" si="87"/>
        <v>933</v>
      </c>
      <c r="K98" s="220">
        <f t="shared" si="69"/>
        <v>2455</v>
      </c>
      <c r="L98" s="220">
        <f t="shared" si="69"/>
        <v>2261</v>
      </c>
      <c r="M98" s="220">
        <f t="shared" si="69"/>
        <v>2063</v>
      </c>
      <c r="N98" s="220">
        <f t="shared" si="69"/>
        <v>2136</v>
      </c>
      <c r="O98" s="220">
        <f t="shared" si="69"/>
        <v>2375</v>
      </c>
      <c r="P98" s="220">
        <f t="shared" si="113"/>
        <v>2000</v>
      </c>
      <c r="Q98" s="220">
        <f t="shared" si="113"/>
        <v>2150</v>
      </c>
      <c r="R98" s="220">
        <f t="shared" si="113"/>
        <v>2150</v>
      </c>
      <c r="S98" s="220">
        <f t="shared" si="113"/>
        <v>2150</v>
      </c>
      <c r="T98" s="220">
        <f t="shared" si="113"/>
        <v>2000</v>
      </c>
      <c r="U98" s="220">
        <f t="shared" si="114"/>
        <v>455</v>
      </c>
      <c r="V98" s="220">
        <f t="shared" si="114"/>
        <v>111</v>
      </c>
      <c r="W98" s="220">
        <f t="shared" si="114"/>
        <v>-87</v>
      </c>
      <c r="X98" s="220">
        <f t="shared" si="114"/>
        <v>-14</v>
      </c>
      <c r="Y98" s="220">
        <f t="shared" si="114"/>
        <v>375</v>
      </c>
      <c r="Z98" s="220">
        <v>0</v>
      </c>
      <c r="AA98" s="220">
        <v>0</v>
      </c>
      <c r="AB98" s="220">
        <v>2</v>
      </c>
      <c r="AC98" s="220">
        <v>4</v>
      </c>
      <c r="AD98" s="220">
        <v>1</v>
      </c>
      <c r="AE98" s="220">
        <f t="shared" si="115"/>
        <v>-12</v>
      </c>
      <c r="AF98" s="220">
        <f t="shared" si="115"/>
        <v>-456</v>
      </c>
      <c r="AG98" s="220">
        <f t="shared" si="115"/>
        <v>-554</v>
      </c>
      <c r="AH98" s="220">
        <f t="shared" si="115"/>
        <v>-496</v>
      </c>
      <c r="AI98" s="220">
        <f t="shared" si="115"/>
        <v>-184</v>
      </c>
      <c r="AJ98" s="50">
        <f t="shared" si="95"/>
        <v>1.1130000000000038</v>
      </c>
      <c r="AK98" s="257"/>
      <c r="AL98" s="257">
        <f t="shared" si="96"/>
        <v>1.2</v>
      </c>
      <c r="AM98" s="52"/>
      <c r="AN98" s="88"/>
    </row>
    <row r="99" spans="1:40" s="29" customFormat="1" ht="17.25" customHeight="1">
      <c r="A99" s="48">
        <v>89</v>
      </c>
      <c r="B99" s="49">
        <f t="shared" si="88"/>
        <v>45673</v>
      </c>
      <c r="C99" s="220">
        <f t="shared" si="89"/>
        <v>1049</v>
      </c>
      <c r="D99" s="220">
        <f t="shared" ref="D99" si="121">D98+32</f>
        <v>2291</v>
      </c>
      <c r="E99" s="220">
        <f t="shared" si="91"/>
        <v>3340</v>
      </c>
      <c r="F99" s="220">
        <f t="shared" si="83"/>
        <v>886</v>
      </c>
      <c r="G99" s="220">
        <f t="shared" si="84"/>
        <v>1083</v>
      </c>
      <c r="H99" s="220">
        <f t="shared" si="85"/>
        <v>1278</v>
      </c>
      <c r="I99" s="220">
        <f t="shared" si="86"/>
        <v>1205</v>
      </c>
      <c r="J99" s="220">
        <f t="shared" si="87"/>
        <v>965</v>
      </c>
      <c r="K99" s="220">
        <f t="shared" si="69"/>
        <v>2454</v>
      </c>
      <c r="L99" s="220">
        <f t="shared" si="69"/>
        <v>2257</v>
      </c>
      <c r="M99" s="220">
        <f t="shared" si="69"/>
        <v>2062</v>
      </c>
      <c r="N99" s="220">
        <f t="shared" si="69"/>
        <v>2135</v>
      </c>
      <c r="O99" s="220">
        <f t="shared" si="69"/>
        <v>2375</v>
      </c>
      <c r="P99" s="220">
        <f t="shared" si="113"/>
        <v>2000</v>
      </c>
      <c r="Q99" s="220">
        <f t="shared" si="113"/>
        <v>2150</v>
      </c>
      <c r="R99" s="220">
        <f t="shared" si="113"/>
        <v>2150</v>
      </c>
      <c r="S99" s="220">
        <f t="shared" si="113"/>
        <v>2150</v>
      </c>
      <c r="T99" s="220">
        <f t="shared" si="113"/>
        <v>2000</v>
      </c>
      <c r="U99" s="220">
        <f t="shared" si="114"/>
        <v>454</v>
      </c>
      <c r="V99" s="220">
        <f t="shared" si="114"/>
        <v>107</v>
      </c>
      <c r="W99" s="220">
        <f t="shared" si="114"/>
        <v>-88</v>
      </c>
      <c r="X99" s="220">
        <f t="shared" si="114"/>
        <v>-15</v>
      </c>
      <c r="Y99" s="220">
        <f t="shared" si="114"/>
        <v>375</v>
      </c>
      <c r="Z99" s="220">
        <v>1</v>
      </c>
      <c r="AA99" s="220">
        <v>4</v>
      </c>
      <c r="AB99" s="220">
        <v>1</v>
      </c>
      <c r="AC99" s="220">
        <v>1</v>
      </c>
      <c r="AD99" s="220">
        <v>0</v>
      </c>
      <c r="AE99" s="220">
        <f t="shared" si="115"/>
        <v>-13</v>
      </c>
      <c r="AF99" s="220">
        <f t="shared" si="115"/>
        <v>-460</v>
      </c>
      <c r="AG99" s="220">
        <f t="shared" si="115"/>
        <v>-555</v>
      </c>
      <c r="AH99" s="220">
        <f t="shared" si="115"/>
        <v>-497</v>
      </c>
      <c r="AI99" s="220">
        <f t="shared" si="115"/>
        <v>-184</v>
      </c>
      <c r="AJ99" s="50">
        <f t="shared" si="95"/>
        <v>1.1120000000000039</v>
      </c>
      <c r="AK99" s="257"/>
      <c r="AL99" s="257">
        <f t="shared" si="96"/>
        <v>1.2</v>
      </c>
      <c r="AM99" s="52"/>
      <c r="AN99" s="88"/>
    </row>
    <row r="100" spans="1:40" s="29" customFormat="1" ht="17.25" customHeight="1">
      <c r="A100" s="48">
        <v>90</v>
      </c>
      <c r="B100" s="49">
        <f t="shared" si="88"/>
        <v>45674</v>
      </c>
      <c r="C100" s="220">
        <f t="shared" si="89"/>
        <v>1049</v>
      </c>
      <c r="D100" s="220">
        <f t="shared" ref="D100" si="122">D99-18</f>
        <v>2273</v>
      </c>
      <c r="E100" s="220">
        <f t="shared" si="91"/>
        <v>3322</v>
      </c>
      <c r="F100" s="220">
        <f t="shared" si="83"/>
        <v>869</v>
      </c>
      <c r="G100" s="220">
        <f t="shared" si="84"/>
        <v>1065</v>
      </c>
      <c r="H100" s="220">
        <f t="shared" si="85"/>
        <v>1261</v>
      </c>
      <c r="I100" s="220">
        <f t="shared" si="86"/>
        <v>1187</v>
      </c>
      <c r="J100" s="220">
        <f t="shared" si="87"/>
        <v>949</v>
      </c>
      <c r="K100" s="220">
        <f t="shared" si="69"/>
        <v>2453</v>
      </c>
      <c r="L100" s="220">
        <f t="shared" si="69"/>
        <v>2257</v>
      </c>
      <c r="M100" s="220">
        <f t="shared" si="69"/>
        <v>2061</v>
      </c>
      <c r="N100" s="220">
        <f t="shared" si="69"/>
        <v>2135</v>
      </c>
      <c r="O100" s="220">
        <f t="shared" si="69"/>
        <v>2373</v>
      </c>
      <c r="P100" s="220">
        <f t="shared" si="113"/>
        <v>2000</v>
      </c>
      <c r="Q100" s="220">
        <f t="shared" si="113"/>
        <v>2150</v>
      </c>
      <c r="R100" s="220">
        <f t="shared" si="113"/>
        <v>2150</v>
      </c>
      <c r="S100" s="220">
        <f t="shared" si="113"/>
        <v>2150</v>
      </c>
      <c r="T100" s="220">
        <f t="shared" si="113"/>
        <v>2000</v>
      </c>
      <c r="U100" s="220">
        <f t="shared" si="114"/>
        <v>453</v>
      </c>
      <c r="V100" s="220">
        <f t="shared" si="114"/>
        <v>107</v>
      </c>
      <c r="W100" s="220">
        <f t="shared" si="114"/>
        <v>-89</v>
      </c>
      <c r="X100" s="220">
        <f t="shared" si="114"/>
        <v>-15</v>
      </c>
      <c r="Y100" s="220">
        <f t="shared" si="114"/>
        <v>373</v>
      </c>
      <c r="Z100" s="220">
        <v>1</v>
      </c>
      <c r="AA100" s="220">
        <v>0</v>
      </c>
      <c r="AB100" s="220">
        <v>1</v>
      </c>
      <c r="AC100" s="220">
        <v>0</v>
      </c>
      <c r="AD100" s="220">
        <v>2</v>
      </c>
      <c r="AE100" s="220">
        <f t="shared" si="115"/>
        <v>-14</v>
      </c>
      <c r="AF100" s="220">
        <f t="shared" si="115"/>
        <v>-460</v>
      </c>
      <c r="AG100" s="220">
        <f t="shared" si="115"/>
        <v>-556</v>
      </c>
      <c r="AH100" s="220">
        <f t="shared" si="115"/>
        <v>-497</v>
      </c>
      <c r="AI100" s="220">
        <f t="shared" si="115"/>
        <v>-186</v>
      </c>
      <c r="AJ100" s="50">
        <f t="shared" si="95"/>
        <v>1.111000000000004</v>
      </c>
      <c r="AK100" s="257"/>
      <c r="AL100" s="257">
        <f t="shared" si="96"/>
        <v>1.2</v>
      </c>
      <c r="AM100" s="52"/>
      <c r="AN100" s="88"/>
    </row>
    <row r="101" spans="1:40" s="29" customFormat="1" ht="17.25" customHeight="1">
      <c r="A101" s="48">
        <v>91</v>
      </c>
      <c r="B101" s="49">
        <f t="shared" si="88"/>
        <v>45675</v>
      </c>
      <c r="C101" s="220">
        <f t="shared" si="89"/>
        <v>1049</v>
      </c>
      <c r="D101" s="220">
        <f t="shared" ref="D101" si="123">D100-26</f>
        <v>2247</v>
      </c>
      <c r="E101" s="220">
        <f t="shared" si="91"/>
        <v>3296</v>
      </c>
      <c r="F101" s="220">
        <f t="shared" si="83"/>
        <v>843</v>
      </c>
      <c r="G101" s="220">
        <f t="shared" si="84"/>
        <v>1039</v>
      </c>
      <c r="H101" s="220">
        <f t="shared" si="85"/>
        <v>1236</v>
      </c>
      <c r="I101" s="220">
        <f t="shared" si="86"/>
        <v>1161</v>
      </c>
      <c r="J101" s="220">
        <f t="shared" si="87"/>
        <v>923</v>
      </c>
      <c r="K101" s="220">
        <f t="shared" si="69"/>
        <v>2453</v>
      </c>
      <c r="L101" s="220">
        <f t="shared" si="69"/>
        <v>2257</v>
      </c>
      <c r="M101" s="220">
        <f t="shared" si="69"/>
        <v>2060</v>
      </c>
      <c r="N101" s="220">
        <f t="shared" si="69"/>
        <v>2135</v>
      </c>
      <c r="O101" s="220">
        <f t="shared" si="69"/>
        <v>2373</v>
      </c>
      <c r="P101" s="220">
        <f t="shared" si="113"/>
        <v>2000</v>
      </c>
      <c r="Q101" s="220">
        <f t="shared" si="113"/>
        <v>2150</v>
      </c>
      <c r="R101" s="220">
        <f t="shared" si="113"/>
        <v>2150</v>
      </c>
      <c r="S101" s="220">
        <f t="shared" si="113"/>
        <v>2150</v>
      </c>
      <c r="T101" s="220">
        <f t="shared" si="113"/>
        <v>2000</v>
      </c>
      <c r="U101" s="220">
        <f t="shared" si="114"/>
        <v>453</v>
      </c>
      <c r="V101" s="220">
        <f t="shared" si="114"/>
        <v>107</v>
      </c>
      <c r="W101" s="220">
        <f t="shared" si="114"/>
        <v>-90</v>
      </c>
      <c r="X101" s="220">
        <f t="shared" si="114"/>
        <v>-15</v>
      </c>
      <c r="Y101" s="220">
        <f t="shared" si="114"/>
        <v>373</v>
      </c>
      <c r="Z101" s="220">
        <v>0</v>
      </c>
      <c r="AA101" s="220">
        <v>0</v>
      </c>
      <c r="AB101" s="220">
        <v>1</v>
      </c>
      <c r="AC101" s="220">
        <v>0</v>
      </c>
      <c r="AD101" s="220">
        <v>0</v>
      </c>
      <c r="AE101" s="220">
        <f t="shared" si="115"/>
        <v>-14</v>
      </c>
      <c r="AF101" s="220">
        <f t="shared" si="115"/>
        <v>-460</v>
      </c>
      <c r="AG101" s="220">
        <f t="shared" si="115"/>
        <v>-557</v>
      </c>
      <c r="AH101" s="220">
        <f t="shared" si="115"/>
        <v>-497</v>
      </c>
      <c r="AI101" s="220">
        <f t="shared" si="115"/>
        <v>-186</v>
      </c>
      <c r="AJ101" s="50">
        <f t="shared" si="95"/>
        <v>1.1100000000000041</v>
      </c>
      <c r="AK101" s="257"/>
      <c r="AL101" s="257">
        <f t="shared" si="96"/>
        <v>1.2</v>
      </c>
      <c r="AM101" s="52"/>
      <c r="AN101" s="88"/>
    </row>
    <row r="102" spans="1:40" s="29" customFormat="1" ht="17.25" customHeight="1">
      <c r="A102" s="48">
        <v>92</v>
      </c>
      <c r="B102" s="49">
        <f t="shared" si="88"/>
        <v>45676</v>
      </c>
      <c r="C102" s="220">
        <f t="shared" si="89"/>
        <v>1049</v>
      </c>
      <c r="D102" s="220">
        <f t="shared" ref="D102" si="124">D101+15</f>
        <v>2262</v>
      </c>
      <c r="E102" s="220">
        <f t="shared" si="91"/>
        <v>3311</v>
      </c>
      <c r="F102" s="220">
        <f t="shared" si="83"/>
        <v>859</v>
      </c>
      <c r="G102" s="220">
        <f t="shared" si="84"/>
        <v>1054</v>
      </c>
      <c r="H102" s="220">
        <f t="shared" si="85"/>
        <v>1252</v>
      </c>
      <c r="I102" s="220">
        <f t="shared" si="86"/>
        <v>1176</v>
      </c>
      <c r="J102" s="220">
        <f t="shared" si="87"/>
        <v>938</v>
      </c>
      <c r="K102" s="220">
        <f t="shared" si="69"/>
        <v>2452</v>
      </c>
      <c r="L102" s="220">
        <f t="shared" si="69"/>
        <v>2257</v>
      </c>
      <c r="M102" s="220">
        <f t="shared" si="69"/>
        <v>2059</v>
      </c>
      <c r="N102" s="220">
        <f t="shared" si="69"/>
        <v>2135</v>
      </c>
      <c r="O102" s="220">
        <f t="shared" si="69"/>
        <v>2373</v>
      </c>
      <c r="P102" s="220">
        <f t="shared" si="113"/>
        <v>2000</v>
      </c>
      <c r="Q102" s="220">
        <f t="shared" si="113"/>
        <v>2150</v>
      </c>
      <c r="R102" s="220">
        <f t="shared" si="113"/>
        <v>2150</v>
      </c>
      <c r="S102" s="220">
        <f t="shared" si="113"/>
        <v>2150</v>
      </c>
      <c r="T102" s="220">
        <f t="shared" si="113"/>
        <v>2000</v>
      </c>
      <c r="U102" s="220">
        <f t="shared" si="114"/>
        <v>452</v>
      </c>
      <c r="V102" s="220">
        <f t="shared" si="114"/>
        <v>107</v>
      </c>
      <c r="W102" s="220">
        <f t="shared" si="114"/>
        <v>-91</v>
      </c>
      <c r="X102" s="220">
        <f t="shared" si="114"/>
        <v>-15</v>
      </c>
      <c r="Y102" s="220">
        <f t="shared" si="114"/>
        <v>373</v>
      </c>
      <c r="Z102" s="220">
        <v>1</v>
      </c>
      <c r="AA102" s="220">
        <v>0</v>
      </c>
      <c r="AB102" s="220">
        <v>1</v>
      </c>
      <c r="AC102" s="220">
        <v>0</v>
      </c>
      <c r="AD102" s="220">
        <v>0</v>
      </c>
      <c r="AE102" s="220">
        <f t="shared" si="115"/>
        <v>-15</v>
      </c>
      <c r="AF102" s="220">
        <f t="shared" si="115"/>
        <v>-460</v>
      </c>
      <c r="AG102" s="220">
        <f t="shared" si="115"/>
        <v>-558</v>
      </c>
      <c r="AH102" s="220">
        <f t="shared" si="115"/>
        <v>-497</v>
      </c>
      <c r="AI102" s="220">
        <f t="shared" si="115"/>
        <v>-186</v>
      </c>
      <c r="AJ102" s="50">
        <f t="shared" si="95"/>
        <v>1.1090000000000042</v>
      </c>
      <c r="AK102" s="257"/>
      <c r="AL102" s="257">
        <f t="shared" si="96"/>
        <v>1.2</v>
      </c>
      <c r="AM102" s="52"/>
      <c r="AN102" s="88"/>
    </row>
    <row r="103" spans="1:40" s="29" customFormat="1" ht="17.25" customHeight="1">
      <c r="A103" s="48">
        <v>93</v>
      </c>
      <c r="B103" s="49">
        <f t="shared" si="88"/>
        <v>45677</v>
      </c>
      <c r="C103" s="220">
        <f t="shared" si="89"/>
        <v>1049</v>
      </c>
      <c r="D103" s="220">
        <f t="shared" ref="D103" si="125">D102+26</f>
        <v>2288</v>
      </c>
      <c r="E103" s="220">
        <f t="shared" si="91"/>
        <v>3337</v>
      </c>
      <c r="F103" s="220">
        <f t="shared" si="83"/>
        <v>885</v>
      </c>
      <c r="G103" s="220">
        <f t="shared" si="84"/>
        <v>1084</v>
      </c>
      <c r="H103" s="220">
        <f t="shared" si="85"/>
        <v>1280</v>
      </c>
      <c r="I103" s="220">
        <f t="shared" si="86"/>
        <v>1204</v>
      </c>
      <c r="J103" s="220">
        <f t="shared" si="87"/>
        <v>964</v>
      </c>
      <c r="K103" s="220">
        <f t="shared" si="69"/>
        <v>2452</v>
      </c>
      <c r="L103" s="220">
        <f t="shared" si="69"/>
        <v>2253</v>
      </c>
      <c r="M103" s="220">
        <f t="shared" si="69"/>
        <v>2057</v>
      </c>
      <c r="N103" s="220">
        <f t="shared" si="69"/>
        <v>2133</v>
      </c>
      <c r="O103" s="220">
        <f t="shared" si="69"/>
        <v>2373</v>
      </c>
      <c r="P103" s="220">
        <f t="shared" si="113"/>
        <v>2000</v>
      </c>
      <c r="Q103" s="220">
        <f t="shared" si="113"/>
        <v>2150</v>
      </c>
      <c r="R103" s="220">
        <f t="shared" si="113"/>
        <v>2150</v>
      </c>
      <c r="S103" s="220">
        <f t="shared" si="113"/>
        <v>2150</v>
      </c>
      <c r="T103" s="220">
        <f t="shared" si="113"/>
        <v>2000</v>
      </c>
      <c r="U103" s="220">
        <f t="shared" si="114"/>
        <v>452</v>
      </c>
      <c r="V103" s="220">
        <f t="shared" si="114"/>
        <v>103</v>
      </c>
      <c r="W103" s="220">
        <f t="shared" si="114"/>
        <v>-93</v>
      </c>
      <c r="X103" s="220">
        <f t="shared" si="114"/>
        <v>-17</v>
      </c>
      <c r="Y103" s="220">
        <f t="shared" si="114"/>
        <v>373</v>
      </c>
      <c r="Z103" s="220">
        <v>0</v>
      </c>
      <c r="AA103" s="220">
        <v>4</v>
      </c>
      <c r="AB103" s="220">
        <v>2</v>
      </c>
      <c r="AC103" s="220">
        <v>2</v>
      </c>
      <c r="AD103" s="220">
        <v>0</v>
      </c>
      <c r="AE103" s="220">
        <f t="shared" si="115"/>
        <v>-15</v>
      </c>
      <c r="AF103" s="220">
        <f t="shared" si="115"/>
        <v>-464</v>
      </c>
      <c r="AG103" s="220">
        <f t="shared" si="115"/>
        <v>-560</v>
      </c>
      <c r="AH103" s="220">
        <f t="shared" si="115"/>
        <v>-499</v>
      </c>
      <c r="AI103" s="220">
        <f t="shared" si="115"/>
        <v>-186</v>
      </c>
      <c r="AJ103" s="50">
        <f t="shared" si="95"/>
        <v>1.1070000000000042</v>
      </c>
      <c r="AK103" s="257"/>
      <c r="AL103" s="257">
        <f t="shared" si="96"/>
        <v>1.2</v>
      </c>
      <c r="AM103" s="52"/>
      <c r="AN103" s="88"/>
    </row>
    <row r="104" spans="1:40" s="29" customFormat="1" ht="17.25" customHeight="1">
      <c r="A104" s="48">
        <v>94</v>
      </c>
      <c r="B104" s="49">
        <f t="shared" si="88"/>
        <v>45678</v>
      </c>
      <c r="C104" s="220">
        <f t="shared" si="89"/>
        <v>1049</v>
      </c>
      <c r="D104" s="220">
        <f t="shared" ref="D104" si="126">D103+32</f>
        <v>2320</v>
      </c>
      <c r="E104" s="220">
        <f t="shared" si="91"/>
        <v>3369</v>
      </c>
      <c r="F104" s="220">
        <f t="shared" si="83"/>
        <v>917</v>
      </c>
      <c r="G104" s="220">
        <f t="shared" si="84"/>
        <v>1116</v>
      </c>
      <c r="H104" s="220">
        <f t="shared" si="85"/>
        <v>1312</v>
      </c>
      <c r="I104" s="220">
        <f t="shared" si="86"/>
        <v>1236</v>
      </c>
      <c r="J104" s="220">
        <f t="shared" si="87"/>
        <v>996</v>
      </c>
      <c r="K104" s="220">
        <f t="shared" si="69"/>
        <v>2452</v>
      </c>
      <c r="L104" s="220">
        <f t="shared" si="69"/>
        <v>2253</v>
      </c>
      <c r="M104" s="220">
        <f t="shared" si="69"/>
        <v>2057</v>
      </c>
      <c r="N104" s="220">
        <f t="shared" si="69"/>
        <v>2133</v>
      </c>
      <c r="O104" s="220">
        <f t="shared" si="69"/>
        <v>2373</v>
      </c>
      <c r="P104" s="220">
        <f t="shared" si="113"/>
        <v>2000</v>
      </c>
      <c r="Q104" s="220">
        <f t="shared" si="113"/>
        <v>2150</v>
      </c>
      <c r="R104" s="220">
        <f t="shared" si="113"/>
        <v>2150</v>
      </c>
      <c r="S104" s="220">
        <f t="shared" si="113"/>
        <v>2150</v>
      </c>
      <c r="T104" s="220">
        <f t="shared" si="113"/>
        <v>2000</v>
      </c>
      <c r="U104" s="220">
        <f t="shared" si="114"/>
        <v>452</v>
      </c>
      <c r="V104" s="220">
        <f t="shared" si="114"/>
        <v>103</v>
      </c>
      <c r="W104" s="220">
        <f t="shared" si="114"/>
        <v>-93</v>
      </c>
      <c r="X104" s="220">
        <f t="shared" si="114"/>
        <v>-17</v>
      </c>
      <c r="Y104" s="220">
        <f t="shared" si="114"/>
        <v>373</v>
      </c>
      <c r="Z104" s="220">
        <v>0</v>
      </c>
      <c r="AA104" s="220">
        <v>0</v>
      </c>
      <c r="AB104" s="220">
        <v>0</v>
      </c>
      <c r="AC104" s="220">
        <v>0</v>
      </c>
      <c r="AD104" s="220">
        <v>0</v>
      </c>
      <c r="AE104" s="220">
        <f t="shared" si="115"/>
        <v>-15</v>
      </c>
      <c r="AF104" s="220">
        <f t="shared" si="115"/>
        <v>-464</v>
      </c>
      <c r="AG104" s="220">
        <f t="shared" si="115"/>
        <v>-560</v>
      </c>
      <c r="AH104" s="220">
        <f t="shared" si="115"/>
        <v>-499</v>
      </c>
      <c r="AI104" s="220">
        <f t="shared" si="115"/>
        <v>-186</v>
      </c>
      <c r="AJ104" s="50">
        <f t="shared" si="95"/>
        <v>1.1070000000000042</v>
      </c>
      <c r="AK104" s="257"/>
      <c r="AL104" s="257">
        <f t="shared" si="96"/>
        <v>1.2</v>
      </c>
      <c r="AM104" s="52"/>
      <c r="AN104" s="88"/>
    </row>
    <row r="105" spans="1:40" s="29" customFormat="1" ht="17.25" customHeight="1">
      <c r="A105" s="48">
        <v>95</v>
      </c>
      <c r="B105" s="49">
        <f t="shared" si="88"/>
        <v>45679</v>
      </c>
      <c r="C105" s="220">
        <f t="shared" si="89"/>
        <v>1049</v>
      </c>
      <c r="D105" s="220">
        <f t="shared" ref="D105" si="127">D104-18</f>
        <v>2302</v>
      </c>
      <c r="E105" s="220">
        <f t="shared" si="91"/>
        <v>3351</v>
      </c>
      <c r="F105" s="220">
        <f t="shared" si="83"/>
        <v>900</v>
      </c>
      <c r="G105" s="220">
        <f t="shared" si="84"/>
        <v>1098</v>
      </c>
      <c r="H105" s="220">
        <f t="shared" si="85"/>
        <v>1298</v>
      </c>
      <c r="I105" s="220">
        <f t="shared" si="86"/>
        <v>1222</v>
      </c>
      <c r="J105" s="220">
        <f t="shared" si="87"/>
        <v>980</v>
      </c>
      <c r="K105" s="220">
        <f t="shared" si="69"/>
        <v>2451</v>
      </c>
      <c r="L105" s="220">
        <f t="shared" si="69"/>
        <v>2253</v>
      </c>
      <c r="M105" s="220">
        <f t="shared" si="69"/>
        <v>2053</v>
      </c>
      <c r="N105" s="220">
        <f t="shared" si="69"/>
        <v>2129</v>
      </c>
      <c r="O105" s="220">
        <f t="shared" si="69"/>
        <v>2371</v>
      </c>
      <c r="P105" s="220">
        <f t="shared" si="113"/>
        <v>2000</v>
      </c>
      <c r="Q105" s="220">
        <f t="shared" si="113"/>
        <v>2150</v>
      </c>
      <c r="R105" s="220">
        <f t="shared" si="113"/>
        <v>2150</v>
      </c>
      <c r="S105" s="220">
        <f t="shared" si="113"/>
        <v>2150</v>
      </c>
      <c r="T105" s="220">
        <f t="shared" si="113"/>
        <v>2000</v>
      </c>
      <c r="U105" s="220">
        <f t="shared" si="114"/>
        <v>451</v>
      </c>
      <c r="V105" s="220">
        <f t="shared" si="114"/>
        <v>103</v>
      </c>
      <c r="W105" s="220">
        <f t="shared" si="114"/>
        <v>-97</v>
      </c>
      <c r="X105" s="220">
        <f t="shared" si="114"/>
        <v>-21</v>
      </c>
      <c r="Y105" s="220">
        <f t="shared" si="114"/>
        <v>371</v>
      </c>
      <c r="Z105" s="220">
        <v>1</v>
      </c>
      <c r="AA105" s="220">
        <v>0</v>
      </c>
      <c r="AB105" s="220">
        <v>4</v>
      </c>
      <c r="AC105" s="220">
        <v>4</v>
      </c>
      <c r="AD105" s="220">
        <v>2</v>
      </c>
      <c r="AE105" s="220">
        <f t="shared" si="115"/>
        <v>-16</v>
      </c>
      <c r="AF105" s="220">
        <f t="shared" si="115"/>
        <v>-464</v>
      </c>
      <c r="AG105" s="220">
        <f t="shared" si="115"/>
        <v>-564</v>
      </c>
      <c r="AH105" s="220">
        <f t="shared" si="115"/>
        <v>-503</v>
      </c>
      <c r="AI105" s="220">
        <f t="shared" si="115"/>
        <v>-188</v>
      </c>
      <c r="AJ105" s="50">
        <f t="shared" si="95"/>
        <v>1.1030000000000042</v>
      </c>
      <c r="AK105" s="257"/>
      <c r="AL105" s="257">
        <f t="shared" si="96"/>
        <v>1.2</v>
      </c>
      <c r="AM105" s="52"/>
      <c r="AN105" s="88"/>
    </row>
    <row r="106" spans="1:40" s="29" customFormat="1" ht="17.25" customHeight="1">
      <c r="A106" s="48">
        <v>96</v>
      </c>
      <c r="B106" s="49">
        <f t="shared" si="88"/>
        <v>45680</v>
      </c>
      <c r="C106" s="220">
        <f t="shared" si="89"/>
        <v>1049</v>
      </c>
      <c r="D106" s="220">
        <f t="shared" ref="D106" si="128">D105-26</f>
        <v>2276</v>
      </c>
      <c r="E106" s="220">
        <f t="shared" si="91"/>
        <v>3325</v>
      </c>
      <c r="F106" s="220">
        <f t="shared" si="83"/>
        <v>874</v>
      </c>
      <c r="G106" s="220">
        <f t="shared" si="84"/>
        <v>1072</v>
      </c>
      <c r="H106" s="220">
        <f t="shared" si="85"/>
        <v>1272</v>
      </c>
      <c r="I106" s="220">
        <f t="shared" si="86"/>
        <v>1196</v>
      </c>
      <c r="J106" s="220">
        <f t="shared" si="87"/>
        <v>954</v>
      </c>
      <c r="K106" s="220">
        <f t="shared" si="69"/>
        <v>2451</v>
      </c>
      <c r="L106" s="220">
        <f t="shared" si="69"/>
        <v>2253</v>
      </c>
      <c r="M106" s="220">
        <f t="shared" si="69"/>
        <v>2053</v>
      </c>
      <c r="N106" s="220">
        <f t="shared" si="69"/>
        <v>2129</v>
      </c>
      <c r="O106" s="220">
        <f t="shared" si="69"/>
        <v>2371</v>
      </c>
      <c r="P106" s="220">
        <f t="shared" si="113"/>
        <v>2000</v>
      </c>
      <c r="Q106" s="220">
        <f t="shared" si="113"/>
        <v>2150</v>
      </c>
      <c r="R106" s="220">
        <f t="shared" si="113"/>
        <v>2150</v>
      </c>
      <c r="S106" s="220">
        <f t="shared" si="113"/>
        <v>2150</v>
      </c>
      <c r="T106" s="220">
        <f t="shared" si="113"/>
        <v>2000</v>
      </c>
      <c r="U106" s="220">
        <f t="shared" si="114"/>
        <v>451</v>
      </c>
      <c r="V106" s="220">
        <f t="shared" si="114"/>
        <v>103</v>
      </c>
      <c r="W106" s="220">
        <f t="shared" si="114"/>
        <v>-97</v>
      </c>
      <c r="X106" s="220">
        <f t="shared" si="114"/>
        <v>-21</v>
      </c>
      <c r="Y106" s="220">
        <f t="shared" si="114"/>
        <v>371</v>
      </c>
      <c r="Z106" s="220">
        <v>0</v>
      </c>
      <c r="AA106" s="220">
        <v>0</v>
      </c>
      <c r="AB106" s="220">
        <v>0</v>
      </c>
      <c r="AC106" s="220">
        <v>0</v>
      </c>
      <c r="AD106" s="220">
        <v>0</v>
      </c>
      <c r="AE106" s="220">
        <f t="shared" si="115"/>
        <v>-16</v>
      </c>
      <c r="AF106" s="220">
        <f t="shared" si="115"/>
        <v>-464</v>
      </c>
      <c r="AG106" s="220">
        <f t="shared" si="115"/>
        <v>-564</v>
      </c>
      <c r="AH106" s="220">
        <f t="shared" si="115"/>
        <v>-503</v>
      </c>
      <c r="AI106" s="220">
        <f t="shared" si="115"/>
        <v>-188</v>
      </c>
      <c r="AJ106" s="50">
        <f t="shared" si="95"/>
        <v>1.1030000000000042</v>
      </c>
      <c r="AK106" s="257"/>
      <c r="AL106" s="257">
        <f t="shared" si="96"/>
        <v>1.2</v>
      </c>
      <c r="AM106" s="52"/>
      <c r="AN106" s="88"/>
    </row>
    <row r="107" spans="1:40" s="29" customFormat="1" ht="17.25" customHeight="1">
      <c r="A107" s="48">
        <v>97</v>
      </c>
      <c r="B107" s="49">
        <f t="shared" si="88"/>
        <v>45681</v>
      </c>
      <c r="C107" s="220">
        <f t="shared" si="89"/>
        <v>1049</v>
      </c>
      <c r="D107" s="220">
        <f t="shared" ref="D107" si="129">D106+15</f>
        <v>2291</v>
      </c>
      <c r="E107" s="220">
        <f t="shared" si="91"/>
        <v>3340</v>
      </c>
      <c r="F107" s="220">
        <f t="shared" si="83"/>
        <v>889</v>
      </c>
      <c r="G107" s="220">
        <f t="shared" si="84"/>
        <v>1090</v>
      </c>
      <c r="H107" s="220">
        <f t="shared" si="85"/>
        <v>1290</v>
      </c>
      <c r="I107" s="220">
        <f t="shared" si="86"/>
        <v>1214</v>
      </c>
      <c r="J107" s="220">
        <f t="shared" si="87"/>
        <v>969</v>
      </c>
      <c r="K107" s="220">
        <f t="shared" si="69"/>
        <v>2451</v>
      </c>
      <c r="L107" s="220">
        <f t="shared" si="69"/>
        <v>2250</v>
      </c>
      <c r="M107" s="220">
        <f t="shared" si="69"/>
        <v>2050</v>
      </c>
      <c r="N107" s="220">
        <f t="shared" si="69"/>
        <v>2126</v>
      </c>
      <c r="O107" s="220">
        <f t="shared" si="69"/>
        <v>2371</v>
      </c>
      <c r="P107" s="220">
        <f t="shared" si="113"/>
        <v>2000</v>
      </c>
      <c r="Q107" s="220">
        <f t="shared" si="113"/>
        <v>2150</v>
      </c>
      <c r="R107" s="220">
        <f t="shared" si="113"/>
        <v>2150</v>
      </c>
      <c r="S107" s="220">
        <f t="shared" si="113"/>
        <v>2150</v>
      </c>
      <c r="T107" s="220">
        <f t="shared" si="113"/>
        <v>2000</v>
      </c>
      <c r="U107" s="220">
        <f t="shared" si="114"/>
        <v>451</v>
      </c>
      <c r="V107" s="220">
        <f t="shared" si="114"/>
        <v>100</v>
      </c>
      <c r="W107" s="220">
        <f t="shared" si="114"/>
        <v>-100</v>
      </c>
      <c r="X107" s="220">
        <f t="shared" si="114"/>
        <v>-24</v>
      </c>
      <c r="Y107" s="220">
        <f t="shared" si="114"/>
        <v>371</v>
      </c>
      <c r="Z107" s="220">
        <v>0</v>
      </c>
      <c r="AA107" s="220">
        <v>3</v>
      </c>
      <c r="AB107" s="220">
        <v>3</v>
      </c>
      <c r="AC107" s="220">
        <v>3</v>
      </c>
      <c r="AD107" s="220">
        <v>0</v>
      </c>
      <c r="AE107" s="220">
        <f t="shared" si="115"/>
        <v>-16</v>
      </c>
      <c r="AF107" s="220">
        <f t="shared" si="115"/>
        <v>-467</v>
      </c>
      <c r="AG107" s="220">
        <f t="shared" si="115"/>
        <v>-567</v>
      </c>
      <c r="AH107" s="220">
        <f t="shared" si="115"/>
        <v>-506</v>
      </c>
      <c r="AI107" s="220">
        <f t="shared" si="115"/>
        <v>-188</v>
      </c>
      <c r="AJ107" s="50">
        <f t="shared" si="95"/>
        <v>1.1000000000000043</v>
      </c>
      <c r="AK107" s="257"/>
      <c r="AL107" s="257">
        <f t="shared" si="96"/>
        <v>1.2</v>
      </c>
      <c r="AM107" s="52"/>
      <c r="AN107" s="88"/>
    </row>
    <row r="108" spans="1:40" s="29" customFormat="1" ht="17.25" customHeight="1">
      <c r="A108" s="48">
        <v>98</v>
      </c>
      <c r="B108" s="49">
        <f t="shared" si="88"/>
        <v>45682</v>
      </c>
      <c r="C108" s="220">
        <f t="shared" si="89"/>
        <v>1049</v>
      </c>
      <c r="D108" s="220">
        <f t="shared" ref="D108" si="130">D107+26</f>
        <v>2317</v>
      </c>
      <c r="E108" s="220">
        <f t="shared" si="91"/>
        <v>3366</v>
      </c>
      <c r="F108" s="220">
        <f t="shared" si="83"/>
        <v>916</v>
      </c>
      <c r="G108" s="220">
        <f t="shared" si="84"/>
        <v>1116</v>
      </c>
      <c r="H108" s="220">
        <f t="shared" si="85"/>
        <v>1316</v>
      </c>
      <c r="I108" s="220">
        <f t="shared" si="86"/>
        <v>1240</v>
      </c>
      <c r="J108" s="220">
        <f t="shared" si="87"/>
        <v>996</v>
      </c>
      <c r="K108" s="220">
        <f t="shared" si="69"/>
        <v>2450</v>
      </c>
      <c r="L108" s="220">
        <f t="shared" si="69"/>
        <v>2250</v>
      </c>
      <c r="M108" s="220">
        <f t="shared" si="69"/>
        <v>2050</v>
      </c>
      <c r="N108" s="220">
        <f t="shared" si="69"/>
        <v>2126</v>
      </c>
      <c r="O108" s="220">
        <f t="shared" si="69"/>
        <v>2370</v>
      </c>
      <c r="P108" s="220">
        <f t="shared" si="113"/>
        <v>2000</v>
      </c>
      <c r="Q108" s="220">
        <f t="shared" si="113"/>
        <v>2150</v>
      </c>
      <c r="R108" s="220">
        <f t="shared" si="113"/>
        <v>2150</v>
      </c>
      <c r="S108" s="220">
        <f t="shared" si="113"/>
        <v>2150</v>
      </c>
      <c r="T108" s="220">
        <f t="shared" si="113"/>
        <v>2000</v>
      </c>
      <c r="U108" s="220">
        <f t="shared" si="114"/>
        <v>450</v>
      </c>
      <c r="V108" s="220">
        <f t="shared" si="114"/>
        <v>100</v>
      </c>
      <c r="W108" s="220">
        <f t="shared" si="114"/>
        <v>-100</v>
      </c>
      <c r="X108" s="220">
        <f t="shared" si="114"/>
        <v>-24</v>
      </c>
      <c r="Y108" s="220">
        <f t="shared" si="114"/>
        <v>370</v>
      </c>
      <c r="Z108" s="220">
        <v>1</v>
      </c>
      <c r="AA108" s="220">
        <v>0</v>
      </c>
      <c r="AB108" s="220">
        <v>0</v>
      </c>
      <c r="AC108" s="220">
        <v>0</v>
      </c>
      <c r="AD108" s="220">
        <v>1</v>
      </c>
      <c r="AE108" s="220">
        <f t="shared" si="115"/>
        <v>-17</v>
      </c>
      <c r="AF108" s="220">
        <f t="shared" si="115"/>
        <v>-467</v>
      </c>
      <c r="AG108" s="220">
        <f t="shared" si="115"/>
        <v>-567</v>
      </c>
      <c r="AH108" s="220">
        <f t="shared" si="115"/>
        <v>-506</v>
      </c>
      <c r="AI108" s="220">
        <f t="shared" si="115"/>
        <v>-189</v>
      </c>
      <c r="AJ108" s="50">
        <f t="shared" si="95"/>
        <v>1.1000000000000043</v>
      </c>
      <c r="AK108" s="257"/>
      <c r="AL108" s="257">
        <f t="shared" si="96"/>
        <v>1.2</v>
      </c>
      <c r="AM108" s="52"/>
      <c r="AN108" s="88"/>
    </row>
    <row r="109" spans="1:40" s="29" customFormat="1" ht="17.25" customHeight="1">
      <c r="A109" s="48">
        <v>99</v>
      </c>
      <c r="B109" s="49">
        <f t="shared" si="88"/>
        <v>45683</v>
      </c>
      <c r="C109" s="220">
        <f t="shared" si="89"/>
        <v>1049</v>
      </c>
      <c r="D109" s="220">
        <f t="shared" ref="D109" si="131">D108+32</f>
        <v>2349</v>
      </c>
      <c r="E109" s="220">
        <f t="shared" si="91"/>
        <v>3398</v>
      </c>
      <c r="F109" s="220">
        <f t="shared" si="83"/>
        <v>948</v>
      </c>
      <c r="G109" s="220">
        <f t="shared" si="84"/>
        <v>1148</v>
      </c>
      <c r="H109" s="220">
        <f t="shared" si="85"/>
        <v>1352</v>
      </c>
      <c r="I109" s="220">
        <f t="shared" si="86"/>
        <v>1272</v>
      </c>
      <c r="J109" s="220">
        <f t="shared" si="87"/>
        <v>1030</v>
      </c>
      <c r="K109" s="220">
        <f t="shared" si="69"/>
        <v>2450</v>
      </c>
      <c r="L109" s="220">
        <f t="shared" si="69"/>
        <v>2250</v>
      </c>
      <c r="M109" s="220">
        <f t="shared" si="69"/>
        <v>2046</v>
      </c>
      <c r="N109" s="220">
        <f t="shared" si="69"/>
        <v>2126</v>
      </c>
      <c r="O109" s="220">
        <f t="shared" si="69"/>
        <v>2368</v>
      </c>
      <c r="P109" s="220">
        <f t="shared" ref="P109:T124" si="132">+P108</f>
        <v>2000</v>
      </c>
      <c r="Q109" s="220">
        <f t="shared" si="132"/>
        <v>2150</v>
      </c>
      <c r="R109" s="220">
        <f t="shared" si="132"/>
        <v>2150</v>
      </c>
      <c r="S109" s="220">
        <f t="shared" si="132"/>
        <v>2150</v>
      </c>
      <c r="T109" s="220">
        <f t="shared" si="132"/>
        <v>2000</v>
      </c>
      <c r="U109" s="220">
        <f t="shared" ref="U109:Y124" si="133">U108-Z109</f>
        <v>450</v>
      </c>
      <c r="V109" s="220">
        <f t="shared" si="133"/>
        <v>100</v>
      </c>
      <c r="W109" s="220">
        <f t="shared" si="133"/>
        <v>-104</v>
      </c>
      <c r="X109" s="220">
        <f t="shared" si="133"/>
        <v>-24</v>
      </c>
      <c r="Y109" s="220">
        <f t="shared" si="133"/>
        <v>368</v>
      </c>
      <c r="Z109" s="220">
        <v>0</v>
      </c>
      <c r="AA109" s="220">
        <v>0</v>
      </c>
      <c r="AB109" s="220">
        <v>4</v>
      </c>
      <c r="AC109" s="220">
        <v>0</v>
      </c>
      <c r="AD109" s="220">
        <v>2</v>
      </c>
      <c r="AE109" s="220">
        <f t="shared" ref="AE109:AI124" si="134">AE108-Z109</f>
        <v>-17</v>
      </c>
      <c r="AF109" s="220">
        <f t="shared" si="134"/>
        <v>-467</v>
      </c>
      <c r="AG109" s="220">
        <f t="shared" si="134"/>
        <v>-571</v>
      </c>
      <c r="AH109" s="220">
        <f t="shared" si="134"/>
        <v>-506</v>
      </c>
      <c r="AI109" s="220">
        <f t="shared" si="134"/>
        <v>-191</v>
      </c>
      <c r="AJ109" s="50">
        <f t="shared" si="95"/>
        <v>1.0960000000000043</v>
      </c>
      <c r="AK109" s="257"/>
      <c r="AL109" s="257">
        <f t="shared" si="96"/>
        <v>1.2</v>
      </c>
      <c r="AM109" s="52"/>
      <c r="AN109" s="88"/>
    </row>
    <row r="110" spans="1:40" s="29" customFormat="1" ht="17.25" customHeight="1">
      <c r="A110" s="48">
        <v>100</v>
      </c>
      <c r="B110" s="49">
        <f t="shared" si="88"/>
        <v>45684</v>
      </c>
      <c r="C110" s="220">
        <f t="shared" si="89"/>
        <v>1049</v>
      </c>
      <c r="D110" s="220">
        <f t="shared" ref="D110" si="135">D109-18</f>
        <v>2331</v>
      </c>
      <c r="E110" s="220">
        <f t="shared" si="91"/>
        <v>3380</v>
      </c>
      <c r="F110" s="220">
        <f t="shared" si="83"/>
        <v>931</v>
      </c>
      <c r="G110" s="220">
        <f t="shared" si="84"/>
        <v>1133</v>
      </c>
      <c r="H110" s="220">
        <f t="shared" si="85"/>
        <v>1337</v>
      </c>
      <c r="I110" s="220">
        <f t="shared" si="86"/>
        <v>1257</v>
      </c>
      <c r="J110" s="220">
        <f t="shared" si="87"/>
        <v>1012</v>
      </c>
      <c r="K110" s="220">
        <f t="shared" si="69"/>
        <v>2449</v>
      </c>
      <c r="L110" s="220">
        <f t="shared" si="69"/>
        <v>2247</v>
      </c>
      <c r="M110" s="220">
        <f t="shared" si="69"/>
        <v>2043</v>
      </c>
      <c r="N110" s="220">
        <f t="shared" si="69"/>
        <v>2123</v>
      </c>
      <c r="O110" s="220">
        <f t="shared" si="69"/>
        <v>2368</v>
      </c>
      <c r="P110" s="220">
        <f t="shared" si="132"/>
        <v>2000</v>
      </c>
      <c r="Q110" s="220">
        <f t="shared" si="132"/>
        <v>2150</v>
      </c>
      <c r="R110" s="220">
        <f t="shared" si="132"/>
        <v>2150</v>
      </c>
      <c r="S110" s="220">
        <f t="shared" si="132"/>
        <v>2150</v>
      </c>
      <c r="T110" s="220">
        <f t="shared" si="132"/>
        <v>2000</v>
      </c>
      <c r="U110" s="220">
        <f t="shared" si="133"/>
        <v>449</v>
      </c>
      <c r="V110" s="220">
        <f t="shared" si="133"/>
        <v>97</v>
      </c>
      <c r="W110" s="220">
        <f t="shared" si="133"/>
        <v>-107</v>
      </c>
      <c r="X110" s="220">
        <f t="shared" si="133"/>
        <v>-27</v>
      </c>
      <c r="Y110" s="220">
        <f t="shared" si="133"/>
        <v>368</v>
      </c>
      <c r="Z110" s="220">
        <v>1</v>
      </c>
      <c r="AA110" s="220">
        <v>3</v>
      </c>
      <c r="AB110" s="220">
        <v>3</v>
      </c>
      <c r="AC110" s="220">
        <v>3</v>
      </c>
      <c r="AD110" s="220">
        <v>0</v>
      </c>
      <c r="AE110" s="220">
        <f t="shared" si="134"/>
        <v>-18</v>
      </c>
      <c r="AF110" s="220">
        <f t="shared" si="134"/>
        <v>-470</v>
      </c>
      <c r="AG110" s="220">
        <f t="shared" si="134"/>
        <v>-574</v>
      </c>
      <c r="AH110" s="220">
        <f t="shared" si="134"/>
        <v>-509</v>
      </c>
      <c r="AI110" s="220">
        <f t="shared" si="134"/>
        <v>-191</v>
      </c>
      <c r="AJ110" s="50">
        <f t="shared" si="95"/>
        <v>1.0930000000000044</v>
      </c>
      <c r="AK110" s="257"/>
      <c r="AL110" s="257">
        <f t="shared" si="96"/>
        <v>1.2</v>
      </c>
      <c r="AM110" s="52"/>
      <c r="AN110" s="88"/>
    </row>
    <row r="111" spans="1:40" s="29" customFormat="1" ht="17.25" customHeight="1">
      <c r="A111" s="48">
        <v>101</v>
      </c>
      <c r="B111" s="49">
        <f t="shared" si="88"/>
        <v>45685</v>
      </c>
      <c r="C111" s="220">
        <f t="shared" si="89"/>
        <v>1049</v>
      </c>
      <c r="D111" s="220">
        <f t="shared" ref="D111" si="136">D110-26</f>
        <v>2305</v>
      </c>
      <c r="E111" s="220">
        <f t="shared" si="91"/>
        <v>3354</v>
      </c>
      <c r="F111" s="220">
        <f t="shared" si="83"/>
        <v>905</v>
      </c>
      <c r="G111" s="220">
        <f t="shared" si="84"/>
        <v>1108</v>
      </c>
      <c r="H111" s="220">
        <f t="shared" si="85"/>
        <v>1312</v>
      </c>
      <c r="I111" s="220">
        <f t="shared" si="86"/>
        <v>1232</v>
      </c>
      <c r="J111" s="220">
        <f t="shared" si="87"/>
        <v>986</v>
      </c>
      <c r="K111" s="220">
        <f t="shared" si="69"/>
        <v>2449</v>
      </c>
      <c r="L111" s="220">
        <f t="shared" si="69"/>
        <v>2246</v>
      </c>
      <c r="M111" s="220">
        <f t="shared" si="69"/>
        <v>2042</v>
      </c>
      <c r="N111" s="220">
        <f t="shared" si="69"/>
        <v>2122</v>
      </c>
      <c r="O111" s="220">
        <f t="shared" si="69"/>
        <v>2368</v>
      </c>
      <c r="P111" s="220">
        <f t="shared" si="132"/>
        <v>2000</v>
      </c>
      <c r="Q111" s="220">
        <f t="shared" si="132"/>
        <v>2150</v>
      </c>
      <c r="R111" s="220">
        <f t="shared" si="132"/>
        <v>2150</v>
      </c>
      <c r="S111" s="220">
        <f t="shared" si="132"/>
        <v>2150</v>
      </c>
      <c r="T111" s="220">
        <f t="shared" si="132"/>
        <v>2000</v>
      </c>
      <c r="U111" s="220">
        <f t="shared" si="133"/>
        <v>449</v>
      </c>
      <c r="V111" s="220">
        <f t="shared" si="133"/>
        <v>96</v>
      </c>
      <c r="W111" s="220">
        <f t="shared" si="133"/>
        <v>-108</v>
      </c>
      <c r="X111" s="220">
        <f t="shared" si="133"/>
        <v>-28</v>
      </c>
      <c r="Y111" s="220">
        <f t="shared" si="133"/>
        <v>368</v>
      </c>
      <c r="Z111" s="220">
        <v>0</v>
      </c>
      <c r="AA111" s="220">
        <v>1</v>
      </c>
      <c r="AB111" s="220">
        <v>1</v>
      </c>
      <c r="AC111" s="220">
        <v>1</v>
      </c>
      <c r="AD111" s="220">
        <v>0</v>
      </c>
      <c r="AE111" s="220">
        <f t="shared" si="134"/>
        <v>-18</v>
      </c>
      <c r="AF111" s="220">
        <f t="shared" si="134"/>
        <v>-471</v>
      </c>
      <c r="AG111" s="220">
        <f t="shared" si="134"/>
        <v>-575</v>
      </c>
      <c r="AH111" s="220">
        <f t="shared" si="134"/>
        <v>-510</v>
      </c>
      <c r="AI111" s="220">
        <f t="shared" si="134"/>
        <v>-191</v>
      </c>
      <c r="AJ111" s="50">
        <f t="shared" si="95"/>
        <v>1.0920000000000045</v>
      </c>
      <c r="AK111" s="257"/>
      <c r="AL111" s="257">
        <f t="shared" si="96"/>
        <v>1.2</v>
      </c>
      <c r="AM111" s="52"/>
      <c r="AN111" s="88"/>
    </row>
    <row r="112" spans="1:40" s="29" customFormat="1" ht="17.25" customHeight="1">
      <c r="A112" s="48">
        <v>102</v>
      </c>
      <c r="B112" s="49">
        <f t="shared" si="88"/>
        <v>45686</v>
      </c>
      <c r="C112" s="220">
        <f t="shared" si="89"/>
        <v>1049</v>
      </c>
      <c r="D112" s="220">
        <f t="shared" ref="D112" si="137">D111+15</f>
        <v>2320</v>
      </c>
      <c r="E112" s="220">
        <f t="shared" si="91"/>
        <v>3369</v>
      </c>
      <c r="F112" s="220">
        <f t="shared" si="83"/>
        <v>921</v>
      </c>
      <c r="G112" s="220">
        <f t="shared" si="84"/>
        <v>1127</v>
      </c>
      <c r="H112" s="220">
        <f t="shared" si="85"/>
        <v>1329</v>
      </c>
      <c r="I112" s="220">
        <f t="shared" si="86"/>
        <v>1249</v>
      </c>
      <c r="J112" s="220">
        <f t="shared" si="87"/>
        <v>1001</v>
      </c>
      <c r="K112" s="220">
        <f t="shared" si="69"/>
        <v>2448</v>
      </c>
      <c r="L112" s="220">
        <f t="shared" si="69"/>
        <v>2242</v>
      </c>
      <c r="M112" s="220">
        <f t="shared" si="69"/>
        <v>2040</v>
      </c>
      <c r="N112" s="220">
        <f t="shared" si="69"/>
        <v>2120</v>
      </c>
      <c r="O112" s="220">
        <f t="shared" si="69"/>
        <v>2368</v>
      </c>
      <c r="P112" s="220">
        <f t="shared" si="132"/>
        <v>2000</v>
      </c>
      <c r="Q112" s="220">
        <f t="shared" si="132"/>
        <v>2150</v>
      </c>
      <c r="R112" s="220">
        <f t="shared" si="132"/>
        <v>2150</v>
      </c>
      <c r="S112" s="220">
        <f t="shared" si="132"/>
        <v>2150</v>
      </c>
      <c r="T112" s="220">
        <f t="shared" si="132"/>
        <v>2000</v>
      </c>
      <c r="U112" s="220">
        <f t="shared" si="133"/>
        <v>448</v>
      </c>
      <c r="V112" s="220">
        <f t="shared" si="133"/>
        <v>92</v>
      </c>
      <c r="W112" s="220">
        <f t="shared" si="133"/>
        <v>-110</v>
      </c>
      <c r="X112" s="220">
        <f t="shared" si="133"/>
        <v>-30</v>
      </c>
      <c r="Y112" s="220">
        <f t="shared" si="133"/>
        <v>368</v>
      </c>
      <c r="Z112" s="220">
        <v>1</v>
      </c>
      <c r="AA112" s="220">
        <v>4</v>
      </c>
      <c r="AB112" s="220">
        <v>2</v>
      </c>
      <c r="AC112" s="220">
        <v>2</v>
      </c>
      <c r="AD112" s="220">
        <v>0</v>
      </c>
      <c r="AE112" s="220">
        <f t="shared" si="134"/>
        <v>-19</v>
      </c>
      <c r="AF112" s="220">
        <f t="shared" si="134"/>
        <v>-475</v>
      </c>
      <c r="AG112" s="220">
        <f t="shared" si="134"/>
        <v>-577</v>
      </c>
      <c r="AH112" s="220">
        <f t="shared" si="134"/>
        <v>-512</v>
      </c>
      <c r="AI112" s="220">
        <f t="shared" si="134"/>
        <v>-191</v>
      </c>
      <c r="AJ112" s="50">
        <f t="shared" si="95"/>
        <v>1.0900000000000045</v>
      </c>
      <c r="AK112" s="257"/>
      <c r="AL112" s="257">
        <f t="shared" si="96"/>
        <v>1.2</v>
      </c>
      <c r="AM112" s="52"/>
      <c r="AN112" s="88"/>
    </row>
    <row r="113" spans="1:40" s="29" customFormat="1" ht="17.25" customHeight="1">
      <c r="A113" s="48">
        <v>103</v>
      </c>
      <c r="B113" s="49">
        <f t="shared" si="88"/>
        <v>45687</v>
      </c>
      <c r="C113" s="220">
        <f t="shared" si="89"/>
        <v>1049</v>
      </c>
      <c r="D113" s="220">
        <f t="shared" ref="D113" si="138">D112+26</f>
        <v>2346</v>
      </c>
      <c r="E113" s="220">
        <f t="shared" si="91"/>
        <v>3395</v>
      </c>
      <c r="F113" s="220">
        <f t="shared" si="83"/>
        <v>947</v>
      </c>
      <c r="G113" s="220">
        <f t="shared" si="84"/>
        <v>1153</v>
      </c>
      <c r="H113" s="220">
        <f t="shared" si="85"/>
        <v>1355</v>
      </c>
      <c r="I113" s="220">
        <f t="shared" si="86"/>
        <v>1275</v>
      </c>
      <c r="J113" s="220">
        <f t="shared" si="87"/>
        <v>1027</v>
      </c>
      <c r="K113" s="220">
        <f t="shared" si="69"/>
        <v>2448</v>
      </c>
      <c r="L113" s="220">
        <f t="shared" si="69"/>
        <v>2242</v>
      </c>
      <c r="M113" s="220">
        <f t="shared" si="69"/>
        <v>2040</v>
      </c>
      <c r="N113" s="220">
        <f t="shared" si="69"/>
        <v>2120</v>
      </c>
      <c r="O113" s="220">
        <f t="shared" si="69"/>
        <v>2368</v>
      </c>
      <c r="P113" s="220">
        <f t="shared" si="132"/>
        <v>2000</v>
      </c>
      <c r="Q113" s="220">
        <f t="shared" si="132"/>
        <v>2150</v>
      </c>
      <c r="R113" s="220">
        <f t="shared" si="132"/>
        <v>2150</v>
      </c>
      <c r="S113" s="220">
        <f t="shared" si="132"/>
        <v>2150</v>
      </c>
      <c r="T113" s="220">
        <f t="shared" si="132"/>
        <v>2000</v>
      </c>
      <c r="U113" s="220">
        <f t="shared" si="133"/>
        <v>448</v>
      </c>
      <c r="V113" s="220">
        <f t="shared" si="133"/>
        <v>92</v>
      </c>
      <c r="W113" s="220">
        <f t="shared" si="133"/>
        <v>-110</v>
      </c>
      <c r="X113" s="220">
        <f t="shared" si="133"/>
        <v>-30</v>
      </c>
      <c r="Y113" s="220">
        <f t="shared" si="133"/>
        <v>368</v>
      </c>
      <c r="Z113" s="220">
        <v>0</v>
      </c>
      <c r="AA113" s="220">
        <v>0</v>
      </c>
      <c r="AB113" s="220">
        <v>0</v>
      </c>
      <c r="AC113" s="220">
        <v>0</v>
      </c>
      <c r="AD113" s="220">
        <v>0</v>
      </c>
      <c r="AE113" s="220">
        <f t="shared" si="134"/>
        <v>-19</v>
      </c>
      <c r="AF113" s="220">
        <f t="shared" si="134"/>
        <v>-475</v>
      </c>
      <c r="AG113" s="220">
        <f t="shared" si="134"/>
        <v>-577</v>
      </c>
      <c r="AH113" s="220">
        <f t="shared" si="134"/>
        <v>-512</v>
      </c>
      <c r="AI113" s="220">
        <f t="shared" si="134"/>
        <v>-191</v>
      </c>
      <c r="AJ113" s="50">
        <f t="shared" si="95"/>
        <v>1.0900000000000045</v>
      </c>
      <c r="AK113" s="257"/>
      <c r="AL113" s="257">
        <f t="shared" si="96"/>
        <v>1.2</v>
      </c>
      <c r="AM113" s="52"/>
      <c r="AN113" s="88"/>
    </row>
    <row r="114" spans="1:40" s="29" customFormat="1" ht="17.25" customHeight="1">
      <c r="A114" s="48">
        <v>104</v>
      </c>
      <c r="B114" s="49">
        <f t="shared" si="88"/>
        <v>45688</v>
      </c>
      <c r="C114" s="220">
        <f t="shared" si="89"/>
        <v>1049</v>
      </c>
      <c r="D114" s="220">
        <f t="shared" ref="D114" si="139">D113+32</f>
        <v>2378</v>
      </c>
      <c r="E114" s="220">
        <f t="shared" si="91"/>
        <v>3427</v>
      </c>
      <c r="F114" s="220">
        <f t="shared" si="83"/>
        <v>980</v>
      </c>
      <c r="G114" s="220">
        <f t="shared" si="84"/>
        <v>1186</v>
      </c>
      <c r="H114" s="220">
        <f t="shared" si="85"/>
        <v>1391</v>
      </c>
      <c r="I114" s="220">
        <f t="shared" si="86"/>
        <v>1308</v>
      </c>
      <c r="J114" s="220">
        <f t="shared" si="87"/>
        <v>1059</v>
      </c>
      <c r="K114" s="220">
        <f t="shared" ref="K114:O164" si="140">P114+U114</f>
        <v>2447</v>
      </c>
      <c r="L114" s="220">
        <f t="shared" si="140"/>
        <v>2241</v>
      </c>
      <c r="M114" s="220">
        <f t="shared" si="140"/>
        <v>2036</v>
      </c>
      <c r="N114" s="220">
        <f t="shared" si="140"/>
        <v>2119</v>
      </c>
      <c r="O114" s="220">
        <f t="shared" si="140"/>
        <v>2368</v>
      </c>
      <c r="P114" s="220">
        <f t="shared" si="132"/>
        <v>2000</v>
      </c>
      <c r="Q114" s="220">
        <f t="shared" si="132"/>
        <v>2150</v>
      </c>
      <c r="R114" s="220">
        <f t="shared" si="132"/>
        <v>2150</v>
      </c>
      <c r="S114" s="220">
        <f t="shared" si="132"/>
        <v>2150</v>
      </c>
      <c r="T114" s="220">
        <f t="shared" si="132"/>
        <v>2000</v>
      </c>
      <c r="U114" s="220">
        <f t="shared" si="133"/>
        <v>447</v>
      </c>
      <c r="V114" s="220">
        <f t="shared" si="133"/>
        <v>91</v>
      </c>
      <c r="W114" s="220">
        <f t="shared" si="133"/>
        <v>-114</v>
      </c>
      <c r="X114" s="220">
        <f t="shared" si="133"/>
        <v>-31</v>
      </c>
      <c r="Y114" s="220">
        <f t="shared" si="133"/>
        <v>368</v>
      </c>
      <c r="Z114" s="220">
        <v>1</v>
      </c>
      <c r="AA114" s="220">
        <v>1</v>
      </c>
      <c r="AB114" s="220">
        <v>4</v>
      </c>
      <c r="AC114" s="220">
        <v>1</v>
      </c>
      <c r="AD114" s="220">
        <v>0</v>
      </c>
      <c r="AE114" s="220">
        <f t="shared" si="134"/>
        <v>-20</v>
      </c>
      <c r="AF114" s="220">
        <f t="shared" si="134"/>
        <v>-476</v>
      </c>
      <c r="AG114" s="220">
        <f t="shared" si="134"/>
        <v>-581</v>
      </c>
      <c r="AH114" s="220">
        <f t="shared" si="134"/>
        <v>-513</v>
      </c>
      <c r="AI114" s="220">
        <f t="shared" si="134"/>
        <v>-191</v>
      </c>
      <c r="AJ114" s="50">
        <f t="shared" si="95"/>
        <v>1.0860000000000045</v>
      </c>
      <c r="AK114" s="257"/>
      <c r="AL114" s="257">
        <f t="shared" si="96"/>
        <v>1.2</v>
      </c>
      <c r="AM114" s="52"/>
      <c r="AN114" s="88"/>
    </row>
    <row r="115" spans="1:40" s="29" customFormat="1" ht="17.25" customHeight="1">
      <c r="A115" s="48">
        <v>105</v>
      </c>
      <c r="B115" s="49">
        <f t="shared" si="88"/>
        <v>45689</v>
      </c>
      <c r="C115" s="220">
        <f t="shared" si="89"/>
        <v>1049</v>
      </c>
      <c r="D115" s="220">
        <f t="shared" ref="D115" si="141">D114-18</f>
        <v>2360</v>
      </c>
      <c r="E115" s="220">
        <f t="shared" si="91"/>
        <v>3409</v>
      </c>
      <c r="F115" s="220">
        <f t="shared" si="83"/>
        <v>962</v>
      </c>
      <c r="G115" s="220">
        <f t="shared" si="84"/>
        <v>1168</v>
      </c>
      <c r="H115" s="220">
        <f t="shared" si="85"/>
        <v>1373</v>
      </c>
      <c r="I115" s="220">
        <f t="shared" si="86"/>
        <v>1294</v>
      </c>
      <c r="J115" s="220">
        <f t="shared" si="87"/>
        <v>1041</v>
      </c>
      <c r="K115" s="220">
        <f t="shared" si="140"/>
        <v>2447</v>
      </c>
      <c r="L115" s="220">
        <f t="shared" si="140"/>
        <v>2241</v>
      </c>
      <c r="M115" s="220">
        <f t="shared" si="140"/>
        <v>2036</v>
      </c>
      <c r="N115" s="220">
        <f t="shared" si="140"/>
        <v>2115</v>
      </c>
      <c r="O115" s="220">
        <f t="shared" si="140"/>
        <v>2368</v>
      </c>
      <c r="P115" s="220">
        <f t="shared" si="132"/>
        <v>2000</v>
      </c>
      <c r="Q115" s="220">
        <f t="shared" si="132"/>
        <v>2150</v>
      </c>
      <c r="R115" s="220">
        <f t="shared" si="132"/>
        <v>2150</v>
      </c>
      <c r="S115" s="220">
        <f t="shared" si="132"/>
        <v>2150</v>
      </c>
      <c r="T115" s="220">
        <f t="shared" si="132"/>
        <v>2000</v>
      </c>
      <c r="U115" s="220">
        <f t="shared" si="133"/>
        <v>447</v>
      </c>
      <c r="V115" s="220">
        <f t="shared" si="133"/>
        <v>91</v>
      </c>
      <c r="W115" s="220">
        <f t="shared" si="133"/>
        <v>-114</v>
      </c>
      <c r="X115" s="220">
        <f t="shared" si="133"/>
        <v>-35</v>
      </c>
      <c r="Y115" s="220">
        <f t="shared" si="133"/>
        <v>368</v>
      </c>
      <c r="Z115" s="220">
        <v>0</v>
      </c>
      <c r="AA115" s="220">
        <v>0</v>
      </c>
      <c r="AB115" s="220">
        <v>0</v>
      </c>
      <c r="AC115" s="220">
        <v>4</v>
      </c>
      <c r="AD115" s="220">
        <v>0</v>
      </c>
      <c r="AE115" s="220">
        <f t="shared" si="134"/>
        <v>-20</v>
      </c>
      <c r="AF115" s="220">
        <f t="shared" si="134"/>
        <v>-476</v>
      </c>
      <c r="AG115" s="220">
        <f t="shared" si="134"/>
        <v>-581</v>
      </c>
      <c r="AH115" s="220">
        <f t="shared" si="134"/>
        <v>-517</v>
      </c>
      <c r="AI115" s="220">
        <f t="shared" si="134"/>
        <v>-191</v>
      </c>
      <c r="AJ115" s="50">
        <f t="shared" si="95"/>
        <v>1.0860000000000045</v>
      </c>
      <c r="AK115" s="257"/>
      <c r="AL115" s="257">
        <f t="shared" si="96"/>
        <v>1.2</v>
      </c>
      <c r="AM115" s="52"/>
      <c r="AN115" s="88"/>
    </row>
    <row r="116" spans="1:40" s="29" customFormat="1" ht="17.25" customHeight="1">
      <c r="A116" s="48">
        <v>106</v>
      </c>
      <c r="B116" s="49">
        <f t="shared" si="88"/>
        <v>45690</v>
      </c>
      <c r="C116" s="220">
        <f t="shared" si="89"/>
        <v>1049</v>
      </c>
      <c r="D116" s="220">
        <f t="shared" ref="D116" si="142">D115-26</f>
        <v>2334</v>
      </c>
      <c r="E116" s="220">
        <f t="shared" si="91"/>
        <v>3383</v>
      </c>
      <c r="F116" s="220">
        <f t="shared" si="83"/>
        <v>937</v>
      </c>
      <c r="G116" s="220">
        <f t="shared" si="84"/>
        <v>1143</v>
      </c>
      <c r="H116" s="220">
        <f t="shared" si="85"/>
        <v>1350</v>
      </c>
      <c r="I116" s="220">
        <f t="shared" si="86"/>
        <v>1269</v>
      </c>
      <c r="J116" s="220">
        <f t="shared" si="87"/>
        <v>1015</v>
      </c>
      <c r="K116" s="220">
        <f t="shared" si="140"/>
        <v>2446</v>
      </c>
      <c r="L116" s="220">
        <f t="shared" si="140"/>
        <v>2240</v>
      </c>
      <c r="M116" s="220">
        <f t="shared" si="140"/>
        <v>2033</v>
      </c>
      <c r="N116" s="220">
        <f t="shared" si="140"/>
        <v>2114</v>
      </c>
      <c r="O116" s="220">
        <f t="shared" si="140"/>
        <v>2368</v>
      </c>
      <c r="P116" s="220">
        <f t="shared" si="132"/>
        <v>2000</v>
      </c>
      <c r="Q116" s="220">
        <f t="shared" si="132"/>
        <v>2150</v>
      </c>
      <c r="R116" s="220">
        <f t="shared" si="132"/>
        <v>2150</v>
      </c>
      <c r="S116" s="220">
        <f t="shared" si="132"/>
        <v>2150</v>
      </c>
      <c r="T116" s="220">
        <f t="shared" si="132"/>
        <v>2000</v>
      </c>
      <c r="U116" s="220">
        <f t="shared" si="133"/>
        <v>446</v>
      </c>
      <c r="V116" s="220">
        <f t="shared" si="133"/>
        <v>90</v>
      </c>
      <c r="W116" s="220">
        <f t="shared" si="133"/>
        <v>-117</v>
      </c>
      <c r="X116" s="220">
        <f t="shared" si="133"/>
        <v>-36</v>
      </c>
      <c r="Y116" s="220">
        <f t="shared" si="133"/>
        <v>368</v>
      </c>
      <c r="Z116" s="220">
        <v>1</v>
      </c>
      <c r="AA116" s="220">
        <v>1</v>
      </c>
      <c r="AB116" s="220">
        <v>3</v>
      </c>
      <c r="AC116" s="220">
        <v>1</v>
      </c>
      <c r="AD116" s="220">
        <v>0</v>
      </c>
      <c r="AE116" s="220">
        <f t="shared" si="134"/>
        <v>-21</v>
      </c>
      <c r="AF116" s="220">
        <f t="shared" si="134"/>
        <v>-477</v>
      </c>
      <c r="AG116" s="220">
        <f t="shared" si="134"/>
        <v>-584</v>
      </c>
      <c r="AH116" s="220">
        <f t="shared" si="134"/>
        <v>-518</v>
      </c>
      <c r="AI116" s="220">
        <f t="shared" si="134"/>
        <v>-191</v>
      </c>
      <c r="AJ116" s="50">
        <f t="shared" si="95"/>
        <v>1.0830000000000046</v>
      </c>
      <c r="AK116" s="257"/>
      <c r="AL116" s="257">
        <f t="shared" si="96"/>
        <v>1.2</v>
      </c>
      <c r="AM116" s="52"/>
      <c r="AN116" s="88"/>
    </row>
    <row r="117" spans="1:40" s="29" customFormat="1" ht="17.25" customHeight="1">
      <c r="A117" s="48">
        <v>107</v>
      </c>
      <c r="B117" s="49">
        <f t="shared" si="88"/>
        <v>45691</v>
      </c>
      <c r="C117" s="220">
        <f t="shared" si="89"/>
        <v>1049</v>
      </c>
      <c r="D117" s="220">
        <f t="shared" ref="D117" si="143">D116+15</f>
        <v>2349</v>
      </c>
      <c r="E117" s="220">
        <f t="shared" si="91"/>
        <v>3398</v>
      </c>
      <c r="F117" s="220">
        <f t="shared" si="83"/>
        <v>952</v>
      </c>
      <c r="G117" s="220">
        <f t="shared" si="84"/>
        <v>1162</v>
      </c>
      <c r="H117" s="220">
        <f t="shared" si="85"/>
        <v>1368</v>
      </c>
      <c r="I117" s="220">
        <f t="shared" si="86"/>
        <v>1286</v>
      </c>
      <c r="J117" s="220">
        <f t="shared" si="87"/>
        <v>1031</v>
      </c>
      <c r="K117" s="220">
        <f t="shared" si="140"/>
        <v>2446</v>
      </c>
      <c r="L117" s="220">
        <f t="shared" si="140"/>
        <v>2236</v>
      </c>
      <c r="M117" s="220">
        <f t="shared" si="140"/>
        <v>2030</v>
      </c>
      <c r="N117" s="220">
        <f t="shared" si="140"/>
        <v>2112</v>
      </c>
      <c r="O117" s="220">
        <f t="shared" si="140"/>
        <v>2367</v>
      </c>
      <c r="P117" s="220">
        <f t="shared" si="132"/>
        <v>2000</v>
      </c>
      <c r="Q117" s="220">
        <f t="shared" si="132"/>
        <v>2150</v>
      </c>
      <c r="R117" s="220">
        <f t="shared" si="132"/>
        <v>2150</v>
      </c>
      <c r="S117" s="220">
        <f t="shared" si="132"/>
        <v>2150</v>
      </c>
      <c r="T117" s="220">
        <f t="shared" si="132"/>
        <v>2000</v>
      </c>
      <c r="U117" s="220">
        <f t="shared" si="133"/>
        <v>446</v>
      </c>
      <c r="V117" s="220">
        <f t="shared" si="133"/>
        <v>86</v>
      </c>
      <c r="W117" s="220">
        <f t="shared" si="133"/>
        <v>-120</v>
      </c>
      <c r="X117" s="220">
        <f t="shared" si="133"/>
        <v>-38</v>
      </c>
      <c r="Y117" s="220">
        <f t="shared" si="133"/>
        <v>367</v>
      </c>
      <c r="Z117" s="220">
        <v>0</v>
      </c>
      <c r="AA117" s="220">
        <v>4</v>
      </c>
      <c r="AB117" s="220">
        <v>3</v>
      </c>
      <c r="AC117" s="220">
        <v>2</v>
      </c>
      <c r="AD117" s="220">
        <v>1</v>
      </c>
      <c r="AE117" s="220">
        <f t="shared" si="134"/>
        <v>-21</v>
      </c>
      <c r="AF117" s="220">
        <f t="shared" si="134"/>
        <v>-481</v>
      </c>
      <c r="AG117" s="220">
        <f t="shared" si="134"/>
        <v>-587</v>
      </c>
      <c r="AH117" s="220">
        <f t="shared" si="134"/>
        <v>-520</v>
      </c>
      <c r="AI117" s="220">
        <f t="shared" si="134"/>
        <v>-192</v>
      </c>
      <c r="AJ117" s="50">
        <f t="shared" si="95"/>
        <v>1.0800000000000047</v>
      </c>
      <c r="AK117" s="257"/>
      <c r="AL117" s="257">
        <f t="shared" si="96"/>
        <v>1.2</v>
      </c>
      <c r="AM117" s="52"/>
      <c r="AN117" s="88"/>
    </row>
    <row r="118" spans="1:40" s="29" customFormat="1" ht="17.25" customHeight="1">
      <c r="A118" s="48">
        <v>108</v>
      </c>
      <c r="B118" s="49">
        <f t="shared" si="88"/>
        <v>45692</v>
      </c>
      <c r="C118" s="220">
        <f t="shared" si="89"/>
        <v>1049</v>
      </c>
      <c r="D118" s="220">
        <f t="shared" ref="D118" si="144">D117+26</f>
        <v>2375</v>
      </c>
      <c r="E118" s="220">
        <f t="shared" si="91"/>
        <v>3424</v>
      </c>
      <c r="F118" s="220">
        <f t="shared" si="83"/>
        <v>978</v>
      </c>
      <c r="G118" s="220">
        <f t="shared" si="84"/>
        <v>1188</v>
      </c>
      <c r="H118" s="220">
        <f t="shared" si="85"/>
        <v>1398</v>
      </c>
      <c r="I118" s="220">
        <f t="shared" si="86"/>
        <v>1312</v>
      </c>
      <c r="J118" s="220">
        <f t="shared" si="87"/>
        <v>1057</v>
      </c>
      <c r="K118" s="220">
        <f t="shared" si="140"/>
        <v>2446</v>
      </c>
      <c r="L118" s="220">
        <f t="shared" si="140"/>
        <v>2236</v>
      </c>
      <c r="M118" s="220">
        <f t="shared" si="140"/>
        <v>2026</v>
      </c>
      <c r="N118" s="220">
        <f t="shared" si="140"/>
        <v>2112</v>
      </c>
      <c r="O118" s="220">
        <f t="shared" si="140"/>
        <v>2367</v>
      </c>
      <c r="P118" s="220">
        <f t="shared" si="132"/>
        <v>2000</v>
      </c>
      <c r="Q118" s="220">
        <f t="shared" si="132"/>
        <v>2150</v>
      </c>
      <c r="R118" s="220">
        <f t="shared" si="132"/>
        <v>2150</v>
      </c>
      <c r="S118" s="220">
        <f t="shared" si="132"/>
        <v>2150</v>
      </c>
      <c r="T118" s="220">
        <f t="shared" si="132"/>
        <v>2000</v>
      </c>
      <c r="U118" s="220">
        <f t="shared" si="133"/>
        <v>446</v>
      </c>
      <c r="V118" s="220">
        <f t="shared" si="133"/>
        <v>86</v>
      </c>
      <c r="W118" s="220">
        <f t="shared" si="133"/>
        <v>-124</v>
      </c>
      <c r="X118" s="220">
        <f t="shared" si="133"/>
        <v>-38</v>
      </c>
      <c r="Y118" s="220">
        <f t="shared" si="133"/>
        <v>367</v>
      </c>
      <c r="Z118" s="220">
        <v>0</v>
      </c>
      <c r="AA118" s="220">
        <v>0</v>
      </c>
      <c r="AB118" s="220">
        <v>4</v>
      </c>
      <c r="AC118" s="220">
        <v>0</v>
      </c>
      <c r="AD118" s="220">
        <v>0</v>
      </c>
      <c r="AE118" s="220">
        <f t="shared" si="134"/>
        <v>-21</v>
      </c>
      <c r="AF118" s="220">
        <f t="shared" si="134"/>
        <v>-481</v>
      </c>
      <c r="AG118" s="220">
        <f t="shared" si="134"/>
        <v>-591</v>
      </c>
      <c r="AH118" s="220">
        <f t="shared" si="134"/>
        <v>-520</v>
      </c>
      <c r="AI118" s="220">
        <f t="shared" si="134"/>
        <v>-192</v>
      </c>
      <c r="AJ118" s="50">
        <f t="shared" si="95"/>
        <v>1.0760000000000047</v>
      </c>
      <c r="AK118" s="257"/>
      <c r="AL118" s="257">
        <f t="shared" si="96"/>
        <v>1.2</v>
      </c>
      <c r="AM118" s="52"/>
      <c r="AN118" s="88"/>
    </row>
    <row r="119" spans="1:40" s="29" customFormat="1" ht="17.25" customHeight="1">
      <c r="A119" s="48">
        <v>109</v>
      </c>
      <c r="B119" s="49">
        <f t="shared" si="88"/>
        <v>45693</v>
      </c>
      <c r="C119" s="220">
        <f t="shared" si="89"/>
        <v>1049</v>
      </c>
      <c r="D119" s="220">
        <f t="shared" ref="D119" si="145">D118+32</f>
        <v>2407</v>
      </c>
      <c r="E119" s="220">
        <f t="shared" si="91"/>
        <v>3456</v>
      </c>
      <c r="F119" s="220">
        <f t="shared" si="83"/>
        <v>1010</v>
      </c>
      <c r="G119" s="220">
        <f t="shared" si="84"/>
        <v>1224</v>
      </c>
      <c r="H119" s="220">
        <f t="shared" si="85"/>
        <v>1433</v>
      </c>
      <c r="I119" s="220">
        <f t="shared" si="86"/>
        <v>1346</v>
      </c>
      <c r="J119" s="220">
        <f t="shared" si="87"/>
        <v>1089</v>
      </c>
      <c r="K119" s="220">
        <f t="shared" si="140"/>
        <v>2446</v>
      </c>
      <c r="L119" s="220">
        <f t="shared" si="140"/>
        <v>2232</v>
      </c>
      <c r="M119" s="220">
        <f t="shared" si="140"/>
        <v>2023</v>
      </c>
      <c r="N119" s="220">
        <f t="shared" si="140"/>
        <v>2110</v>
      </c>
      <c r="O119" s="220">
        <f t="shared" si="140"/>
        <v>2367</v>
      </c>
      <c r="P119" s="220">
        <f t="shared" si="132"/>
        <v>2000</v>
      </c>
      <c r="Q119" s="220">
        <f t="shared" si="132"/>
        <v>2150</v>
      </c>
      <c r="R119" s="220">
        <f t="shared" si="132"/>
        <v>2150</v>
      </c>
      <c r="S119" s="220">
        <f t="shared" si="132"/>
        <v>2150</v>
      </c>
      <c r="T119" s="220">
        <f t="shared" si="132"/>
        <v>2000</v>
      </c>
      <c r="U119" s="220">
        <f t="shared" si="133"/>
        <v>446</v>
      </c>
      <c r="V119" s="220">
        <f t="shared" si="133"/>
        <v>82</v>
      </c>
      <c r="W119" s="220">
        <f t="shared" si="133"/>
        <v>-127</v>
      </c>
      <c r="X119" s="220">
        <f t="shared" si="133"/>
        <v>-40</v>
      </c>
      <c r="Y119" s="220">
        <f t="shared" si="133"/>
        <v>367</v>
      </c>
      <c r="Z119" s="220">
        <v>0</v>
      </c>
      <c r="AA119" s="220">
        <v>4</v>
      </c>
      <c r="AB119" s="220">
        <v>3</v>
      </c>
      <c r="AC119" s="220">
        <v>2</v>
      </c>
      <c r="AD119" s="220">
        <v>0</v>
      </c>
      <c r="AE119" s="220">
        <f t="shared" si="134"/>
        <v>-21</v>
      </c>
      <c r="AF119" s="220">
        <f t="shared" si="134"/>
        <v>-485</v>
      </c>
      <c r="AG119" s="220">
        <f t="shared" si="134"/>
        <v>-594</v>
      </c>
      <c r="AH119" s="220">
        <f t="shared" si="134"/>
        <v>-522</v>
      </c>
      <c r="AI119" s="220">
        <f t="shared" si="134"/>
        <v>-192</v>
      </c>
      <c r="AJ119" s="50">
        <f t="shared" si="95"/>
        <v>1.0730000000000048</v>
      </c>
      <c r="AK119" s="257"/>
      <c r="AL119" s="257">
        <f t="shared" si="96"/>
        <v>1.2</v>
      </c>
      <c r="AM119" s="52"/>
      <c r="AN119" s="88"/>
    </row>
    <row r="120" spans="1:40" s="29" customFormat="1" ht="17.25" customHeight="1">
      <c r="A120" s="48">
        <v>110</v>
      </c>
      <c r="B120" s="49">
        <f t="shared" si="88"/>
        <v>45694</v>
      </c>
      <c r="C120" s="220">
        <f t="shared" si="89"/>
        <v>1049</v>
      </c>
      <c r="D120" s="220">
        <f t="shared" ref="D120" si="146">D119-18</f>
        <v>2389</v>
      </c>
      <c r="E120" s="220">
        <f t="shared" si="91"/>
        <v>3438</v>
      </c>
      <c r="F120" s="220">
        <f t="shared" si="83"/>
        <v>993</v>
      </c>
      <c r="G120" s="220">
        <f t="shared" si="84"/>
        <v>1206</v>
      </c>
      <c r="H120" s="220">
        <f t="shared" si="85"/>
        <v>1415</v>
      </c>
      <c r="I120" s="220">
        <f t="shared" si="86"/>
        <v>1332</v>
      </c>
      <c r="J120" s="220">
        <f t="shared" si="87"/>
        <v>1072</v>
      </c>
      <c r="K120" s="220">
        <f t="shared" si="140"/>
        <v>2445</v>
      </c>
      <c r="L120" s="220">
        <f t="shared" si="140"/>
        <v>2232</v>
      </c>
      <c r="M120" s="220">
        <f t="shared" si="140"/>
        <v>2023</v>
      </c>
      <c r="N120" s="220">
        <f t="shared" si="140"/>
        <v>2106</v>
      </c>
      <c r="O120" s="220">
        <f t="shared" si="140"/>
        <v>2366</v>
      </c>
      <c r="P120" s="220">
        <f t="shared" si="132"/>
        <v>2000</v>
      </c>
      <c r="Q120" s="220">
        <f t="shared" si="132"/>
        <v>2150</v>
      </c>
      <c r="R120" s="220">
        <f t="shared" si="132"/>
        <v>2150</v>
      </c>
      <c r="S120" s="220">
        <f t="shared" si="132"/>
        <v>2150</v>
      </c>
      <c r="T120" s="220">
        <f t="shared" si="132"/>
        <v>2000</v>
      </c>
      <c r="U120" s="220">
        <f t="shared" si="133"/>
        <v>445</v>
      </c>
      <c r="V120" s="220">
        <f t="shared" si="133"/>
        <v>82</v>
      </c>
      <c r="W120" s="220">
        <f t="shared" si="133"/>
        <v>-127</v>
      </c>
      <c r="X120" s="220">
        <f t="shared" si="133"/>
        <v>-44</v>
      </c>
      <c r="Y120" s="220">
        <f t="shared" si="133"/>
        <v>366</v>
      </c>
      <c r="Z120" s="220">
        <v>1</v>
      </c>
      <c r="AA120" s="220">
        <v>0</v>
      </c>
      <c r="AB120" s="220">
        <v>0</v>
      </c>
      <c r="AC120" s="220">
        <v>4</v>
      </c>
      <c r="AD120" s="220">
        <v>1</v>
      </c>
      <c r="AE120" s="220">
        <f t="shared" si="134"/>
        <v>-22</v>
      </c>
      <c r="AF120" s="220">
        <f t="shared" si="134"/>
        <v>-485</v>
      </c>
      <c r="AG120" s="220">
        <f t="shared" si="134"/>
        <v>-594</v>
      </c>
      <c r="AH120" s="220">
        <f t="shared" si="134"/>
        <v>-526</v>
      </c>
      <c r="AI120" s="220">
        <f t="shared" si="134"/>
        <v>-193</v>
      </c>
      <c r="AJ120" s="50">
        <f t="shared" si="95"/>
        <v>1.0730000000000048</v>
      </c>
      <c r="AK120" s="257"/>
      <c r="AL120" s="257">
        <f t="shared" si="96"/>
        <v>1.2</v>
      </c>
      <c r="AM120" s="52"/>
      <c r="AN120" s="88"/>
    </row>
    <row r="121" spans="1:40" s="29" customFormat="1" ht="17.25" customHeight="1">
      <c r="A121" s="48">
        <v>111</v>
      </c>
      <c r="B121" s="49">
        <f t="shared" si="88"/>
        <v>45695</v>
      </c>
      <c r="C121" s="220">
        <f t="shared" si="89"/>
        <v>1049</v>
      </c>
      <c r="D121" s="220">
        <f t="shared" ref="D121" si="147">D120-26</f>
        <v>2363</v>
      </c>
      <c r="E121" s="220">
        <f t="shared" si="91"/>
        <v>3412</v>
      </c>
      <c r="F121" s="220">
        <f t="shared" si="83"/>
        <v>967</v>
      </c>
      <c r="G121" s="220">
        <f t="shared" si="84"/>
        <v>1180</v>
      </c>
      <c r="H121" s="220">
        <f t="shared" si="85"/>
        <v>1389</v>
      </c>
      <c r="I121" s="220">
        <f t="shared" si="86"/>
        <v>1306</v>
      </c>
      <c r="J121" s="220">
        <f t="shared" si="87"/>
        <v>1046</v>
      </c>
      <c r="K121" s="220">
        <f t="shared" si="140"/>
        <v>2445</v>
      </c>
      <c r="L121" s="220">
        <f t="shared" si="140"/>
        <v>2232</v>
      </c>
      <c r="M121" s="220">
        <f t="shared" si="140"/>
        <v>2023</v>
      </c>
      <c r="N121" s="220">
        <f t="shared" si="140"/>
        <v>2106</v>
      </c>
      <c r="O121" s="220">
        <f t="shared" si="140"/>
        <v>2366</v>
      </c>
      <c r="P121" s="220">
        <f t="shared" si="132"/>
        <v>2000</v>
      </c>
      <c r="Q121" s="220">
        <f t="shared" si="132"/>
        <v>2150</v>
      </c>
      <c r="R121" s="220">
        <f t="shared" si="132"/>
        <v>2150</v>
      </c>
      <c r="S121" s="220">
        <f t="shared" si="132"/>
        <v>2150</v>
      </c>
      <c r="T121" s="220">
        <f t="shared" si="132"/>
        <v>2000</v>
      </c>
      <c r="U121" s="220">
        <f t="shared" si="133"/>
        <v>445</v>
      </c>
      <c r="V121" s="220">
        <f t="shared" si="133"/>
        <v>82</v>
      </c>
      <c r="W121" s="220">
        <f t="shared" si="133"/>
        <v>-127</v>
      </c>
      <c r="X121" s="220">
        <f t="shared" si="133"/>
        <v>-44</v>
      </c>
      <c r="Y121" s="220">
        <f t="shared" si="133"/>
        <v>366</v>
      </c>
      <c r="Z121" s="220">
        <v>0</v>
      </c>
      <c r="AA121" s="220">
        <v>0</v>
      </c>
      <c r="AB121" s="220">
        <v>0</v>
      </c>
      <c r="AC121" s="220">
        <v>0</v>
      </c>
      <c r="AD121" s="220">
        <v>0</v>
      </c>
      <c r="AE121" s="220">
        <f t="shared" si="134"/>
        <v>-22</v>
      </c>
      <c r="AF121" s="220">
        <f t="shared" si="134"/>
        <v>-485</v>
      </c>
      <c r="AG121" s="220">
        <f t="shared" si="134"/>
        <v>-594</v>
      </c>
      <c r="AH121" s="220">
        <f t="shared" si="134"/>
        <v>-526</v>
      </c>
      <c r="AI121" s="220">
        <f t="shared" si="134"/>
        <v>-193</v>
      </c>
      <c r="AJ121" s="50">
        <f t="shared" si="95"/>
        <v>1.0730000000000048</v>
      </c>
      <c r="AK121" s="257"/>
      <c r="AL121" s="257">
        <f t="shared" si="96"/>
        <v>1.2</v>
      </c>
      <c r="AM121" s="52"/>
      <c r="AN121" s="88"/>
    </row>
    <row r="122" spans="1:40" s="29" customFormat="1" ht="17.25" customHeight="1">
      <c r="A122" s="48">
        <v>112</v>
      </c>
      <c r="B122" s="49">
        <f t="shared" si="88"/>
        <v>45696</v>
      </c>
      <c r="C122" s="220">
        <f t="shared" si="89"/>
        <v>1049</v>
      </c>
      <c r="D122" s="220">
        <f t="shared" ref="D122" si="148">D121+15</f>
        <v>2378</v>
      </c>
      <c r="E122" s="220">
        <f t="shared" si="91"/>
        <v>3427</v>
      </c>
      <c r="F122" s="220">
        <f t="shared" si="83"/>
        <v>983</v>
      </c>
      <c r="G122" s="220">
        <f t="shared" si="84"/>
        <v>1199</v>
      </c>
      <c r="H122" s="220">
        <f t="shared" si="85"/>
        <v>1406</v>
      </c>
      <c r="I122" s="220">
        <f t="shared" si="86"/>
        <v>1323</v>
      </c>
      <c r="J122" s="220">
        <f t="shared" si="87"/>
        <v>1061</v>
      </c>
      <c r="K122" s="220">
        <f t="shared" si="140"/>
        <v>2444</v>
      </c>
      <c r="L122" s="220">
        <f t="shared" si="140"/>
        <v>2228</v>
      </c>
      <c r="M122" s="220">
        <f t="shared" si="140"/>
        <v>2021</v>
      </c>
      <c r="N122" s="220">
        <f t="shared" si="140"/>
        <v>2104</v>
      </c>
      <c r="O122" s="220">
        <f t="shared" si="140"/>
        <v>2366</v>
      </c>
      <c r="P122" s="220">
        <f t="shared" si="132"/>
        <v>2000</v>
      </c>
      <c r="Q122" s="220">
        <f t="shared" si="132"/>
        <v>2150</v>
      </c>
      <c r="R122" s="220">
        <f t="shared" si="132"/>
        <v>2150</v>
      </c>
      <c r="S122" s="220">
        <f t="shared" si="132"/>
        <v>2150</v>
      </c>
      <c r="T122" s="220">
        <f t="shared" si="132"/>
        <v>2000</v>
      </c>
      <c r="U122" s="220">
        <f t="shared" si="133"/>
        <v>444</v>
      </c>
      <c r="V122" s="220">
        <f t="shared" si="133"/>
        <v>78</v>
      </c>
      <c r="W122" s="220">
        <f t="shared" si="133"/>
        <v>-129</v>
      </c>
      <c r="X122" s="220">
        <f t="shared" si="133"/>
        <v>-46</v>
      </c>
      <c r="Y122" s="220">
        <f t="shared" si="133"/>
        <v>366</v>
      </c>
      <c r="Z122" s="220">
        <v>1</v>
      </c>
      <c r="AA122" s="220">
        <v>4</v>
      </c>
      <c r="AB122" s="220">
        <v>2</v>
      </c>
      <c r="AC122" s="220">
        <v>2</v>
      </c>
      <c r="AD122" s="220">
        <v>0</v>
      </c>
      <c r="AE122" s="220">
        <f t="shared" si="134"/>
        <v>-23</v>
      </c>
      <c r="AF122" s="220">
        <f t="shared" si="134"/>
        <v>-489</v>
      </c>
      <c r="AG122" s="220">
        <f t="shared" si="134"/>
        <v>-596</v>
      </c>
      <c r="AH122" s="220">
        <f t="shared" si="134"/>
        <v>-528</v>
      </c>
      <c r="AI122" s="220">
        <f t="shared" si="134"/>
        <v>-193</v>
      </c>
      <c r="AJ122" s="50">
        <f t="shared" si="95"/>
        <v>1.0710000000000048</v>
      </c>
      <c r="AK122" s="257"/>
      <c r="AL122" s="257">
        <f t="shared" si="96"/>
        <v>1.2</v>
      </c>
      <c r="AM122" s="52"/>
      <c r="AN122" s="88"/>
    </row>
    <row r="123" spans="1:40" s="29" customFormat="1" ht="17.25" customHeight="1">
      <c r="A123" s="48">
        <v>113</v>
      </c>
      <c r="B123" s="49">
        <f t="shared" si="88"/>
        <v>45697</v>
      </c>
      <c r="C123" s="220">
        <f t="shared" si="89"/>
        <v>1049</v>
      </c>
      <c r="D123" s="220">
        <f t="shared" ref="D123" si="149">D122+26</f>
        <v>2404</v>
      </c>
      <c r="E123" s="220">
        <f t="shared" si="91"/>
        <v>3453</v>
      </c>
      <c r="F123" s="220">
        <f t="shared" si="83"/>
        <v>1009</v>
      </c>
      <c r="G123" s="220">
        <f t="shared" si="84"/>
        <v>1225</v>
      </c>
      <c r="H123" s="220">
        <f t="shared" si="85"/>
        <v>1432</v>
      </c>
      <c r="I123" s="220">
        <f t="shared" si="86"/>
        <v>1353</v>
      </c>
      <c r="J123" s="220">
        <f t="shared" si="87"/>
        <v>1087</v>
      </c>
      <c r="K123" s="220">
        <f t="shared" si="140"/>
        <v>2444</v>
      </c>
      <c r="L123" s="220">
        <f t="shared" si="140"/>
        <v>2228</v>
      </c>
      <c r="M123" s="220">
        <f t="shared" si="140"/>
        <v>2021</v>
      </c>
      <c r="N123" s="220">
        <f t="shared" si="140"/>
        <v>2100</v>
      </c>
      <c r="O123" s="220">
        <f t="shared" si="140"/>
        <v>2366</v>
      </c>
      <c r="P123" s="220">
        <f t="shared" si="132"/>
        <v>2000</v>
      </c>
      <c r="Q123" s="220">
        <f t="shared" si="132"/>
        <v>2150</v>
      </c>
      <c r="R123" s="220">
        <f t="shared" si="132"/>
        <v>2150</v>
      </c>
      <c r="S123" s="220">
        <f t="shared" si="132"/>
        <v>2150</v>
      </c>
      <c r="T123" s="220">
        <f t="shared" si="132"/>
        <v>2000</v>
      </c>
      <c r="U123" s="220">
        <f t="shared" si="133"/>
        <v>444</v>
      </c>
      <c r="V123" s="220">
        <f t="shared" si="133"/>
        <v>78</v>
      </c>
      <c r="W123" s="220">
        <f t="shared" si="133"/>
        <v>-129</v>
      </c>
      <c r="X123" s="220">
        <f t="shared" si="133"/>
        <v>-50</v>
      </c>
      <c r="Y123" s="220">
        <f t="shared" si="133"/>
        <v>366</v>
      </c>
      <c r="Z123" s="220">
        <v>0</v>
      </c>
      <c r="AA123" s="220">
        <v>0</v>
      </c>
      <c r="AB123" s="220">
        <v>0</v>
      </c>
      <c r="AC123" s="220">
        <v>4</v>
      </c>
      <c r="AD123" s="220">
        <v>0</v>
      </c>
      <c r="AE123" s="220">
        <f t="shared" si="134"/>
        <v>-23</v>
      </c>
      <c r="AF123" s="220">
        <f t="shared" si="134"/>
        <v>-489</v>
      </c>
      <c r="AG123" s="220">
        <f t="shared" si="134"/>
        <v>-596</v>
      </c>
      <c r="AH123" s="220">
        <f t="shared" si="134"/>
        <v>-532</v>
      </c>
      <c r="AI123" s="220">
        <f t="shared" si="134"/>
        <v>-193</v>
      </c>
      <c r="AJ123" s="50">
        <f t="shared" si="95"/>
        <v>1.0710000000000048</v>
      </c>
      <c r="AK123" s="257"/>
      <c r="AL123" s="257">
        <f t="shared" si="96"/>
        <v>1.2</v>
      </c>
      <c r="AM123" s="52"/>
      <c r="AN123" s="88"/>
    </row>
    <row r="124" spans="1:40" s="29" customFormat="1" ht="17.25" customHeight="1">
      <c r="A124" s="48">
        <v>114</v>
      </c>
      <c r="B124" s="49">
        <f t="shared" si="88"/>
        <v>45698</v>
      </c>
      <c r="C124" s="220">
        <f t="shared" si="89"/>
        <v>1049</v>
      </c>
      <c r="D124" s="220">
        <f t="shared" ref="D124" si="150">D123+32</f>
        <v>2436</v>
      </c>
      <c r="E124" s="220">
        <f t="shared" si="91"/>
        <v>3485</v>
      </c>
      <c r="F124" s="220">
        <f t="shared" si="83"/>
        <v>1042</v>
      </c>
      <c r="G124" s="220">
        <f t="shared" si="84"/>
        <v>1257</v>
      </c>
      <c r="H124" s="220">
        <f t="shared" si="85"/>
        <v>1464</v>
      </c>
      <c r="I124" s="220">
        <f t="shared" si="86"/>
        <v>1385</v>
      </c>
      <c r="J124" s="220">
        <f t="shared" si="87"/>
        <v>1120</v>
      </c>
      <c r="K124" s="220">
        <f t="shared" si="140"/>
        <v>2443</v>
      </c>
      <c r="L124" s="220">
        <f t="shared" si="140"/>
        <v>2228</v>
      </c>
      <c r="M124" s="220">
        <f t="shared" si="140"/>
        <v>2021</v>
      </c>
      <c r="N124" s="220">
        <f t="shared" si="140"/>
        <v>2100</v>
      </c>
      <c r="O124" s="220">
        <f t="shared" si="140"/>
        <v>2365</v>
      </c>
      <c r="P124" s="220">
        <f t="shared" si="132"/>
        <v>2000</v>
      </c>
      <c r="Q124" s="220">
        <f t="shared" si="132"/>
        <v>2150</v>
      </c>
      <c r="R124" s="220">
        <f t="shared" si="132"/>
        <v>2150</v>
      </c>
      <c r="S124" s="220">
        <f t="shared" si="132"/>
        <v>2150</v>
      </c>
      <c r="T124" s="220">
        <f t="shared" si="132"/>
        <v>2000</v>
      </c>
      <c r="U124" s="220">
        <f t="shared" si="133"/>
        <v>443</v>
      </c>
      <c r="V124" s="220">
        <f t="shared" si="133"/>
        <v>78</v>
      </c>
      <c r="W124" s="220">
        <f t="shared" si="133"/>
        <v>-129</v>
      </c>
      <c r="X124" s="220">
        <f t="shared" si="133"/>
        <v>-50</v>
      </c>
      <c r="Y124" s="220">
        <f t="shared" si="133"/>
        <v>365</v>
      </c>
      <c r="Z124" s="220">
        <v>1</v>
      </c>
      <c r="AA124" s="220">
        <v>0</v>
      </c>
      <c r="AB124" s="220">
        <v>0</v>
      </c>
      <c r="AC124" s="220">
        <v>0</v>
      </c>
      <c r="AD124" s="220">
        <v>1</v>
      </c>
      <c r="AE124" s="220">
        <f t="shared" si="134"/>
        <v>-24</v>
      </c>
      <c r="AF124" s="220">
        <f t="shared" si="134"/>
        <v>-489</v>
      </c>
      <c r="AG124" s="220">
        <f t="shared" si="134"/>
        <v>-596</v>
      </c>
      <c r="AH124" s="220">
        <f t="shared" si="134"/>
        <v>-532</v>
      </c>
      <c r="AI124" s="220">
        <f t="shared" si="134"/>
        <v>-194</v>
      </c>
      <c r="AJ124" s="50">
        <f t="shared" si="95"/>
        <v>1.0710000000000048</v>
      </c>
      <c r="AK124" s="257"/>
      <c r="AL124" s="257">
        <f t="shared" si="96"/>
        <v>1.2</v>
      </c>
      <c r="AM124" s="52"/>
      <c r="AN124" s="88"/>
    </row>
    <row r="125" spans="1:40" s="29" customFormat="1" ht="17.25" customHeight="1">
      <c r="A125" s="48">
        <v>115</v>
      </c>
      <c r="B125" s="49">
        <f t="shared" si="88"/>
        <v>45699</v>
      </c>
      <c r="C125" s="220">
        <f t="shared" si="89"/>
        <v>1049</v>
      </c>
      <c r="D125" s="220">
        <f t="shared" ref="D125" si="151">D124-18</f>
        <v>2418</v>
      </c>
      <c r="E125" s="220">
        <f t="shared" si="91"/>
        <v>3467</v>
      </c>
      <c r="F125" s="220">
        <f t="shared" si="83"/>
        <v>1025</v>
      </c>
      <c r="G125" s="220">
        <f t="shared" si="84"/>
        <v>1243</v>
      </c>
      <c r="H125" s="220">
        <f t="shared" si="85"/>
        <v>1450</v>
      </c>
      <c r="I125" s="220">
        <f t="shared" si="86"/>
        <v>1371</v>
      </c>
      <c r="J125" s="220">
        <f t="shared" si="87"/>
        <v>1103</v>
      </c>
      <c r="K125" s="220">
        <f t="shared" si="140"/>
        <v>2442</v>
      </c>
      <c r="L125" s="220">
        <f t="shared" si="140"/>
        <v>2224</v>
      </c>
      <c r="M125" s="220">
        <f t="shared" si="140"/>
        <v>2017</v>
      </c>
      <c r="N125" s="220">
        <f t="shared" si="140"/>
        <v>2096</v>
      </c>
      <c r="O125" s="220">
        <f t="shared" si="140"/>
        <v>2364</v>
      </c>
      <c r="P125" s="220">
        <f t="shared" ref="P125:T140" si="152">+P124</f>
        <v>2000</v>
      </c>
      <c r="Q125" s="220">
        <f t="shared" si="152"/>
        <v>2150</v>
      </c>
      <c r="R125" s="220">
        <f t="shared" si="152"/>
        <v>2150</v>
      </c>
      <c r="S125" s="220">
        <f t="shared" si="152"/>
        <v>2150</v>
      </c>
      <c r="T125" s="220">
        <f t="shared" si="152"/>
        <v>2000</v>
      </c>
      <c r="U125" s="220">
        <f t="shared" ref="U125:Y140" si="153">U124-Z125</f>
        <v>442</v>
      </c>
      <c r="V125" s="220">
        <f t="shared" si="153"/>
        <v>74</v>
      </c>
      <c r="W125" s="220">
        <f t="shared" si="153"/>
        <v>-133</v>
      </c>
      <c r="X125" s="220">
        <f t="shared" si="153"/>
        <v>-54</v>
      </c>
      <c r="Y125" s="220">
        <f t="shared" si="153"/>
        <v>364</v>
      </c>
      <c r="Z125" s="220">
        <v>1</v>
      </c>
      <c r="AA125" s="220">
        <v>4</v>
      </c>
      <c r="AB125" s="220">
        <v>4</v>
      </c>
      <c r="AC125" s="220">
        <v>4</v>
      </c>
      <c r="AD125" s="220">
        <v>1</v>
      </c>
      <c r="AE125" s="220">
        <f t="shared" ref="AE125:AI140" si="154">AE124-Z125</f>
        <v>-25</v>
      </c>
      <c r="AF125" s="220">
        <f t="shared" si="154"/>
        <v>-493</v>
      </c>
      <c r="AG125" s="220">
        <f t="shared" si="154"/>
        <v>-600</v>
      </c>
      <c r="AH125" s="220">
        <f t="shared" si="154"/>
        <v>-536</v>
      </c>
      <c r="AI125" s="220">
        <f t="shared" si="154"/>
        <v>-195</v>
      </c>
      <c r="AJ125" s="50">
        <f t="shared" si="95"/>
        <v>1.0670000000000048</v>
      </c>
      <c r="AK125" s="257"/>
      <c r="AL125" s="257">
        <f t="shared" si="96"/>
        <v>1.2</v>
      </c>
      <c r="AM125" s="52"/>
      <c r="AN125" s="88"/>
    </row>
    <row r="126" spans="1:40" s="29" customFormat="1" ht="17.25" customHeight="1">
      <c r="A126" s="48">
        <v>116</v>
      </c>
      <c r="B126" s="49">
        <f t="shared" si="88"/>
        <v>45700</v>
      </c>
      <c r="C126" s="220">
        <f t="shared" si="89"/>
        <v>1049</v>
      </c>
      <c r="D126" s="220">
        <f t="shared" ref="D126" si="155">D125-26</f>
        <v>2392</v>
      </c>
      <c r="E126" s="220">
        <f t="shared" si="91"/>
        <v>3441</v>
      </c>
      <c r="F126" s="220">
        <f t="shared" si="83"/>
        <v>999</v>
      </c>
      <c r="G126" s="220">
        <f t="shared" si="84"/>
        <v>1217</v>
      </c>
      <c r="H126" s="220">
        <f t="shared" si="85"/>
        <v>1424</v>
      </c>
      <c r="I126" s="220">
        <f t="shared" si="86"/>
        <v>1345</v>
      </c>
      <c r="J126" s="220">
        <f t="shared" si="87"/>
        <v>1077</v>
      </c>
      <c r="K126" s="220">
        <f t="shared" si="140"/>
        <v>2442</v>
      </c>
      <c r="L126" s="220">
        <f t="shared" si="140"/>
        <v>2224</v>
      </c>
      <c r="M126" s="220">
        <f t="shared" si="140"/>
        <v>2017</v>
      </c>
      <c r="N126" s="220">
        <f t="shared" si="140"/>
        <v>2096</v>
      </c>
      <c r="O126" s="220">
        <f t="shared" si="140"/>
        <v>2364</v>
      </c>
      <c r="P126" s="220">
        <f t="shared" si="152"/>
        <v>2000</v>
      </c>
      <c r="Q126" s="220">
        <f t="shared" si="152"/>
        <v>2150</v>
      </c>
      <c r="R126" s="220">
        <f t="shared" si="152"/>
        <v>2150</v>
      </c>
      <c r="S126" s="220">
        <f t="shared" si="152"/>
        <v>2150</v>
      </c>
      <c r="T126" s="220">
        <f t="shared" si="152"/>
        <v>2000</v>
      </c>
      <c r="U126" s="220">
        <f t="shared" si="153"/>
        <v>442</v>
      </c>
      <c r="V126" s="220">
        <f t="shared" si="153"/>
        <v>74</v>
      </c>
      <c r="W126" s="220">
        <f t="shared" si="153"/>
        <v>-133</v>
      </c>
      <c r="X126" s="220">
        <f t="shared" si="153"/>
        <v>-54</v>
      </c>
      <c r="Y126" s="220">
        <f t="shared" si="153"/>
        <v>364</v>
      </c>
      <c r="Z126" s="220">
        <v>0</v>
      </c>
      <c r="AA126" s="220">
        <v>0</v>
      </c>
      <c r="AB126" s="220">
        <v>0</v>
      </c>
      <c r="AC126" s="220">
        <v>0</v>
      </c>
      <c r="AD126" s="220">
        <v>0</v>
      </c>
      <c r="AE126" s="220">
        <f t="shared" si="154"/>
        <v>-25</v>
      </c>
      <c r="AF126" s="220">
        <f t="shared" si="154"/>
        <v>-493</v>
      </c>
      <c r="AG126" s="220">
        <f t="shared" si="154"/>
        <v>-600</v>
      </c>
      <c r="AH126" s="220">
        <f t="shared" si="154"/>
        <v>-536</v>
      </c>
      <c r="AI126" s="220">
        <f t="shared" si="154"/>
        <v>-195</v>
      </c>
      <c r="AJ126" s="50">
        <f t="shared" si="95"/>
        <v>1.0670000000000048</v>
      </c>
      <c r="AK126" s="257"/>
      <c r="AL126" s="257">
        <f t="shared" si="96"/>
        <v>1.2</v>
      </c>
      <c r="AM126" s="52"/>
      <c r="AN126" s="88"/>
    </row>
    <row r="127" spans="1:40" s="29" customFormat="1" ht="17.25" customHeight="1">
      <c r="A127" s="48">
        <v>117</v>
      </c>
      <c r="B127" s="49">
        <f t="shared" si="88"/>
        <v>45701</v>
      </c>
      <c r="C127" s="220">
        <f t="shared" si="89"/>
        <v>1049</v>
      </c>
      <c r="D127" s="220">
        <f t="shared" ref="D127" si="156">D126+15</f>
        <v>2407</v>
      </c>
      <c r="E127" s="220">
        <f t="shared" si="91"/>
        <v>3456</v>
      </c>
      <c r="F127" s="220">
        <f t="shared" si="83"/>
        <v>1015</v>
      </c>
      <c r="G127" s="220">
        <f t="shared" si="84"/>
        <v>1232</v>
      </c>
      <c r="H127" s="220">
        <f t="shared" si="85"/>
        <v>1443</v>
      </c>
      <c r="I127" s="220">
        <f t="shared" si="86"/>
        <v>1360</v>
      </c>
      <c r="J127" s="220">
        <f t="shared" si="87"/>
        <v>1092</v>
      </c>
      <c r="K127" s="220">
        <f t="shared" si="140"/>
        <v>2441</v>
      </c>
      <c r="L127" s="220">
        <f t="shared" si="140"/>
        <v>2224</v>
      </c>
      <c r="M127" s="220">
        <f t="shared" si="140"/>
        <v>2013</v>
      </c>
      <c r="N127" s="220">
        <f t="shared" si="140"/>
        <v>2096</v>
      </c>
      <c r="O127" s="220">
        <f t="shared" si="140"/>
        <v>2364</v>
      </c>
      <c r="P127" s="220">
        <f t="shared" si="152"/>
        <v>2000</v>
      </c>
      <c r="Q127" s="220">
        <f t="shared" si="152"/>
        <v>2150</v>
      </c>
      <c r="R127" s="220">
        <f t="shared" si="152"/>
        <v>2150</v>
      </c>
      <c r="S127" s="220">
        <f t="shared" si="152"/>
        <v>2150</v>
      </c>
      <c r="T127" s="220">
        <f t="shared" si="152"/>
        <v>2000</v>
      </c>
      <c r="U127" s="220">
        <f t="shared" si="153"/>
        <v>441</v>
      </c>
      <c r="V127" s="220">
        <f t="shared" si="153"/>
        <v>74</v>
      </c>
      <c r="W127" s="220">
        <f t="shared" si="153"/>
        <v>-137</v>
      </c>
      <c r="X127" s="220">
        <f t="shared" si="153"/>
        <v>-54</v>
      </c>
      <c r="Y127" s="220">
        <f t="shared" si="153"/>
        <v>364</v>
      </c>
      <c r="Z127" s="220">
        <v>1</v>
      </c>
      <c r="AA127" s="220">
        <v>0</v>
      </c>
      <c r="AB127" s="220">
        <v>4</v>
      </c>
      <c r="AC127" s="220">
        <v>0</v>
      </c>
      <c r="AD127" s="220">
        <v>0</v>
      </c>
      <c r="AE127" s="220">
        <f t="shared" si="154"/>
        <v>-26</v>
      </c>
      <c r="AF127" s="220">
        <f t="shared" si="154"/>
        <v>-493</v>
      </c>
      <c r="AG127" s="220">
        <f t="shared" si="154"/>
        <v>-604</v>
      </c>
      <c r="AH127" s="220">
        <f t="shared" si="154"/>
        <v>-536</v>
      </c>
      <c r="AI127" s="220">
        <f t="shared" si="154"/>
        <v>-195</v>
      </c>
      <c r="AJ127" s="50">
        <f t="shared" si="95"/>
        <v>1.0630000000000048</v>
      </c>
      <c r="AK127" s="257"/>
      <c r="AL127" s="257">
        <f t="shared" si="96"/>
        <v>1.2</v>
      </c>
      <c r="AM127" s="52"/>
      <c r="AN127" s="88"/>
    </row>
    <row r="128" spans="1:40" s="29" customFormat="1" ht="17.25" customHeight="1">
      <c r="A128" s="48">
        <v>118</v>
      </c>
      <c r="B128" s="49">
        <f t="shared" si="88"/>
        <v>45702</v>
      </c>
      <c r="C128" s="220">
        <f t="shared" si="89"/>
        <v>1049</v>
      </c>
      <c r="D128" s="220">
        <f t="shared" ref="D128" si="157">D127+26</f>
        <v>2433</v>
      </c>
      <c r="E128" s="220">
        <f t="shared" si="91"/>
        <v>3482</v>
      </c>
      <c r="F128" s="220">
        <f t="shared" si="83"/>
        <v>1042</v>
      </c>
      <c r="G128" s="220">
        <f t="shared" si="84"/>
        <v>1261</v>
      </c>
      <c r="H128" s="220">
        <f t="shared" si="85"/>
        <v>1472</v>
      </c>
      <c r="I128" s="220">
        <f t="shared" si="86"/>
        <v>1389</v>
      </c>
      <c r="J128" s="220">
        <f t="shared" si="87"/>
        <v>1119</v>
      </c>
      <c r="K128" s="220">
        <f t="shared" si="140"/>
        <v>2440</v>
      </c>
      <c r="L128" s="220">
        <f t="shared" si="140"/>
        <v>2221</v>
      </c>
      <c r="M128" s="220">
        <f t="shared" si="140"/>
        <v>2010</v>
      </c>
      <c r="N128" s="220">
        <f t="shared" si="140"/>
        <v>2093</v>
      </c>
      <c r="O128" s="220">
        <f t="shared" si="140"/>
        <v>2363</v>
      </c>
      <c r="P128" s="220">
        <f t="shared" si="152"/>
        <v>2000</v>
      </c>
      <c r="Q128" s="220">
        <f t="shared" si="152"/>
        <v>2150</v>
      </c>
      <c r="R128" s="220">
        <f t="shared" si="152"/>
        <v>2150</v>
      </c>
      <c r="S128" s="220">
        <f t="shared" si="152"/>
        <v>2150</v>
      </c>
      <c r="T128" s="220">
        <f t="shared" si="152"/>
        <v>2000</v>
      </c>
      <c r="U128" s="220">
        <f t="shared" si="153"/>
        <v>440</v>
      </c>
      <c r="V128" s="220">
        <f t="shared" si="153"/>
        <v>71</v>
      </c>
      <c r="W128" s="220">
        <f t="shared" si="153"/>
        <v>-140</v>
      </c>
      <c r="X128" s="220">
        <f t="shared" si="153"/>
        <v>-57</v>
      </c>
      <c r="Y128" s="220">
        <f t="shared" si="153"/>
        <v>363</v>
      </c>
      <c r="Z128" s="220">
        <v>1</v>
      </c>
      <c r="AA128" s="220">
        <v>3</v>
      </c>
      <c r="AB128" s="220">
        <v>3</v>
      </c>
      <c r="AC128" s="220">
        <v>3</v>
      </c>
      <c r="AD128" s="220">
        <v>1</v>
      </c>
      <c r="AE128" s="220">
        <f t="shared" si="154"/>
        <v>-27</v>
      </c>
      <c r="AF128" s="220">
        <f t="shared" si="154"/>
        <v>-496</v>
      </c>
      <c r="AG128" s="220">
        <f t="shared" si="154"/>
        <v>-607</v>
      </c>
      <c r="AH128" s="220">
        <f t="shared" si="154"/>
        <v>-539</v>
      </c>
      <c r="AI128" s="220">
        <f t="shared" si="154"/>
        <v>-196</v>
      </c>
      <c r="AJ128" s="50">
        <f t="shared" si="95"/>
        <v>1.0600000000000049</v>
      </c>
      <c r="AK128" s="257"/>
      <c r="AL128" s="257">
        <f t="shared" si="96"/>
        <v>1.2</v>
      </c>
      <c r="AM128" s="52"/>
      <c r="AN128" s="88"/>
    </row>
    <row r="129" spans="1:40" s="29" customFormat="1" ht="17.25" customHeight="1">
      <c r="A129" s="48">
        <v>119</v>
      </c>
      <c r="B129" s="49">
        <f t="shared" si="88"/>
        <v>45703</v>
      </c>
      <c r="C129" s="220">
        <f t="shared" si="89"/>
        <v>1049</v>
      </c>
      <c r="D129" s="220">
        <f t="shared" ref="D129" si="158">D128+32</f>
        <v>2465</v>
      </c>
      <c r="E129" s="220">
        <f t="shared" si="91"/>
        <v>3514</v>
      </c>
      <c r="F129" s="220">
        <f t="shared" si="83"/>
        <v>1074</v>
      </c>
      <c r="G129" s="220">
        <f t="shared" si="84"/>
        <v>1293</v>
      </c>
      <c r="H129" s="220">
        <f t="shared" si="85"/>
        <v>1507</v>
      </c>
      <c r="I129" s="220">
        <f t="shared" si="86"/>
        <v>1421</v>
      </c>
      <c r="J129" s="220">
        <f t="shared" si="87"/>
        <v>1152</v>
      </c>
      <c r="K129" s="220">
        <f t="shared" si="140"/>
        <v>2440</v>
      </c>
      <c r="L129" s="220">
        <f t="shared" si="140"/>
        <v>2221</v>
      </c>
      <c r="M129" s="220">
        <f t="shared" si="140"/>
        <v>2007</v>
      </c>
      <c r="N129" s="220">
        <f t="shared" si="140"/>
        <v>2093</v>
      </c>
      <c r="O129" s="220">
        <f t="shared" si="140"/>
        <v>2362</v>
      </c>
      <c r="P129" s="220">
        <f t="shared" si="152"/>
        <v>2000</v>
      </c>
      <c r="Q129" s="220">
        <f t="shared" si="152"/>
        <v>2150</v>
      </c>
      <c r="R129" s="220">
        <f t="shared" si="152"/>
        <v>2150</v>
      </c>
      <c r="S129" s="220">
        <f t="shared" si="152"/>
        <v>2150</v>
      </c>
      <c r="T129" s="220">
        <f t="shared" si="152"/>
        <v>2000</v>
      </c>
      <c r="U129" s="220">
        <f t="shared" si="153"/>
        <v>440</v>
      </c>
      <c r="V129" s="220">
        <f t="shared" si="153"/>
        <v>71</v>
      </c>
      <c r="W129" s="220">
        <f t="shared" si="153"/>
        <v>-143</v>
      </c>
      <c r="X129" s="220">
        <f t="shared" si="153"/>
        <v>-57</v>
      </c>
      <c r="Y129" s="220">
        <f t="shared" si="153"/>
        <v>362</v>
      </c>
      <c r="Z129" s="220">
        <v>0</v>
      </c>
      <c r="AA129" s="220">
        <v>0</v>
      </c>
      <c r="AB129" s="220">
        <v>3</v>
      </c>
      <c r="AC129" s="220">
        <v>0</v>
      </c>
      <c r="AD129" s="220">
        <v>1</v>
      </c>
      <c r="AE129" s="220">
        <f t="shared" si="154"/>
        <v>-27</v>
      </c>
      <c r="AF129" s="220">
        <f t="shared" si="154"/>
        <v>-496</v>
      </c>
      <c r="AG129" s="220">
        <f t="shared" si="154"/>
        <v>-610</v>
      </c>
      <c r="AH129" s="220">
        <f t="shared" si="154"/>
        <v>-539</v>
      </c>
      <c r="AI129" s="220">
        <f t="shared" si="154"/>
        <v>-197</v>
      </c>
      <c r="AJ129" s="50">
        <f t="shared" si="95"/>
        <v>1.057000000000005</v>
      </c>
      <c r="AK129" s="257"/>
      <c r="AL129" s="257">
        <f t="shared" si="96"/>
        <v>1.2</v>
      </c>
      <c r="AM129" s="52"/>
      <c r="AN129" s="88"/>
    </row>
    <row r="130" spans="1:40" s="29" customFormat="1" ht="17.25" customHeight="1">
      <c r="A130" s="48">
        <v>120</v>
      </c>
      <c r="B130" s="49">
        <f t="shared" si="88"/>
        <v>45704</v>
      </c>
      <c r="C130" s="220">
        <f t="shared" si="89"/>
        <v>1049</v>
      </c>
      <c r="D130" s="220">
        <f t="shared" ref="D130" si="159">D129-18</f>
        <v>2447</v>
      </c>
      <c r="E130" s="220">
        <f t="shared" si="91"/>
        <v>3496</v>
      </c>
      <c r="F130" s="220">
        <f t="shared" si="83"/>
        <v>1057</v>
      </c>
      <c r="G130" s="220">
        <f t="shared" si="84"/>
        <v>1275</v>
      </c>
      <c r="H130" s="220">
        <f t="shared" si="85"/>
        <v>1490</v>
      </c>
      <c r="I130" s="220">
        <f t="shared" si="86"/>
        <v>1406</v>
      </c>
      <c r="J130" s="220">
        <f t="shared" si="87"/>
        <v>1134</v>
      </c>
      <c r="K130" s="220">
        <f t="shared" si="140"/>
        <v>2439</v>
      </c>
      <c r="L130" s="220">
        <f t="shared" si="140"/>
        <v>2221</v>
      </c>
      <c r="M130" s="220">
        <f t="shared" si="140"/>
        <v>2006</v>
      </c>
      <c r="N130" s="220">
        <f t="shared" si="140"/>
        <v>2090</v>
      </c>
      <c r="O130" s="220">
        <f t="shared" si="140"/>
        <v>2362</v>
      </c>
      <c r="P130" s="220">
        <f t="shared" si="152"/>
        <v>2000</v>
      </c>
      <c r="Q130" s="220">
        <f t="shared" si="152"/>
        <v>2150</v>
      </c>
      <c r="R130" s="220">
        <f t="shared" si="152"/>
        <v>2150</v>
      </c>
      <c r="S130" s="220">
        <f t="shared" si="152"/>
        <v>2150</v>
      </c>
      <c r="T130" s="220">
        <f t="shared" si="152"/>
        <v>2000</v>
      </c>
      <c r="U130" s="220">
        <f t="shared" si="153"/>
        <v>439</v>
      </c>
      <c r="V130" s="220">
        <f t="shared" si="153"/>
        <v>71</v>
      </c>
      <c r="W130" s="220">
        <f t="shared" si="153"/>
        <v>-144</v>
      </c>
      <c r="X130" s="220">
        <f t="shared" si="153"/>
        <v>-60</v>
      </c>
      <c r="Y130" s="220">
        <f t="shared" si="153"/>
        <v>362</v>
      </c>
      <c r="Z130" s="220">
        <v>1</v>
      </c>
      <c r="AA130" s="220">
        <v>0</v>
      </c>
      <c r="AB130" s="220">
        <v>1</v>
      </c>
      <c r="AC130" s="220">
        <v>3</v>
      </c>
      <c r="AD130" s="220">
        <v>0</v>
      </c>
      <c r="AE130" s="220">
        <f t="shared" si="154"/>
        <v>-28</v>
      </c>
      <c r="AF130" s="220">
        <f t="shared" si="154"/>
        <v>-496</v>
      </c>
      <c r="AG130" s="220">
        <f t="shared" si="154"/>
        <v>-611</v>
      </c>
      <c r="AH130" s="220">
        <f t="shared" si="154"/>
        <v>-542</v>
      </c>
      <c r="AI130" s="220">
        <f t="shared" si="154"/>
        <v>-197</v>
      </c>
      <c r="AJ130" s="50">
        <f t="shared" si="95"/>
        <v>1.0560000000000052</v>
      </c>
      <c r="AK130" s="257"/>
      <c r="AL130" s="257">
        <f t="shared" si="96"/>
        <v>1.2</v>
      </c>
      <c r="AM130" s="52"/>
      <c r="AN130" s="88"/>
    </row>
    <row r="131" spans="1:40" s="29" customFormat="1" ht="17.25" customHeight="1">
      <c r="A131" s="48">
        <v>121</v>
      </c>
      <c r="B131" s="49">
        <f t="shared" si="88"/>
        <v>45705</v>
      </c>
      <c r="C131" s="220">
        <f t="shared" si="89"/>
        <v>1049</v>
      </c>
      <c r="D131" s="220">
        <f t="shared" ref="D131" si="160">D130-26</f>
        <v>2421</v>
      </c>
      <c r="E131" s="220">
        <f t="shared" si="91"/>
        <v>3470</v>
      </c>
      <c r="F131" s="220">
        <f t="shared" si="83"/>
        <v>1031</v>
      </c>
      <c r="G131" s="220">
        <f t="shared" si="84"/>
        <v>1253</v>
      </c>
      <c r="H131" s="220">
        <f t="shared" si="85"/>
        <v>1464</v>
      </c>
      <c r="I131" s="220">
        <f t="shared" si="86"/>
        <v>1384</v>
      </c>
      <c r="J131" s="220">
        <f t="shared" si="87"/>
        <v>1108</v>
      </c>
      <c r="K131" s="220">
        <f t="shared" si="140"/>
        <v>2439</v>
      </c>
      <c r="L131" s="220">
        <f t="shared" si="140"/>
        <v>2217</v>
      </c>
      <c r="M131" s="220">
        <f t="shared" si="140"/>
        <v>2006</v>
      </c>
      <c r="N131" s="220">
        <f t="shared" si="140"/>
        <v>2086</v>
      </c>
      <c r="O131" s="220">
        <f t="shared" si="140"/>
        <v>2362</v>
      </c>
      <c r="P131" s="220">
        <f t="shared" si="152"/>
        <v>2000</v>
      </c>
      <c r="Q131" s="220">
        <f t="shared" si="152"/>
        <v>2150</v>
      </c>
      <c r="R131" s="220">
        <f t="shared" si="152"/>
        <v>2150</v>
      </c>
      <c r="S131" s="220">
        <f t="shared" si="152"/>
        <v>2150</v>
      </c>
      <c r="T131" s="220">
        <f t="shared" si="152"/>
        <v>2000</v>
      </c>
      <c r="U131" s="220">
        <f t="shared" si="153"/>
        <v>439</v>
      </c>
      <c r="V131" s="220">
        <f t="shared" si="153"/>
        <v>67</v>
      </c>
      <c r="W131" s="220">
        <f t="shared" si="153"/>
        <v>-144</v>
      </c>
      <c r="X131" s="220">
        <f t="shared" si="153"/>
        <v>-64</v>
      </c>
      <c r="Y131" s="220">
        <f t="shared" si="153"/>
        <v>362</v>
      </c>
      <c r="Z131" s="220">
        <v>0</v>
      </c>
      <c r="AA131" s="220">
        <v>4</v>
      </c>
      <c r="AB131" s="220">
        <v>0</v>
      </c>
      <c r="AC131" s="220">
        <v>4</v>
      </c>
      <c r="AD131" s="220">
        <v>0</v>
      </c>
      <c r="AE131" s="220">
        <f t="shared" si="154"/>
        <v>-28</v>
      </c>
      <c r="AF131" s="220">
        <f t="shared" si="154"/>
        <v>-500</v>
      </c>
      <c r="AG131" s="220">
        <f t="shared" si="154"/>
        <v>-611</v>
      </c>
      <c r="AH131" s="220">
        <f t="shared" si="154"/>
        <v>-546</v>
      </c>
      <c r="AI131" s="220">
        <f t="shared" si="154"/>
        <v>-197</v>
      </c>
      <c r="AJ131" s="50">
        <f t="shared" si="95"/>
        <v>1.0560000000000052</v>
      </c>
      <c r="AK131" s="257"/>
      <c r="AL131" s="257">
        <f t="shared" si="96"/>
        <v>1.2</v>
      </c>
      <c r="AM131" s="52"/>
      <c r="AN131" s="88"/>
    </row>
    <row r="132" spans="1:40" s="29" customFormat="1" ht="17.25" customHeight="1">
      <c r="A132" s="48">
        <v>122</v>
      </c>
      <c r="B132" s="49">
        <f t="shared" si="88"/>
        <v>45706</v>
      </c>
      <c r="C132" s="220">
        <f t="shared" si="89"/>
        <v>1049</v>
      </c>
      <c r="D132" s="220">
        <f t="shared" ref="D132" si="161">D131+15</f>
        <v>2436</v>
      </c>
      <c r="E132" s="220">
        <f t="shared" si="91"/>
        <v>3485</v>
      </c>
      <c r="F132" s="220">
        <f t="shared" si="83"/>
        <v>1046</v>
      </c>
      <c r="G132" s="220">
        <f t="shared" si="84"/>
        <v>1268</v>
      </c>
      <c r="H132" s="220">
        <f t="shared" si="85"/>
        <v>1483</v>
      </c>
      <c r="I132" s="220">
        <f t="shared" si="86"/>
        <v>1403</v>
      </c>
      <c r="J132" s="220">
        <f t="shared" si="87"/>
        <v>1123</v>
      </c>
      <c r="K132" s="220">
        <f t="shared" si="140"/>
        <v>2439</v>
      </c>
      <c r="L132" s="220">
        <f t="shared" si="140"/>
        <v>2217</v>
      </c>
      <c r="M132" s="220">
        <f t="shared" si="140"/>
        <v>2002</v>
      </c>
      <c r="N132" s="220">
        <f t="shared" si="140"/>
        <v>2082</v>
      </c>
      <c r="O132" s="220">
        <f t="shared" si="140"/>
        <v>2362</v>
      </c>
      <c r="P132" s="220">
        <f t="shared" si="152"/>
        <v>2000</v>
      </c>
      <c r="Q132" s="220">
        <f t="shared" si="152"/>
        <v>2150</v>
      </c>
      <c r="R132" s="220">
        <f t="shared" si="152"/>
        <v>2150</v>
      </c>
      <c r="S132" s="220">
        <f t="shared" si="152"/>
        <v>2150</v>
      </c>
      <c r="T132" s="220">
        <f t="shared" si="152"/>
        <v>2000</v>
      </c>
      <c r="U132" s="220">
        <f t="shared" si="153"/>
        <v>439</v>
      </c>
      <c r="V132" s="220">
        <f t="shared" si="153"/>
        <v>67</v>
      </c>
      <c r="W132" s="220">
        <f t="shared" si="153"/>
        <v>-148</v>
      </c>
      <c r="X132" s="220">
        <f t="shared" si="153"/>
        <v>-68</v>
      </c>
      <c r="Y132" s="220">
        <f t="shared" si="153"/>
        <v>362</v>
      </c>
      <c r="Z132" s="220">
        <v>0</v>
      </c>
      <c r="AA132" s="220">
        <v>0</v>
      </c>
      <c r="AB132" s="220">
        <v>4</v>
      </c>
      <c r="AC132" s="220">
        <v>4</v>
      </c>
      <c r="AD132" s="220">
        <v>0</v>
      </c>
      <c r="AE132" s="220">
        <f t="shared" si="154"/>
        <v>-28</v>
      </c>
      <c r="AF132" s="220">
        <f t="shared" si="154"/>
        <v>-500</v>
      </c>
      <c r="AG132" s="220">
        <f t="shared" si="154"/>
        <v>-615</v>
      </c>
      <c r="AH132" s="220">
        <f t="shared" si="154"/>
        <v>-550</v>
      </c>
      <c r="AI132" s="220">
        <f t="shared" si="154"/>
        <v>-197</v>
      </c>
      <c r="AJ132" s="50">
        <f t="shared" si="95"/>
        <v>1.0520000000000052</v>
      </c>
      <c r="AK132" s="257"/>
      <c r="AL132" s="257">
        <f t="shared" si="96"/>
        <v>1.2</v>
      </c>
      <c r="AM132" s="52"/>
      <c r="AN132" s="88"/>
    </row>
    <row r="133" spans="1:40" s="29" customFormat="1" ht="17.25" customHeight="1">
      <c r="A133" s="48">
        <v>123</v>
      </c>
      <c r="B133" s="49">
        <f t="shared" si="88"/>
        <v>45707</v>
      </c>
      <c r="C133" s="220">
        <f t="shared" si="89"/>
        <v>1049</v>
      </c>
      <c r="D133" s="220">
        <f t="shared" ref="D133" si="162">D132+26</f>
        <v>2462</v>
      </c>
      <c r="E133" s="220">
        <f t="shared" si="91"/>
        <v>3511</v>
      </c>
      <c r="F133" s="220">
        <f t="shared" si="83"/>
        <v>1073</v>
      </c>
      <c r="G133" s="220">
        <f t="shared" si="84"/>
        <v>1298</v>
      </c>
      <c r="H133" s="220">
        <f t="shared" si="85"/>
        <v>1511</v>
      </c>
      <c r="I133" s="220">
        <f t="shared" si="86"/>
        <v>1433</v>
      </c>
      <c r="J133" s="220">
        <f t="shared" si="87"/>
        <v>1149</v>
      </c>
      <c r="K133" s="220">
        <f t="shared" si="140"/>
        <v>2438</v>
      </c>
      <c r="L133" s="220">
        <f t="shared" si="140"/>
        <v>2213</v>
      </c>
      <c r="M133" s="220">
        <f t="shared" si="140"/>
        <v>2000</v>
      </c>
      <c r="N133" s="220">
        <f t="shared" si="140"/>
        <v>2078</v>
      </c>
      <c r="O133" s="220">
        <f t="shared" si="140"/>
        <v>2362</v>
      </c>
      <c r="P133" s="220">
        <f t="shared" si="152"/>
        <v>2000</v>
      </c>
      <c r="Q133" s="220">
        <f t="shared" si="152"/>
        <v>2150</v>
      </c>
      <c r="R133" s="220">
        <f t="shared" si="152"/>
        <v>2150</v>
      </c>
      <c r="S133" s="220">
        <f t="shared" si="152"/>
        <v>2150</v>
      </c>
      <c r="T133" s="220">
        <f t="shared" si="152"/>
        <v>2000</v>
      </c>
      <c r="U133" s="220">
        <f t="shared" si="153"/>
        <v>438</v>
      </c>
      <c r="V133" s="220">
        <f t="shared" si="153"/>
        <v>63</v>
      </c>
      <c r="W133" s="220">
        <f t="shared" si="153"/>
        <v>-150</v>
      </c>
      <c r="X133" s="220">
        <f t="shared" si="153"/>
        <v>-72</v>
      </c>
      <c r="Y133" s="220">
        <f t="shared" si="153"/>
        <v>362</v>
      </c>
      <c r="Z133" s="220">
        <v>1</v>
      </c>
      <c r="AA133" s="220">
        <v>4</v>
      </c>
      <c r="AB133" s="220">
        <v>2</v>
      </c>
      <c r="AC133" s="220">
        <v>4</v>
      </c>
      <c r="AD133" s="220">
        <v>0</v>
      </c>
      <c r="AE133" s="220">
        <f t="shared" si="154"/>
        <v>-29</v>
      </c>
      <c r="AF133" s="220">
        <f t="shared" si="154"/>
        <v>-504</v>
      </c>
      <c r="AG133" s="220">
        <f t="shared" si="154"/>
        <v>-617</v>
      </c>
      <c r="AH133" s="220">
        <f t="shared" si="154"/>
        <v>-554</v>
      </c>
      <c r="AI133" s="220">
        <f t="shared" si="154"/>
        <v>-197</v>
      </c>
      <c r="AJ133" s="50">
        <f t="shared" si="95"/>
        <v>1.0500000000000052</v>
      </c>
      <c r="AK133" s="257"/>
      <c r="AL133" s="257">
        <f t="shared" si="96"/>
        <v>1.2</v>
      </c>
      <c r="AM133" s="52"/>
      <c r="AN133" s="88"/>
    </row>
    <row r="134" spans="1:40" s="29" customFormat="1" ht="17.25" customHeight="1">
      <c r="A134" s="48">
        <v>124</v>
      </c>
      <c r="B134" s="49">
        <f t="shared" si="88"/>
        <v>45708</v>
      </c>
      <c r="C134" s="220">
        <f t="shared" si="89"/>
        <v>1049</v>
      </c>
      <c r="D134" s="220">
        <f t="shared" ref="D134" si="163">D133+32</f>
        <v>2494</v>
      </c>
      <c r="E134" s="220">
        <f t="shared" si="91"/>
        <v>3543</v>
      </c>
      <c r="F134" s="220">
        <f t="shared" si="83"/>
        <v>1105</v>
      </c>
      <c r="G134" s="220">
        <f t="shared" si="84"/>
        <v>1330</v>
      </c>
      <c r="H134" s="220">
        <f t="shared" si="85"/>
        <v>1543</v>
      </c>
      <c r="I134" s="220">
        <f t="shared" si="86"/>
        <v>1469</v>
      </c>
      <c r="J134" s="220">
        <f t="shared" si="87"/>
        <v>1182</v>
      </c>
      <c r="K134" s="220">
        <f t="shared" si="140"/>
        <v>2438</v>
      </c>
      <c r="L134" s="220">
        <f t="shared" si="140"/>
        <v>2213</v>
      </c>
      <c r="M134" s="220">
        <f t="shared" si="140"/>
        <v>2000</v>
      </c>
      <c r="N134" s="220">
        <f t="shared" si="140"/>
        <v>2074</v>
      </c>
      <c r="O134" s="220">
        <f t="shared" si="140"/>
        <v>2361</v>
      </c>
      <c r="P134" s="220">
        <f t="shared" si="152"/>
        <v>2000</v>
      </c>
      <c r="Q134" s="220">
        <f t="shared" si="152"/>
        <v>2150</v>
      </c>
      <c r="R134" s="220">
        <f t="shared" si="152"/>
        <v>2150</v>
      </c>
      <c r="S134" s="220">
        <f t="shared" si="152"/>
        <v>2150</v>
      </c>
      <c r="T134" s="220">
        <f t="shared" si="152"/>
        <v>2000</v>
      </c>
      <c r="U134" s="220">
        <f t="shared" si="153"/>
        <v>438</v>
      </c>
      <c r="V134" s="220">
        <f t="shared" si="153"/>
        <v>63</v>
      </c>
      <c r="W134" s="220">
        <f t="shared" si="153"/>
        <v>-150</v>
      </c>
      <c r="X134" s="220">
        <f t="shared" si="153"/>
        <v>-76</v>
      </c>
      <c r="Y134" s="220">
        <f t="shared" si="153"/>
        <v>361</v>
      </c>
      <c r="Z134" s="220">
        <v>0</v>
      </c>
      <c r="AA134" s="220">
        <v>0</v>
      </c>
      <c r="AB134" s="220">
        <v>0</v>
      </c>
      <c r="AC134" s="220">
        <v>4</v>
      </c>
      <c r="AD134" s="220">
        <v>1</v>
      </c>
      <c r="AE134" s="220">
        <f t="shared" si="154"/>
        <v>-29</v>
      </c>
      <c r="AF134" s="220">
        <f t="shared" si="154"/>
        <v>-504</v>
      </c>
      <c r="AG134" s="220">
        <f t="shared" si="154"/>
        <v>-617</v>
      </c>
      <c r="AH134" s="220">
        <f t="shared" si="154"/>
        <v>-558</v>
      </c>
      <c r="AI134" s="220">
        <f t="shared" si="154"/>
        <v>-198</v>
      </c>
      <c r="AJ134" s="50">
        <f t="shared" si="95"/>
        <v>1.0500000000000052</v>
      </c>
      <c r="AK134" s="257"/>
      <c r="AL134" s="257">
        <f t="shared" si="96"/>
        <v>1.2</v>
      </c>
      <c r="AM134" s="52"/>
      <c r="AN134" s="88"/>
    </row>
    <row r="135" spans="1:40" s="29" customFormat="1" ht="17.25" customHeight="1">
      <c r="A135" s="48">
        <v>125</v>
      </c>
      <c r="B135" s="49">
        <f t="shared" si="88"/>
        <v>45709</v>
      </c>
      <c r="C135" s="220">
        <f t="shared" si="89"/>
        <v>1049</v>
      </c>
      <c r="D135" s="220">
        <f t="shared" ref="D135" si="164">D134-18</f>
        <v>2476</v>
      </c>
      <c r="E135" s="220">
        <f t="shared" si="91"/>
        <v>3525</v>
      </c>
      <c r="F135" s="220">
        <f t="shared" si="83"/>
        <v>1087</v>
      </c>
      <c r="G135" s="220">
        <f t="shared" si="84"/>
        <v>1312</v>
      </c>
      <c r="H135" s="220">
        <f t="shared" si="85"/>
        <v>1528</v>
      </c>
      <c r="I135" s="220">
        <f t="shared" si="86"/>
        <v>1451</v>
      </c>
      <c r="J135" s="220">
        <f t="shared" si="87"/>
        <v>1164</v>
      </c>
      <c r="K135" s="220">
        <f t="shared" si="140"/>
        <v>2438</v>
      </c>
      <c r="L135" s="220">
        <f t="shared" si="140"/>
        <v>2213</v>
      </c>
      <c r="M135" s="220">
        <f t="shared" si="140"/>
        <v>1997</v>
      </c>
      <c r="N135" s="220">
        <f t="shared" si="140"/>
        <v>2074</v>
      </c>
      <c r="O135" s="220">
        <f t="shared" si="140"/>
        <v>2361</v>
      </c>
      <c r="P135" s="220">
        <f t="shared" si="152"/>
        <v>2000</v>
      </c>
      <c r="Q135" s="220">
        <f t="shared" si="152"/>
        <v>2150</v>
      </c>
      <c r="R135" s="220">
        <f t="shared" si="152"/>
        <v>2150</v>
      </c>
      <c r="S135" s="220">
        <f t="shared" si="152"/>
        <v>2150</v>
      </c>
      <c r="T135" s="220">
        <f t="shared" si="152"/>
        <v>2000</v>
      </c>
      <c r="U135" s="220">
        <f t="shared" si="153"/>
        <v>438</v>
      </c>
      <c r="V135" s="220">
        <f t="shared" si="153"/>
        <v>63</v>
      </c>
      <c r="W135" s="220">
        <f t="shared" si="153"/>
        <v>-153</v>
      </c>
      <c r="X135" s="220">
        <f t="shared" si="153"/>
        <v>-76</v>
      </c>
      <c r="Y135" s="220">
        <f t="shared" si="153"/>
        <v>361</v>
      </c>
      <c r="Z135" s="220">
        <v>0</v>
      </c>
      <c r="AA135" s="220">
        <v>0</v>
      </c>
      <c r="AB135" s="220">
        <v>3</v>
      </c>
      <c r="AC135" s="220">
        <v>0</v>
      </c>
      <c r="AD135" s="220">
        <v>0</v>
      </c>
      <c r="AE135" s="220">
        <f t="shared" si="154"/>
        <v>-29</v>
      </c>
      <c r="AF135" s="220">
        <f t="shared" si="154"/>
        <v>-504</v>
      </c>
      <c r="AG135" s="220">
        <f t="shared" si="154"/>
        <v>-620</v>
      </c>
      <c r="AH135" s="220">
        <f t="shared" si="154"/>
        <v>-558</v>
      </c>
      <c r="AI135" s="220">
        <f t="shared" si="154"/>
        <v>-198</v>
      </c>
      <c r="AJ135" s="50">
        <f t="shared" si="95"/>
        <v>1.0470000000000053</v>
      </c>
      <c r="AK135" s="257"/>
      <c r="AL135" s="257">
        <f t="shared" si="96"/>
        <v>1.2</v>
      </c>
      <c r="AM135" s="52"/>
      <c r="AN135" s="88"/>
    </row>
    <row r="136" spans="1:40" s="29" customFormat="1" ht="17.25" customHeight="1">
      <c r="A136" s="48">
        <v>126</v>
      </c>
      <c r="B136" s="49">
        <f t="shared" si="88"/>
        <v>45710</v>
      </c>
      <c r="C136" s="220">
        <f t="shared" si="89"/>
        <v>1049</v>
      </c>
      <c r="D136" s="220">
        <f t="shared" ref="D136" si="165">D135-26</f>
        <v>2450</v>
      </c>
      <c r="E136" s="220">
        <f t="shared" si="91"/>
        <v>3499</v>
      </c>
      <c r="F136" s="220">
        <f t="shared" si="83"/>
        <v>1062</v>
      </c>
      <c r="G136" s="220">
        <f t="shared" si="84"/>
        <v>1287</v>
      </c>
      <c r="H136" s="220">
        <f t="shared" si="85"/>
        <v>1506</v>
      </c>
      <c r="I136" s="220">
        <f t="shared" si="86"/>
        <v>1429</v>
      </c>
      <c r="J136" s="220">
        <f t="shared" si="87"/>
        <v>1138</v>
      </c>
      <c r="K136" s="220">
        <f t="shared" si="140"/>
        <v>2437</v>
      </c>
      <c r="L136" s="220">
        <f t="shared" si="140"/>
        <v>2212</v>
      </c>
      <c r="M136" s="220">
        <f t="shared" si="140"/>
        <v>1993</v>
      </c>
      <c r="N136" s="220">
        <f t="shared" si="140"/>
        <v>2070</v>
      </c>
      <c r="O136" s="220">
        <f t="shared" si="140"/>
        <v>2361</v>
      </c>
      <c r="P136" s="220">
        <f t="shared" si="152"/>
        <v>2000</v>
      </c>
      <c r="Q136" s="220">
        <f t="shared" si="152"/>
        <v>2150</v>
      </c>
      <c r="R136" s="220">
        <f t="shared" si="152"/>
        <v>2150</v>
      </c>
      <c r="S136" s="220">
        <f t="shared" si="152"/>
        <v>2150</v>
      </c>
      <c r="T136" s="220">
        <f t="shared" si="152"/>
        <v>2000</v>
      </c>
      <c r="U136" s="220">
        <f t="shared" si="153"/>
        <v>437</v>
      </c>
      <c r="V136" s="220">
        <f t="shared" si="153"/>
        <v>62</v>
      </c>
      <c r="W136" s="220">
        <f t="shared" si="153"/>
        <v>-157</v>
      </c>
      <c r="X136" s="220">
        <f t="shared" si="153"/>
        <v>-80</v>
      </c>
      <c r="Y136" s="220">
        <f t="shared" si="153"/>
        <v>361</v>
      </c>
      <c r="Z136" s="220">
        <v>1</v>
      </c>
      <c r="AA136" s="220">
        <v>1</v>
      </c>
      <c r="AB136" s="220">
        <v>4</v>
      </c>
      <c r="AC136" s="220">
        <v>4</v>
      </c>
      <c r="AD136" s="220">
        <v>0</v>
      </c>
      <c r="AE136" s="220">
        <f t="shared" si="154"/>
        <v>-30</v>
      </c>
      <c r="AF136" s="220">
        <f t="shared" si="154"/>
        <v>-505</v>
      </c>
      <c r="AG136" s="220">
        <f t="shared" si="154"/>
        <v>-624</v>
      </c>
      <c r="AH136" s="220">
        <f t="shared" si="154"/>
        <v>-562</v>
      </c>
      <c r="AI136" s="220">
        <f t="shared" si="154"/>
        <v>-198</v>
      </c>
      <c r="AJ136" s="50">
        <f t="shared" si="95"/>
        <v>1.0430000000000053</v>
      </c>
      <c r="AK136" s="257"/>
      <c r="AL136" s="257">
        <f t="shared" si="96"/>
        <v>1.2</v>
      </c>
      <c r="AM136" s="52"/>
      <c r="AN136" s="88"/>
    </row>
    <row r="137" spans="1:40" s="29" customFormat="1" ht="17.25" customHeight="1">
      <c r="A137" s="48">
        <v>127</v>
      </c>
      <c r="B137" s="49">
        <f t="shared" si="88"/>
        <v>45711</v>
      </c>
      <c r="C137" s="220">
        <f t="shared" si="89"/>
        <v>1049</v>
      </c>
      <c r="D137" s="220">
        <f t="shared" ref="D137" si="166">D136+15</f>
        <v>2465</v>
      </c>
      <c r="E137" s="220">
        <f t="shared" si="91"/>
        <v>3514</v>
      </c>
      <c r="F137" s="220">
        <f t="shared" si="83"/>
        <v>1077</v>
      </c>
      <c r="G137" s="220">
        <f t="shared" si="84"/>
        <v>1303</v>
      </c>
      <c r="H137" s="220">
        <f t="shared" si="85"/>
        <v>1521</v>
      </c>
      <c r="I137" s="220">
        <f t="shared" si="86"/>
        <v>1444</v>
      </c>
      <c r="J137" s="220">
        <f t="shared" si="87"/>
        <v>1153</v>
      </c>
      <c r="K137" s="220">
        <f t="shared" si="140"/>
        <v>2437</v>
      </c>
      <c r="L137" s="220">
        <f t="shared" si="140"/>
        <v>2211</v>
      </c>
      <c r="M137" s="220">
        <f t="shared" si="140"/>
        <v>1993</v>
      </c>
      <c r="N137" s="220">
        <f t="shared" si="140"/>
        <v>2070</v>
      </c>
      <c r="O137" s="220">
        <f t="shared" si="140"/>
        <v>2361</v>
      </c>
      <c r="P137" s="220">
        <f t="shared" si="152"/>
        <v>2000</v>
      </c>
      <c r="Q137" s="220">
        <f t="shared" si="152"/>
        <v>2150</v>
      </c>
      <c r="R137" s="220">
        <f t="shared" si="152"/>
        <v>2150</v>
      </c>
      <c r="S137" s="220">
        <f t="shared" si="152"/>
        <v>2150</v>
      </c>
      <c r="T137" s="220">
        <f t="shared" si="152"/>
        <v>2000</v>
      </c>
      <c r="U137" s="220">
        <f t="shared" si="153"/>
        <v>437</v>
      </c>
      <c r="V137" s="220">
        <f t="shared" si="153"/>
        <v>61</v>
      </c>
      <c r="W137" s="220">
        <f t="shared" si="153"/>
        <v>-157</v>
      </c>
      <c r="X137" s="220">
        <f t="shared" si="153"/>
        <v>-80</v>
      </c>
      <c r="Y137" s="220">
        <f t="shared" si="153"/>
        <v>361</v>
      </c>
      <c r="Z137" s="220">
        <v>0</v>
      </c>
      <c r="AA137" s="220">
        <v>1</v>
      </c>
      <c r="AB137" s="220">
        <v>0</v>
      </c>
      <c r="AC137" s="220">
        <v>0</v>
      </c>
      <c r="AD137" s="220">
        <v>0</v>
      </c>
      <c r="AE137" s="220">
        <f t="shared" si="154"/>
        <v>-30</v>
      </c>
      <c r="AF137" s="220">
        <f t="shared" si="154"/>
        <v>-506</v>
      </c>
      <c r="AG137" s="220">
        <f t="shared" si="154"/>
        <v>-624</v>
      </c>
      <c r="AH137" s="220">
        <f t="shared" si="154"/>
        <v>-562</v>
      </c>
      <c r="AI137" s="220">
        <f t="shared" si="154"/>
        <v>-198</v>
      </c>
      <c r="AJ137" s="50">
        <f t="shared" si="95"/>
        <v>1.0430000000000053</v>
      </c>
      <c r="AK137" s="257"/>
      <c r="AL137" s="257">
        <f t="shared" si="96"/>
        <v>1.2</v>
      </c>
      <c r="AM137" s="52"/>
      <c r="AN137" s="88"/>
    </row>
    <row r="138" spans="1:40" s="29" customFormat="1" ht="17.25" customHeight="1">
      <c r="A138" s="48">
        <v>128</v>
      </c>
      <c r="B138" s="49">
        <f t="shared" si="88"/>
        <v>45712</v>
      </c>
      <c r="C138" s="220">
        <f t="shared" si="89"/>
        <v>1049</v>
      </c>
      <c r="D138" s="220">
        <f t="shared" ref="D138" si="167">D137+26</f>
        <v>2491</v>
      </c>
      <c r="E138" s="220">
        <f t="shared" si="91"/>
        <v>3540</v>
      </c>
      <c r="F138" s="220">
        <f t="shared" si="83"/>
        <v>1104</v>
      </c>
      <c r="G138" s="220">
        <f t="shared" si="84"/>
        <v>1329</v>
      </c>
      <c r="H138" s="220">
        <f t="shared" si="85"/>
        <v>1551</v>
      </c>
      <c r="I138" s="220">
        <f t="shared" si="86"/>
        <v>1473</v>
      </c>
      <c r="J138" s="220">
        <f t="shared" si="87"/>
        <v>1180</v>
      </c>
      <c r="K138" s="220">
        <f t="shared" si="140"/>
        <v>2436</v>
      </c>
      <c r="L138" s="220">
        <f t="shared" si="140"/>
        <v>2211</v>
      </c>
      <c r="M138" s="220">
        <f t="shared" si="140"/>
        <v>1989</v>
      </c>
      <c r="N138" s="220">
        <f t="shared" si="140"/>
        <v>2067</v>
      </c>
      <c r="O138" s="220">
        <f t="shared" si="140"/>
        <v>2360</v>
      </c>
      <c r="P138" s="220">
        <f t="shared" si="152"/>
        <v>2000</v>
      </c>
      <c r="Q138" s="220">
        <f t="shared" si="152"/>
        <v>2150</v>
      </c>
      <c r="R138" s="220">
        <f t="shared" si="152"/>
        <v>2150</v>
      </c>
      <c r="S138" s="220">
        <f t="shared" si="152"/>
        <v>2150</v>
      </c>
      <c r="T138" s="220">
        <f t="shared" si="152"/>
        <v>2000</v>
      </c>
      <c r="U138" s="220">
        <f t="shared" si="153"/>
        <v>436</v>
      </c>
      <c r="V138" s="220">
        <f t="shared" si="153"/>
        <v>61</v>
      </c>
      <c r="W138" s="220">
        <f t="shared" si="153"/>
        <v>-161</v>
      </c>
      <c r="X138" s="220">
        <f t="shared" si="153"/>
        <v>-83</v>
      </c>
      <c r="Y138" s="220">
        <f t="shared" si="153"/>
        <v>360</v>
      </c>
      <c r="Z138" s="220">
        <v>1</v>
      </c>
      <c r="AA138" s="220">
        <v>0</v>
      </c>
      <c r="AB138" s="220">
        <v>4</v>
      </c>
      <c r="AC138" s="220">
        <v>3</v>
      </c>
      <c r="AD138" s="220">
        <v>1</v>
      </c>
      <c r="AE138" s="220">
        <f t="shared" si="154"/>
        <v>-31</v>
      </c>
      <c r="AF138" s="220">
        <f t="shared" si="154"/>
        <v>-506</v>
      </c>
      <c r="AG138" s="220">
        <f t="shared" si="154"/>
        <v>-628</v>
      </c>
      <c r="AH138" s="220">
        <f t="shared" si="154"/>
        <v>-565</v>
      </c>
      <c r="AI138" s="220">
        <f t="shared" si="154"/>
        <v>-199</v>
      </c>
      <c r="AJ138" s="50">
        <f t="shared" si="95"/>
        <v>1.0390000000000053</v>
      </c>
      <c r="AK138" s="257"/>
      <c r="AL138" s="257">
        <f t="shared" si="96"/>
        <v>1.2</v>
      </c>
      <c r="AM138" s="52"/>
      <c r="AN138" s="88"/>
    </row>
    <row r="139" spans="1:40" s="29" customFormat="1" ht="17.25" customHeight="1">
      <c r="A139" s="48">
        <v>129</v>
      </c>
      <c r="B139" s="49">
        <f t="shared" si="88"/>
        <v>45713</v>
      </c>
      <c r="C139" s="220">
        <f t="shared" si="89"/>
        <v>1049</v>
      </c>
      <c r="D139" s="220">
        <f t="shared" ref="D139" si="168">D138+32</f>
        <v>2523</v>
      </c>
      <c r="E139" s="220">
        <f t="shared" si="91"/>
        <v>3572</v>
      </c>
      <c r="F139" s="220">
        <f t="shared" si="83"/>
        <v>1136</v>
      </c>
      <c r="G139" s="220">
        <f t="shared" si="84"/>
        <v>1361</v>
      </c>
      <c r="H139" s="220">
        <f t="shared" si="85"/>
        <v>1583</v>
      </c>
      <c r="I139" s="220">
        <f t="shared" si="86"/>
        <v>1505</v>
      </c>
      <c r="J139" s="220">
        <f t="shared" si="87"/>
        <v>1212</v>
      </c>
      <c r="K139" s="220">
        <f t="shared" si="140"/>
        <v>2436</v>
      </c>
      <c r="L139" s="220">
        <f t="shared" si="140"/>
        <v>2211</v>
      </c>
      <c r="M139" s="220">
        <f t="shared" si="140"/>
        <v>1989</v>
      </c>
      <c r="N139" s="220">
        <f t="shared" si="140"/>
        <v>2067</v>
      </c>
      <c r="O139" s="220">
        <f t="shared" si="140"/>
        <v>2360</v>
      </c>
      <c r="P139" s="220">
        <f t="shared" si="152"/>
        <v>2000</v>
      </c>
      <c r="Q139" s="220">
        <f t="shared" si="152"/>
        <v>2150</v>
      </c>
      <c r="R139" s="220">
        <f t="shared" si="152"/>
        <v>2150</v>
      </c>
      <c r="S139" s="220">
        <f t="shared" si="152"/>
        <v>2150</v>
      </c>
      <c r="T139" s="220">
        <f t="shared" si="152"/>
        <v>2000</v>
      </c>
      <c r="U139" s="220">
        <f t="shared" si="153"/>
        <v>436</v>
      </c>
      <c r="V139" s="220">
        <f t="shared" si="153"/>
        <v>61</v>
      </c>
      <c r="W139" s="220">
        <f t="shared" si="153"/>
        <v>-161</v>
      </c>
      <c r="X139" s="220">
        <f t="shared" si="153"/>
        <v>-83</v>
      </c>
      <c r="Y139" s="220">
        <f t="shared" si="153"/>
        <v>360</v>
      </c>
      <c r="Z139" s="220">
        <v>0</v>
      </c>
      <c r="AA139" s="220">
        <v>0</v>
      </c>
      <c r="AB139" s="220">
        <v>0</v>
      </c>
      <c r="AC139" s="220">
        <v>0</v>
      </c>
      <c r="AD139" s="220">
        <v>0</v>
      </c>
      <c r="AE139" s="220">
        <f t="shared" si="154"/>
        <v>-31</v>
      </c>
      <c r="AF139" s="220">
        <f t="shared" si="154"/>
        <v>-506</v>
      </c>
      <c r="AG139" s="220">
        <f t="shared" si="154"/>
        <v>-628</v>
      </c>
      <c r="AH139" s="220">
        <f t="shared" si="154"/>
        <v>-565</v>
      </c>
      <c r="AI139" s="220">
        <f t="shared" si="154"/>
        <v>-199</v>
      </c>
      <c r="AJ139" s="50">
        <f t="shared" si="95"/>
        <v>1.0390000000000053</v>
      </c>
      <c r="AK139" s="257"/>
      <c r="AL139" s="257">
        <f t="shared" si="96"/>
        <v>1.2</v>
      </c>
      <c r="AM139" s="52"/>
      <c r="AN139" s="88"/>
    </row>
    <row r="140" spans="1:40" s="29" customFormat="1" ht="17.25" customHeight="1">
      <c r="A140" s="48">
        <v>130</v>
      </c>
      <c r="B140" s="49">
        <f t="shared" si="88"/>
        <v>45714</v>
      </c>
      <c r="C140" s="220">
        <f t="shared" si="89"/>
        <v>1049</v>
      </c>
      <c r="D140" s="220">
        <f t="shared" ref="D140" si="169">D139-18</f>
        <v>2505</v>
      </c>
      <c r="E140" s="220">
        <f t="shared" si="91"/>
        <v>3554</v>
      </c>
      <c r="F140" s="220">
        <f t="shared" ref="F140:F203" si="170">E140-K140</f>
        <v>1119</v>
      </c>
      <c r="G140" s="220">
        <f t="shared" ref="G140:G203" si="171">E140-L140</f>
        <v>1347</v>
      </c>
      <c r="H140" s="220">
        <f t="shared" ref="H140:H203" si="172">E140-M140</f>
        <v>1569</v>
      </c>
      <c r="I140" s="220">
        <f t="shared" ref="I140:I203" si="173">E140-N140</f>
        <v>1491</v>
      </c>
      <c r="J140" s="220">
        <f t="shared" ref="J140:J203" si="174">E140-O140</f>
        <v>1195</v>
      </c>
      <c r="K140" s="220">
        <f t="shared" si="140"/>
        <v>2435</v>
      </c>
      <c r="L140" s="220">
        <f t="shared" si="140"/>
        <v>2207</v>
      </c>
      <c r="M140" s="220">
        <f t="shared" si="140"/>
        <v>1985</v>
      </c>
      <c r="N140" s="220">
        <f t="shared" si="140"/>
        <v>2063</v>
      </c>
      <c r="O140" s="220">
        <f t="shared" si="140"/>
        <v>2359</v>
      </c>
      <c r="P140" s="220">
        <f t="shared" si="152"/>
        <v>2000</v>
      </c>
      <c r="Q140" s="220">
        <f t="shared" si="152"/>
        <v>2150</v>
      </c>
      <c r="R140" s="220">
        <f t="shared" si="152"/>
        <v>2150</v>
      </c>
      <c r="S140" s="220">
        <f t="shared" si="152"/>
        <v>2150</v>
      </c>
      <c r="T140" s="220">
        <f t="shared" si="152"/>
        <v>2000</v>
      </c>
      <c r="U140" s="220">
        <f t="shared" si="153"/>
        <v>435</v>
      </c>
      <c r="V140" s="220">
        <f t="shared" si="153"/>
        <v>57</v>
      </c>
      <c r="W140" s="220">
        <f t="shared" si="153"/>
        <v>-165</v>
      </c>
      <c r="X140" s="220">
        <f t="shared" si="153"/>
        <v>-87</v>
      </c>
      <c r="Y140" s="220">
        <f t="shared" si="153"/>
        <v>359</v>
      </c>
      <c r="Z140" s="220">
        <v>1</v>
      </c>
      <c r="AA140" s="220">
        <v>4</v>
      </c>
      <c r="AB140" s="220">
        <v>4</v>
      </c>
      <c r="AC140" s="220">
        <v>4</v>
      </c>
      <c r="AD140" s="220">
        <v>1</v>
      </c>
      <c r="AE140" s="220">
        <f t="shared" si="154"/>
        <v>-32</v>
      </c>
      <c r="AF140" s="220">
        <f t="shared" si="154"/>
        <v>-510</v>
      </c>
      <c r="AG140" s="220">
        <f t="shared" si="154"/>
        <v>-632</v>
      </c>
      <c r="AH140" s="220">
        <f t="shared" si="154"/>
        <v>-569</v>
      </c>
      <c r="AI140" s="220">
        <f t="shared" si="154"/>
        <v>-200</v>
      </c>
      <c r="AJ140" s="50">
        <f t="shared" si="95"/>
        <v>1.0350000000000052</v>
      </c>
      <c r="AK140" s="257"/>
      <c r="AL140" s="257">
        <f t="shared" si="96"/>
        <v>1.2</v>
      </c>
      <c r="AM140" s="52"/>
      <c r="AN140" s="88"/>
    </row>
    <row r="141" spans="1:40" s="29" customFormat="1" ht="17.25" customHeight="1">
      <c r="A141" s="48">
        <v>131</v>
      </c>
      <c r="B141" s="49">
        <f t="shared" ref="B141:B204" si="175">B140+1</f>
        <v>45715</v>
      </c>
      <c r="C141" s="220">
        <f t="shared" ref="C141:C204" si="176">+C140</f>
        <v>1049</v>
      </c>
      <c r="D141" s="220">
        <f t="shared" ref="D141" si="177">D140-26</f>
        <v>2479</v>
      </c>
      <c r="E141" s="220">
        <f t="shared" ref="E141:E204" si="178">+C141+D141</f>
        <v>3528</v>
      </c>
      <c r="F141" s="220">
        <f t="shared" si="170"/>
        <v>1093</v>
      </c>
      <c r="G141" s="220">
        <f t="shared" si="171"/>
        <v>1324</v>
      </c>
      <c r="H141" s="220">
        <f t="shared" si="172"/>
        <v>1545</v>
      </c>
      <c r="I141" s="220">
        <f t="shared" si="173"/>
        <v>1468</v>
      </c>
      <c r="J141" s="220">
        <f t="shared" si="174"/>
        <v>1170</v>
      </c>
      <c r="K141" s="220">
        <f t="shared" si="140"/>
        <v>2435</v>
      </c>
      <c r="L141" s="220">
        <f t="shared" si="140"/>
        <v>2204</v>
      </c>
      <c r="M141" s="220">
        <f t="shared" si="140"/>
        <v>1983</v>
      </c>
      <c r="N141" s="220">
        <f t="shared" si="140"/>
        <v>2060</v>
      </c>
      <c r="O141" s="220">
        <f t="shared" si="140"/>
        <v>2358</v>
      </c>
      <c r="P141" s="220">
        <f t="shared" ref="P141:T156" si="179">+P140</f>
        <v>2000</v>
      </c>
      <c r="Q141" s="220">
        <f t="shared" si="179"/>
        <v>2150</v>
      </c>
      <c r="R141" s="220">
        <f t="shared" si="179"/>
        <v>2150</v>
      </c>
      <c r="S141" s="220">
        <f t="shared" si="179"/>
        <v>2150</v>
      </c>
      <c r="T141" s="220">
        <f t="shared" si="179"/>
        <v>2000</v>
      </c>
      <c r="U141" s="220">
        <f t="shared" ref="U141:Y156" si="180">U140-Z141</f>
        <v>435</v>
      </c>
      <c r="V141" s="220">
        <f t="shared" si="180"/>
        <v>54</v>
      </c>
      <c r="W141" s="220">
        <f t="shared" si="180"/>
        <v>-167</v>
      </c>
      <c r="X141" s="220">
        <f t="shared" si="180"/>
        <v>-90</v>
      </c>
      <c r="Y141" s="220">
        <f t="shared" si="180"/>
        <v>358</v>
      </c>
      <c r="Z141" s="220">
        <v>0</v>
      </c>
      <c r="AA141" s="220">
        <v>3</v>
      </c>
      <c r="AB141" s="220">
        <v>2</v>
      </c>
      <c r="AC141" s="220">
        <v>3</v>
      </c>
      <c r="AD141" s="220">
        <v>1</v>
      </c>
      <c r="AE141" s="220">
        <f t="shared" ref="AE141:AI156" si="181">AE140-Z141</f>
        <v>-32</v>
      </c>
      <c r="AF141" s="220">
        <f t="shared" si="181"/>
        <v>-513</v>
      </c>
      <c r="AG141" s="220">
        <f t="shared" si="181"/>
        <v>-634</v>
      </c>
      <c r="AH141" s="220">
        <f t="shared" si="181"/>
        <v>-572</v>
      </c>
      <c r="AI141" s="220">
        <f t="shared" si="181"/>
        <v>-201</v>
      </c>
      <c r="AJ141" s="50">
        <f t="shared" ref="AJ141:AJ182" si="182">AJ140-AB141/1000+AK141</f>
        <v>1.0330000000000052</v>
      </c>
      <c r="AK141" s="257"/>
      <c r="AL141" s="257">
        <f t="shared" ref="AL141:AL204" si="183">AL140+AK141</f>
        <v>1.2</v>
      </c>
      <c r="AM141" s="52"/>
      <c r="AN141" s="88"/>
    </row>
    <row r="142" spans="1:40" s="29" customFormat="1" ht="17.25" customHeight="1">
      <c r="A142" s="48">
        <v>132</v>
      </c>
      <c r="B142" s="49">
        <f t="shared" si="175"/>
        <v>45716</v>
      </c>
      <c r="C142" s="220">
        <f t="shared" si="176"/>
        <v>1049</v>
      </c>
      <c r="D142" s="220">
        <f t="shared" ref="D142" si="184">D141+15</f>
        <v>2494</v>
      </c>
      <c r="E142" s="220">
        <f t="shared" si="178"/>
        <v>3543</v>
      </c>
      <c r="F142" s="220">
        <f t="shared" si="170"/>
        <v>1109</v>
      </c>
      <c r="G142" s="220">
        <f t="shared" si="171"/>
        <v>1339</v>
      </c>
      <c r="H142" s="220">
        <f t="shared" si="172"/>
        <v>1561</v>
      </c>
      <c r="I142" s="220">
        <f t="shared" si="173"/>
        <v>1487</v>
      </c>
      <c r="J142" s="220">
        <f t="shared" si="174"/>
        <v>1185</v>
      </c>
      <c r="K142" s="220">
        <f t="shared" si="140"/>
        <v>2434</v>
      </c>
      <c r="L142" s="220">
        <f t="shared" si="140"/>
        <v>2204</v>
      </c>
      <c r="M142" s="220">
        <f t="shared" si="140"/>
        <v>1982</v>
      </c>
      <c r="N142" s="220">
        <f t="shared" si="140"/>
        <v>2056</v>
      </c>
      <c r="O142" s="220">
        <f t="shared" si="140"/>
        <v>2358</v>
      </c>
      <c r="P142" s="220">
        <f t="shared" si="179"/>
        <v>2000</v>
      </c>
      <c r="Q142" s="220">
        <f t="shared" si="179"/>
        <v>2150</v>
      </c>
      <c r="R142" s="220">
        <f t="shared" si="179"/>
        <v>2150</v>
      </c>
      <c r="S142" s="220">
        <f t="shared" si="179"/>
        <v>2150</v>
      </c>
      <c r="T142" s="220">
        <f t="shared" si="179"/>
        <v>2000</v>
      </c>
      <c r="U142" s="220">
        <f t="shared" si="180"/>
        <v>434</v>
      </c>
      <c r="V142" s="220">
        <f t="shared" si="180"/>
        <v>54</v>
      </c>
      <c r="W142" s="220">
        <f t="shared" si="180"/>
        <v>-168</v>
      </c>
      <c r="X142" s="220">
        <f t="shared" si="180"/>
        <v>-94</v>
      </c>
      <c r="Y142" s="220">
        <f t="shared" si="180"/>
        <v>358</v>
      </c>
      <c r="Z142" s="220">
        <v>1</v>
      </c>
      <c r="AA142" s="220">
        <v>0</v>
      </c>
      <c r="AB142" s="220">
        <v>1</v>
      </c>
      <c r="AC142" s="220">
        <v>4</v>
      </c>
      <c r="AD142" s="220">
        <v>0</v>
      </c>
      <c r="AE142" s="220">
        <f t="shared" si="181"/>
        <v>-33</v>
      </c>
      <c r="AF142" s="220">
        <f t="shared" si="181"/>
        <v>-513</v>
      </c>
      <c r="AG142" s="220">
        <f t="shared" si="181"/>
        <v>-635</v>
      </c>
      <c r="AH142" s="220">
        <f t="shared" si="181"/>
        <v>-576</v>
      </c>
      <c r="AI142" s="220">
        <f t="shared" si="181"/>
        <v>-201</v>
      </c>
      <c r="AJ142" s="50">
        <f t="shared" si="182"/>
        <v>1.0320000000000054</v>
      </c>
      <c r="AK142" s="257"/>
      <c r="AL142" s="257">
        <f t="shared" si="183"/>
        <v>1.2</v>
      </c>
      <c r="AM142" s="52"/>
      <c r="AN142" s="88"/>
    </row>
    <row r="143" spans="1:40" s="29" customFormat="1" ht="17.25" customHeight="1">
      <c r="A143" s="48">
        <v>133</v>
      </c>
      <c r="B143" s="49">
        <f t="shared" si="175"/>
        <v>45717</v>
      </c>
      <c r="C143" s="220">
        <f t="shared" si="176"/>
        <v>1049</v>
      </c>
      <c r="D143" s="220">
        <f t="shared" ref="D143" si="185">D142+26</f>
        <v>2520</v>
      </c>
      <c r="E143" s="220">
        <f t="shared" si="178"/>
        <v>3569</v>
      </c>
      <c r="F143" s="220">
        <f t="shared" si="170"/>
        <v>1135</v>
      </c>
      <c r="G143" s="220">
        <f t="shared" si="171"/>
        <v>1365</v>
      </c>
      <c r="H143" s="220">
        <f t="shared" si="172"/>
        <v>1587</v>
      </c>
      <c r="I143" s="220">
        <f t="shared" si="173"/>
        <v>1517</v>
      </c>
      <c r="J143" s="220">
        <f t="shared" si="174"/>
        <v>1211</v>
      </c>
      <c r="K143" s="220">
        <f t="shared" si="140"/>
        <v>2434</v>
      </c>
      <c r="L143" s="220">
        <f t="shared" si="140"/>
        <v>2204</v>
      </c>
      <c r="M143" s="220">
        <f t="shared" si="140"/>
        <v>1982</v>
      </c>
      <c r="N143" s="220">
        <f t="shared" si="140"/>
        <v>2052</v>
      </c>
      <c r="O143" s="220">
        <f t="shared" si="140"/>
        <v>2358</v>
      </c>
      <c r="P143" s="220">
        <f t="shared" si="179"/>
        <v>2000</v>
      </c>
      <c r="Q143" s="220">
        <f t="shared" si="179"/>
        <v>2150</v>
      </c>
      <c r="R143" s="220">
        <f t="shared" si="179"/>
        <v>2150</v>
      </c>
      <c r="S143" s="220">
        <f t="shared" si="179"/>
        <v>2150</v>
      </c>
      <c r="T143" s="220">
        <f t="shared" si="179"/>
        <v>2000</v>
      </c>
      <c r="U143" s="220">
        <f t="shared" si="180"/>
        <v>434</v>
      </c>
      <c r="V143" s="220">
        <f t="shared" si="180"/>
        <v>54</v>
      </c>
      <c r="W143" s="220">
        <f t="shared" si="180"/>
        <v>-168</v>
      </c>
      <c r="X143" s="220">
        <f t="shared" si="180"/>
        <v>-98</v>
      </c>
      <c r="Y143" s="220">
        <f t="shared" si="180"/>
        <v>358</v>
      </c>
      <c r="Z143" s="220">
        <v>0</v>
      </c>
      <c r="AA143" s="220">
        <v>0</v>
      </c>
      <c r="AB143" s="220">
        <v>0</v>
      </c>
      <c r="AC143" s="220">
        <v>4</v>
      </c>
      <c r="AD143" s="220">
        <v>0</v>
      </c>
      <c r="AE143" s="220">
        <f t="shared" si="181"/>
        <v>-33</v>
      </c>
      <c r="AF143" s="220">
        <f t="shared" si="181"/>
        <v>-513</v>
      </c>
      <c r="AG143" s="220">
        <f t="shared" si="181"/>
        <v>-635</v>
      </c>
      <c r="AH143" s="220">
        <f t="shared" si="181"/>
        <v>-580</v>
      </c>
      <c r="AI143" s="220">
        <f t="shared" si="181"/>
        <v>-201</v>
      </c>
      <c r="AJ143" s="50">
        <f t="shared" si="182"/>
        <v>1.0320000000000054</v>
      </c>
      <c r="AK143" s="257"/>
      <c r="AL143" s="257">
        <f t="shared" si="183"/>
        <v>1.2</v>
      </c>
      <c r="AM143" s="52"/>
      <c r="AN143" s="88"/>
    </row>
    <row r="144" spans="1:40" s="29" customFormat="1" ht="17.25" customHeight="1">
      <c r="A144" s="48">
        <v>134</v>
      </c>
      <c r="B144" s="49">
        <f t="shared" si="175"/>
        <v>45718</v>
      </c>
      <c r="C144" s="220">
        <f t="shared" si="176"/>
        <v>1049</v>
      </c>
      <c r="D144" s="220">
        <f t="shared" ref="D144" si="186">D143+32</f>
        <v>2552</v>
      </c>
      <c r="E144" s="220">
        <f t="shared" si="178"/>
        <v>3601</v>
      </c>
      <c r="F144" s="220">
        <f t="shared" si="170"/>
        <v>1168</v>
      </c>
      <c r="G144" s="220">
        <f t="shared" si="171"/>
        <v>1397</v>
      </c>
      <c r="H144" s="220">
        <f t="shared" si="172"/>
        <v>1623</v>
      </c>
      <c r="I144" s="220">
        <f t="shared" si="173"/>
        <v>1549</v>
      </c>
      <c r="J144" s="220">
        <f t="shared" si="174"/>
        <v>1245</v>
      </c>
      <c r="K144" s="220">
        <f t="shared" si="140"/>
        <v>2433</v>
      </c>
      <c r="L144" s="220">
        <f t="shared" si="140"/>
        <v>2204</v>
      </c>
      <c r="M144" s="220">
        <f t="shared" si="140"/>
        <v>1978</v>
      </c>
      <c r="N144" s="220">
        <f t="shared" si="140"/>
        <v>2052</v>
      </c>
      <c r="O144" s="220">
        <f t="shared" si="140"/>
        <v>2356</v>
      </c>
      <c r="P144" s="220">
        <f t="shared" si="179"/>
        <v>2000</v>
      </c>
      <c r="Q144" s="220">
        <f t="shared" si="179"/>
        <v>2150</v>
      </c>
      <c r="R144" s="220">
        <f t="shared" si="179"/>
        <v>2150</v>
      </c>
      <c r="S144" s="220">
        <f t="shared" si="179"/>
        <v>2150</v>
      </c>
      <c r="T144" s="220">
        <f t="shared" si="179"/>
        <v>2000</v>
      </c>
      <c r="U144" s="220">
        <f t="shared" si="180"/>
        <v>433</v>
      </c>
      <c r="V144" s="220">
        <f t="shared" si="180"/>
        <v>54</v>
      </c>
      <c r="W144" s="220">
        <f t="shared" si="180"/>
        <v>-172</v>
      </c>
      <c r="X144" s="220">
        <f t="shared" si="180"/>
        <v>-98</v>
      </c>
      <c r="Y144" s="220">
        <f t="shared" si="180"/>
        <v>356</v>
      </c>
      <c r="Z144" s="220">
        <v>1</v>
      </c>
      <c r="AA144" s="220">
        <v>0</v>
      </c>
      <c r="AB144" s="220">
        <v>4</v>
      </c>
      <c r="AC144" s="220">
        <v>0</v>
      </c>
      <c r="AD144" s="220">
        <v>2</v>
      </c>
      <c r="AE144" s="220">
        <f t="shared" si="181"/>
        <v>-34</v>
      </c>
      <c r="AF144" s="220">
        <f t="shared" si="181"/>
        <v>-513</v>
      </c>
      <c r="AG144" s="220">
        <f t="shared" si="181"/>
        <v>-639</v>
      </c>
      <c r="AH144" s="220">
        <f t="shared" si="181"/>
        <v>-580</v>
      </c>
      <c r="AI144" s="220">
        <f t="shared" si="181"/>
        <v>-203</v>
      </c>
      <c r="AJ144" s="50">
        <f t="shared" si="182"/>
        <v>1.0280000000000054</v>
      </c>
      <c r="AK144" s="257"/>
      <c r="AL144" s="257">
        <f t="shared" si="183"/>
        <v>1.2</v>
      </c>
      <c r="AM144" s="52"/>
      <c r="AN144" s="88"/>
    </row>
    <row r="145" spans="1:40" s="29" customFormat="1" ht="17.25" customHeight="1">
      <c r="A145" s="48">
        <v>135</v>
      </c>
      <c r="B145" s="49">
        <f t="shared" si="175"/>
        <v>45719</v>
      </c>
      <c r="C145" s="220">
        <f t="shared" si="176"/>
        <v>1049</v>
      </c>
      <c r="D145" s="220">
        <f t="shared" ref="D145" si="187">D144-18</f>
        <v>2534</v>
      </c>
      <c r="E145" s="220">
        <f t="shared" si="178"/>
        <v>3583</v>
      </c>
      <c r="F145" s="220">
        <f t="shared" si="170"/>
        <v>1150</v>
      </c>
      <c r="G145" s="220">
        <f t="shared" si="171"/>
        <v>1382</v>
      </c>
      <c r="H145" s="220">
        <f t="shared" si="172"/>
        <v>1605</v>
      </c>
      <c r="I145" s="220">
        <f t="shared" si="173"/>
        <v>1535</v>
      </c>
      <c r="J145" s="220">
        <f t="shared" si="174"/>
        <v>1227</v>
      </c>
      <c r="K145" s="220">
        <f t="shared" si="140"/>
        <v>2433</v>
      </c>
      <c r="L145" s="220">
        <f t="shared" si="140"/>
        <v>2201</v>
      </c>
      <c r="M145" s="220">
        <f t="shared" si="140"/>
        <v>1978</v>
      </c>
      <c r="N145" s="220">
        <f t="shared" si="140"/>
        <v>2048</v>
      </c>
      <c r="O145" s="220">
        <f t="shared" si="140"/>
        <v>2356</v>
      </c>
      <c r="P145" s="220">
        <f t="shared" si="179"/>
        <v>2000</v>
      </c>
      <c r="Q145" s="220">
        <f t="shared" si="179"/>
        <v>2150</v>
      </c>
      <c r="R145" s="220">
        <f t="shared" si="179"/>
        <v>2150</v>
      </c>
      <c r="S145" s="220">
        <f t="shared" si="179"/>
        <v>2150</v>
      </c>
      <c r="T145" s="220">
        <f t="shared" si="179"/>
        <v>2000</v>
      </c>
      <c r="U145" s="220">
        <f t="shared" si="180"/>
        <v>433</v>
      </c>
      <c r="V145" s="220">
        <f t="shared" si="180"/>
        <v>51</v>
      </c>
      <c r="W145" s="220">
        <f t="shared" si="180"/>
        <v>-172</v>
      </c>
      <c r="X145" s="220">
        <f t="shared" si="180"/>
        <v>-102</v>
      </c>
      <c r="Y145" s="220">
        <f t="shared" si="180"/>
        <v>356</v>
      </c>
      <c r="Z145" s="220">
        <v>0</v>
      </c>
      <c r="AA145" s="220">
        <v>3</v>
      </c>
      <c r="AB145" s="220">
        <v>0</v>
      </c>
      <c r="AC145" s="220">
        <v>4</v>
      </c>
      <c r="AD145" s="220">
        <v>0</v>
      </c>
      <c r="AE145" s="220">
        <f t="shared" si="181"/>
        <v>-34</v>
      </c>
      <c r="AF145" s="220">
        <f t="shared" si="181"/>
        <v>-516</v>
      </c>
      <c r="AG145" s="220">
        <f t="shared" si="181"/>
        <v>-639</v>
      </c>
      <c r="AH145" s="220">
        <f t="shared" si="181"/>
        <v>-584</v>
      </c>
      <c r="AI145" s="220">
        <f t="shared" si="181"/>
        <v>-203</v>
      </c>
      <c r="AJ145" s="50">
        <f t="shared" si="182"/>
        <v>1.0280000000000054</v>
      </c>
      <c r="AK145" s="257"/>
      <c r="AL145" s="257">
        <f t="shared" si="183"/>
        <v>1.2</v>
      </c>
      <c r="AM145" s="52"/>
      <c r="AN145" s="88"/>
    </row>
    <row r="146" spans="1:40" s="29" customFormat="1" ht="17.25" customHeight="1">
      <c r="A146" s="48">
        <v>136</v>
      </c>
      <c r="B146" s="49">
        <f t="shared" si="175"/>
        <v>45720</v>
      </c>
      <c r="C146" s="220">
        <f t="shared" si="176"/>
        <v>1049</v>
      </c>
      <c r="D146" s="220">
        <f t="shared" ref="D146" si="188">D145-26</f>
        <v>2508</v>
      </c>
      <c r="E146" s="220">
        <f t="shared" si="178"/>
        <v>3557</v>
      </c>
      <c r="F146" s="220">
        <f t="shared" si="170"/>
        <v>1124</v>
      </c>
      <c r="G146" s="220">
        <f t="shared" si="171"/>
        <v>1356</v>
      </c>
      <c r="H146" s="220">
        <f t="shared" si="172"/>
        <v>1582</v>
      </c>
      <c r="I146" s="220">
        <f t="shared" si="173"/>
        <v>1512</v>
      </c>
      <c r="J146" s="220">
        <f t="shared" si="174"/>
        <v>1201</v>
      </c>
      <c r="K146" s="220">
        <f t="shared" si="140"/>
        <v>2433</v>
      </c>
      <c r="L146" s="220">
        <f t="shared" si="140"/>
        <v>2201</v>
      </c>
      <c r="M146" s="220">
        <f t="shared" si="140"/>
        <v>1975</v>
      </c>
      <c r="N146" s="220">
        <f t="shared" si="140"/>
        <v>2045</v>
      </c>
      <c r="O146" s="220">
        <f t="shared" si="140"/>
        <v>2356</v>
      </c>
      <c r="P146" s="220">
        <f t="shared" si="179"/>
        <v>2000</v>
      </c>
      <c r="Q146" s="220">
        <f t="shared" si="179"/>
        <v>2150</v>
      </c>
      <c r="R146" s="220">
        <f t="shared" si="179"/>
        <v>2150</v>
      </c>
      <c r="S146" s="220">
        <f t="shared" si="179"/>
        <v>2150</v>
      </c>
      <c r="T146" s="220">
        <f t="shared" si="179"/>
        <v>2000</v>
      </c>
      <c r="U146" s="220">
        <f t="shared" si="180"/>
        <v>433</v>
      </c>
      <c r="V146" s="220">
        <f t="shared" si="180"/>
        <v>51</v>
      </c>
      <c r="W146" s="220">
        <f t="shared" si="180"/>
        <v>-175</v>
      </c>
      <c r="X146" s="220">
        <f t="shared" si="180"/>
        <v>-105</v>
      </c>
      <c r="Y146" s="220">
        <f t="shared" si="180"/>
        <v>356</v>
      </c>
      <c r="Z146" s="220">
        <v>0</v>
      </c>
      <c r="AA146" s="220">
        <v>0</v>
      </c>
      <c r="AB146" s="220">
        <v>3</v>
      </c>
      <c r="AC146" s="220">
        <v>3</v>
      </c>
      <c r="AD146" s="220">
        <v>0</v>
      </c>
      <c r="AE146" s="220">
        <f t="shared" si="181"/>
        <v>-34</v>
      </c>
      <c r="AF146" s="220">
        <f t="shared" si="181"/>
        <v>-516</v>
      </c>
      <c r="AG146" s="220">
        <f t="shared" si="181"/>
        <v>-642</v>
      </c>
      <c r="AH146" s="220">
        <f t="shared" si="181"/>
        <v>-587</v>
      </c>
      <c r="AI146" s="220">
        <f t="shared" si="181"/>
        <v>-203</v>
      </c>
      <c r="AJ146" s="50">
        <f t="shared" si="182"/>
        <v>1.0250000000000055</v>
      </c>
      <c r="AK146" s="257"/>
      <c r="AL146" s="257">
        <f t="shared" si="183"/>
        <v>1.2</v>
      </c>
      <c r="AM146" s="52"/>
      <c r="AN146" s="88"/>
    </row>
    <row r="147" spans="1:40" s="29" customFormat="1" ht="17.25" customHeight="1">
      <c r="A147" s="48">
        <v>137</v>
      </c>
      <c r="B147" s="49">
        <f t="shared" si="175"/>
        <v>45721</v>
      </c>
      <c r="C147" s="220">
        <f t="shared" si="176"/>
        <v>1049</v>
      </c>
      <c r="D147" s="220">
        <f t="shared" ref="D147" si="189">D146+15</f>
        <v>2523</v>
      </c>
      <c r="E147" s="220">
        <f t="shared" si="178"/>
        <v>3572</v>
      </c>
      <c r="F147" s="220">
        <f t="shared" si="170"/>
        <v>1139</v>
      </c>
      <c r="G147" s="220">
        <f t="shared" si="171"/>
        <v>1371</v>
      </c>
      <c r="H147" s="220">
        <f t="shared" si="172"/>
        <v>1597</v>
      </c>
      <c r="I147" s="220">
        <f t="shared" si="173"/>
        <v>1530</v>
      </c>
      <c r="J147" s="220">
        <f t="shared" si="174"/>
        <v>1216</v>
      </c>
      <c r="K147" s="220">
        <f t="shared" si="140"/>
        <v>2433</v>
      </c>
      <c r="L147" s="220">
        <f t="shared" si="140"/>
        <v>2201</v>
      </c>
      <c r="M147" s="220">
        <f t="shared" si="140"/>
        <v>1975</v>
      </c>
      <c r="N147" s="220">
        <f t="shared" si="140"/>
        <v>2042</v>
      </c>
      <c r="O147" s="220">
        <f t="shared" si="140"/>
        <v>2356</v>
      </c>
      <c r="P147" s="220">
        <f t="shared" si="179"/>
        <v>2000</v>
      </c>
      <c r="Q147" s="220">
        <f t="shared" si="179"/>
        <v>2150</v>
      </c>
      <c r="R147" s="220">
        <f t="shared" si="179"/>
        <v>2150</v>
      </c>
      <c r="S147" s="220">
        <f t="shared" si="179"/>
        <v>2150</v>
      </c>
      <c r="T147" s="220">
        <f t="shared" si="179"/>
        <v>2000</v>
      </c>
      <c r="U147" s="220">
        <f t="shared" si="180"/>
        <v>433</v>
      </c>
      <c r="V147" s="220">
        <f t="shared" si="180"/>
        <v>51</v>
      </c>
      <c r="W147" s="220">
        <f t="shared" si="180"/>
        <v>-175</v>
      </c>
      <c r="X147" s="220">
        <f t="shared" si="180"/>
        <v>-108</v>
      </c>
      <c r="Y147" s="220">
        <f t="shared" si="180"/>
        <v>356</v>
      </c>
      <c r="Z147" s="220">
        <v>0</v>
      </c>
      <c r="AA147" s="220">
        <v>0</v>
      </c>
      <c r="AB147" s="220">
        <v>0</v>
      </c>
      <c r="AC147" s="220">
        <v>3</v>
      </c>
      <c r="AD147" s="220">
        <v>0</v>
      </c>
      <c r="AE147" s="220">
        <f t="shared" si="181"/>
        <v>-34</v>
      </c>
      <c r="AF147" s="220">
        <f t="shared" si="181"/>
        <v>-516</v>
      </c>
      <c r="AG147" s="220">
        <f t="shared" si="181"/>
        <v>-642</v>
      </c>
      <c r="AH147" s="220">
        <f t="shared" si="181"/>
        <v>-590</v>
      </c>
      <c r="AI147" s="220">
        <f t="shared" si="181"/>
        <v>-203</v>
      </c>
      <c r="AJ147" s="50">
        <f t="shared" si="182"/>
        <v>1.0250000000000055</v>
      </c>
      <c r="AK147" s="257"/>
      <c r="AL147" s="257">
        <f t="shared" si="183"/>
        <v>1.2</v>
      </c>
      <c r="AM147" s="52"/>
      <c r="AN147" s="88"/>
    </row>
    <row r="148" spans="1:40" s="29" customFormat="1" ht="17.25" customHeight="1">
      <c r="A148" s="48">
        <v>138</v>
      </c>
      <c r="B148" s="49">
        <f t="shared" si="175"/>
        <v>45722</v>
      </c>
      <c r="C148" s="220">
        <f t="shared" si="176"/>
        <v>1049</v>
      </c>
      <c r="D148" s="220">
        <f t="shared" ref="D148" si="190">D147+26</f>
        <v>2549</v>
      </c>
      <c r="E148" s="220">
        <f t="shared" si="178"/>
        <v>3598</v>
      </c>
      <c r="F148" s="220">
        <f t="shared" si="170"/>
        <v>1165</v>
      </c>
      <c r="G148" s="220">
        <f t="shared" si="171"/>
        <v>1400</v>
      </c>
      <c r="H148" s="220">
        <f t="shared" si="172"/>
        <v>1626</v>
      </c>
      <c r="I148" s="220">
        <f t="shared" si="173"/>
        <v>1557</v>
      </c>
      <c r="J148" s="220">
        <f t="shared" si="174"/>
        <v>1243</v>
      </c>
      <c r="K148" s="220">
        <f t="shared" si="140"/>
        <v>2433</v>
      </c>
      <c r="L148" s="220">
        <f t="shared" si="140"/>
        <v>2198</v>
      </c>
      <c r="M148" s="220">
        <f t="shared" si="140"/>
        <v>1972</v>
      </c>
      <c r="N148" s="220">
        <f t="shared" si="140"/>
        <v>2041</v>
      </c>
      <c r="O148" s="220">
        <f t="shared" si="140"/>
        <v>2355</v>
      </c>
      <c r="P148" s="220">
        <f t="shared" si="179"/>
        <v>2000</v>
      </c>
      <c r="Q148" s="220">
        <f t="shared" si="179"/>
        <v>2150</v>
      </c>
      <c r="R148" s="220">
        <f t="shared" si="179"/>
        <v>2150</v>
      </c>
      <c r="S148" s="220">
        <f t="shared" si="179"/>
        <v>2150</v>
      </c>
      <c r="T148" s="220">
        <f t="shared" si="179"/>
        <v>2000</v>
      </c>
      <c r="U148" s="220">
        <f t="shared" si="180"/>
        <v>433</v>
      </c>
      <c r="V148" s="220">
        <f t="shared" si="180"/>
        <v>48</v>
      </c>
      <c r="W148" s="220">
        <f t="shared" si="180"/>
        <v>-178</v>
      </c>
      <c r="X148" s="220">
        <f t="shared" si="180"/>
        <v>-109</v>
      </c>
      <c r="Y148" s="220">
        <f t="shared" si="180"/>
        <v>355</v>
      </c>
      <c r="Z148" s="220">
        <v>0</v>
      </c>
      <c r="AA148" s="220">
        <v>3</v>
      </c>
      <c r="AB148" s="220">
        <v>3</v>
      </c>
      <c r="AC148" s="220">
        <v>1</v>
      </c>
      <c r="AD148" s="220">
        <v>1</v>
      </c>
      <c r="AE148" s="220">
        <f t="shared" si="181"/>
        <v>-34</v>
      </c>
      <c r="AF148" s="220">
        <f t="shared" si="181"/>
        <v>-519</v>
      </c>
      <c r="AG148" s="220">
        <f t="shared" si="181"/>
        <v>-645</v>
      </c>
      <c r="AH148" s="220">
        <f t="shared" si="181"/>
        <v>-591</v>
      </c>
      <c r="AI148" s="220">
        <f t="shared" si="181"/>
        <v>-204</v>
      </c>
      <c r="AJ148" s="50">
        <f t="shared" si="182"/>
        <v>1.0220000000000056</v>
      </c>
      <c r="AK148" s="257"/>
      <c r="AL148" s="257">
        <f t="shared" si="183"/>
        <v>1.2</v>
      </c>
      <c r="AM148" s="52"/>
      <c r="AN148" s="88"/>
    </row>
    <row r="149" spans="1:40" s="29" customFormat="1" ht="17.25" customHeight="1">
      <c r="A149" s="48">
        <v>139</v>
      </c>
      <c r="B149" s="49">
        <f t="shared" si="175"/>
        <v>45723</v>
      </c>
      <c r="C149" s="220">
        <f t="shared" si="176"/>
        <v>1049</v>
      </c>
      <c r="D149" s="220">
        <f t="shared" ref="D149" si="191">D148+32</f>
        <v>2581</v>
      </c>
      <c r="E149" s="220">
        <f t="shared" si="178"/>
        <v>3630</v>
      </c>
      <c r="F149" s="220">
        <f t="shared" si="170"/>
        <v>1198</v>
      </c>
      <c r="G149" s="220">
        <f t="shared" si="171"/>
        <v>1432</v>
      </c>
      <c r="H149" s="220">
        <f t="shared" si="172"/>
        <v>1662</v>
      </c>
      <c r="I149" s="220">
        <f t="shared" si="173"/>
        <v>1593</v>
      </c>
      <c r="J149" s="220">
        <f t="shared" si="174"/>
        <v>1275</v>
      </c>
      <c r="K149" s="220">
        <f t="shared" si="140"/>
        <v>2432</v>
      </c>
      <c r="L149" s="220">
        <f t="shared" si="140"/>
        <v>2198</v>
      </c>
      <c r="M149" s="220">
        <f t="shared" si="140"/>
        <v>1968</v>
      </c>
      <c r="N149" s="220">
        <f t="shared" si="140"/>
        <v>2037</v>
      </c>
      <c r="O149" s="220">
        <f t="shared" si="140"/>
        <v>2355</v>
      </c>
      <c r="P149" s="220">
        <f t="shared" si="179"/>
        <v>2000</v>
      </c>
      <c r="Q149" s="220">
        <f t="shared" si="179"/>
        <v>2150</v>
      </c>
      <c r="R149" s="220">
        <f t="shared" si="179"/>
        <v>2150</v>
      </c>
      <c r="S149" s="220">
        <f t="shared" si="179"/>
        <v>2150</v>
      </c>
      <c r="T149" s="220">
        <f t="shared" si="179"/>
        <v>2000</v>
      </c>
      <c r="U149" s="220">
        <f t="shared" si="180"/>
        <v>432</v>
      </c>
      <c r="V149" s="220">
        <f t="shared" si="180"/>
        <v>48</v>
      </c>
      <c r="W149" s="220">
        <f t="shared" si="180"/>
        <v>-182</v>
      </c>
      <c r="X149" s="220">
        <f t="shared" si="180"/>
        <v>-113</v>
      </c>
      <c r="Y149" s="220">
        <f t="shared" si="180"/>
        <v>355</v>
      </c>
      <c r="Z149" s="220">
        <v>1</v>
      </c>
      <c r="AA149" s="220">
        <v>0</v>
      </c>
      <c r="AB149" s="220">
        <v>4</v>
      </c>
      <c r="AC149" s="220">
        <v>4</v>
      </c>
      <c r="AD149" s="220">
        <v>0</v>
      </c>
      <c r="AE149" s="220">
        <f t="shared" si="181"/>
        <v>-35</v>
      </c>
      <c r="AF149" s="220">
        <f t="shared" si="181"/>
        <v>-519</v>
      </c>
      <c r="AG149" s="220">
        <f t="shared" si="181"/>
        <v>-649</v>
      </c>
      <c r="AH149" s="220">
        <f t="shared" si="181"/>
        <v>-595</v>
      </c>
      <c r="AI149" s="220">
        <f t="shared" si="181"/>
        <v>-204</v>
      </c>
      <c r="AJ149" s="50">
        <f t="shared" si="182"/>
        <v>1.0180000000000056</v>
      </c>
      <c r="AK149" s="257"/>
      <c r="AL149" s="257">
        <f t="shared" si="183"/>
        <v>1.2</v>
      </c>
      <c r="AM149" s="52"/>
      <c r="AN149" s="88"/>
    </row>
    <row r="150" spans="1:40" s="29" customFormat="1" ht="17.25" customHeight="1">
      <c r="A150" s="48">
        <v>140</v>
      </c>
      <c r="B150" s="49">
        <f t="shared" si="175"/>
        <v>45724</v>
      </c>
      <c r="C150" s="220">
        <f t="shared" si="176"/>
        <v>1049</v>
      </c>
      <c r="D150" s="220">
        <f t="shared" ref="D150" si="192">D149-18</f>
        <v>2563</v>
      </c>
      <c r="E150" s="220">
        <f t="shared" si="178"/>
        <v>3612</v>
      </c>
      <c r="F150" s="220">
        <f t="shared" si="170"/>
        <v>1180</v>
      </c>
      <c r="G150" s="220">
        <f t="shared" si="171"/>
        <v>1416</v>
      </c>
      <c r="H150" s="220">
        <f t="shared" si="172"/>
        <v>1648</v>
      </c>
      <c r="I150" s="220">
        <f t="shared" si="173"/>
        <v>1575</v>
      </c>
      <c r="J150" s="220">
        <f t="shared" si="174"/>
        <v>1257</v>
      </c>
      <c r="K150" s="220">
        <f t="shared" si="140"/>
        <v>2432</v>
      </c>
      <c r="L150" s="220">
        <f t="shared" si="140"/>
        <v>2196</v>
      </c>
      <c r="M150" s="220">
        <f t="shared" si="140"/>
        <v>1964</v>
      </c>
      <c r="N150" s="220">
        <f t="shared" si="140"/>
        <v>2037</v>
      </c>
      <c r="O150" s="220">
        <f t="shared" si="140"/>
        <v>2355</v>
      </c>
      <c r="P150" s="220">
        <f t="shared" si="179"/>
        <v>2000</v>
      </c>
      <c r="Q150" s="220">
        <f t="shared" si="179"/>
        <v>2150</v>
      </c>
      <c r="R150" s="220">
        <f t="shared" si="179"/>
        <v>2150</v>
      </c>
      <c r="S150" s="220">
        <f t="shared" si="179"/>
        <v>2150</v>
      </c>
      <c r="T150" s="220">
        <f t="shared" si="179"/>
        <v>2000</v>
      </c>
      <c r="U150" s="220">
        <f t="shared" si="180"/>
        <v>432</v>
      </c>
      <c r="V150" s="220">
        <f t="shared" si="180"/>
        <v>46</v>
      </c>
      <c r="W150" s="220">
        <f t="shared" si="180"/>
        <v>-186</v>
      </c>
      <c r="X150" s="220">
        <f t="shared" si="180"/>
        <v>-113</v>
      </c>
      <c r="Y150" s="220">
        <f t="shared" si="180"/>
        <v>355</v>
      </c>
      <c r="Z150" s="220">
        <v>0</v>
      </c>
      <c r="AA150" s="220">
        <v>2</v>
      </c>
      <c r="AB150" s="220">
        <v>4</v>
      </c>
      <c r="AC150" s="220">
        <v>0</v>
      </c>
      <c r="AD150" s="220">
        <v>0</v>
      </c>
      <c r="AE150" s="220">
        <f t="shared" si="181"/>
        <v>-35</v>
      </c>
      <c r="AF150" s="220">
        <f t="shared" si="181"/>
        <v>-521</v>
      </c>
      <c r="AG150" s="220">
        <f t="shared" si="181"/>
        <v>-653</v>
      </c>
      <c r="AH150" s="220">
        <f t="shared" si="181"/>
        <v>-595</v>
      </c>
      <c r="AI150" s="220">
        <f t="shared" si="181"/>
        <v>-204</v>
      </c>
      <c r="AJ150" s="50">
        <f t="shared" si="182"/>
        <v>1.0140000000000056</v>
      </c>
      <c r="AK150" s="257"/>
      <c r="AL150" s="257">
        <f t="shared" si="183"/>
        <v>1.2</v>
      </c>
      <c r="AM150" s="52"/>
      <c r="AN150" s="88"/>
    </row>
    <row r="151" spans="1:40" s="29" customFormat="1" ht="17.25" customHeight="1">
      <c r="A151" s="48">
        <v>141</v>
      </c>
      <c r="B151" s="49">
        <f t="shared" si="175"/>
        <v>45725</v>
      </c>
      <c r="C151" s="220">
        <f t="shared" si="176"/>
        <v>1049</v>
      </c>
      <c r="D151" s="220">
        <f t="shared" ref="D151" si="193">D150-26</f>
        <v>2537</v>
      </c>
      <c r="E151" s="220">
        <f t="shared" si="178"/>
        <v>3586</v>
      </c>
      <c r="F151" s="220">
        <f t="shared" si="170"/>
        <v>1154</v>
      </c>
      <c r="G151" s="220">
        <f t="shared" si="171"/>
        <v>1390</v>
      </c>
      <c r="H151" s="220">
        <f t="shared" si="172"/>
        <v>1626</v>
      </c>
      <c r="I151" s="220">
        <f t="shared" si="173"/>
        <v>1550</v>
      </c>
      <c r="J151" s="220">
        <f t="shared" si="174"/>
        <v>1231</v>
      </c>
      <c r="K151" s="220">
        <f t="shared" si="140"/>
        <v>2432</v>
      </c>
      <c r="L151" s="220">
        <f t="shared" si="140"/>
        <v>2196</v>
      </c>
      <c r="M151" s="220">
        <f t="shared" si="140"/>
        <v>1960</v>
      </c>
      <c r="N151" s="220">
        <f t="shared" si="140"/>
        <v>2036</v>
      </c>
      <c r="O151" s="220">
        <f t="shared" si="140"/>
        <v>2355</v>
      </c>
      <c r="P151" s="220">
        <f t="shared" si="179"/>
        <v>2000</v>
      </c>
      <c r="Q151" s="220">
        <f t="shared" si="179"/>
        <v>2150</v>
      </c>
      <c r="R151" s="220">
        <f t="shared" si="179"/>
        <v>2150</v>
      </c>
      <c r="S151" s="220">
        <f t="shared" si="179"/>
        <v>2150</v>
      </c>
      <c r="T151" s="220">
        <f t="shared" si="179"/>
        <v>2000</v>
      </c>
      <c r="U151" s="220">
        <f t="shared" si="180"/>
        <v>432</v>
      </c>
      <c r="V151" s="220">
        <f t="shared" si="180"/>
        <v>46</v>
      </c>
      <c r="W151" s="220">
        <f t="shared" si="180"/>
        <v>-190</v>
      </c>
      <c r="X151" s="220">
        <f t="shared" si="180"/>
        <v>-114</v>
      </c>
      <c r="Y151" s="220">
        <f t="shared" si="180"/>
        <v>355</v>
      </c>
      <c r="Z151" s="220">
        <v>0</v>
      </c>
      <c r="AA151" s="220">
        <v>0</v>
      </c>
      <c r="AB151" s="220">
        <v>4</v>
      </c>
      <c r="AC151" s="220">
        <v>1</v>
      </c>
      <c r="AD151" s="220">
        <v>0</v>
      </c>
      <c r="AE151" s="220">
        <f t="shared" si="181"/>
        <v>-35</v>
      </c>
      <c r="AF151" s="220">
        <f t="shared" si="181"/>
        <v>-521</v>
      </c>
      <c r="AG151" s="220">
        <f t="shared" si="181"/>
        <v>-657</v>
      </c>
      <c r="AH151" s="220">
        <f t="shared" si="181"/>
        <v>-596</v>
      </c>
      <c r="AI151" s="220">
        <f t="shared" si="181"/>
        <v>-204</v>
      </c>
      <c r="AJ151" s="50">
        <f t="shared" si="182"/>
        <v>1.0100000000000056</v>
      </c>
      <c r="AK151" s="257"/>
      <c r="AL151" s="257">
        <f t="shared" si="183"/>
        <v>1.2</v>
      </c>
      <c r="AM151" s="52"/>
      <c r="AN151" s="88"/>
    </row>
    <row r="152" spans="1:40" s="29" customFormat="1" ht="17.25" customHeight="1">
      <c r="A152" s="48">
        <v>142</v>
      </c>
      <c r="B152" s="49">
        <f t="shared" si="175"/>
        <v>45726</v>
      </c>
      <c r="C152" s="220">
        <f t="shared" si="176"/>
        <v>1049</v>
      </c>
      <c r="D152" s="220">
        <f t="shared" ref="D152" si="194">D151+15</f>
        <v>2552</v>
      </c>
      <c r="E152" s="220">
        <f t="shared" si="178"/>
        <v>3601</v>
      </c>
      <c r="F152" s="220">
        <f t="shared" si="170"/>
        <v>1169</v>
      </c>
      <c r="G152" s="220">
        <f t="shared" si="171"/>
        <v>1409</v>
      </c>
      <c r="H152" s="220">
        <f t="shared" si="172"/>
        <v>1645</v>
      </c>
      <c r="I152" s="220">
        <f t="shared" si="173"/>
        <v>1569</v>
      </c>
      <c r="J152" s="220">
        <f t="shared" si="174"/>
        <v>1246</v>
      </c>
      <c r="K152" s="220">
        <f t="shared" si="140"/>
        <v>2432</v>
      </c>
      <c r="L152" s="220">
        <f t="shared" si="140"/>
        <v>2192</v>
      </c>
      <c r="M152" s="220">
        <f t="shared" si="140"/>
        <v>1956</v>
      </c>
      <c r="N152" s="220">
        <f t="shared" si="140"/>
        <v>2032</v>
      </c>
      <c r="O152" s="220">
        <f t="shared" si="140"/>
        <v>2355</v>
      </c>
      <c r="P152" s="220">
        <f t="shared" si="179"/>
        <v>2000</v>
      </c>
      <c r="Q152" s="220">
        <f t="shared" si="179"/>
        <v>2150</v>
      </c>
      <c r="R152" s="220">
        <f t="shared" si="179"/>
        <v>2150</v>
      </c>
      <c r="S152" s="220">
        <f t="shared" si="179"/>
        <v>2150</v>
      </c>
      <c r="T152" s="220">
        <f t="shared" si="179"/>
        <v>2000</v>
      </c>
      <c r="U152" s="220">
        <f t="shared" si="180"/>
        <v>432</v>
      </c>
      <c r="V152" s="220">
        <f t="shared" si="180"/>
        <v>42</v>
      </c>
      <c r="W152" s="220">
        <f t="shared" si="180"/>
        <v>-194</v>
      </c>
      <c r="X152" s="220">
        <f t="shared" si="180"/>
        <v>-118</v>
      </c>
      <c r="Y152" s="220">
        <f t="shared" si="180"/>
        <v>355</v>
      </c>
      <c r="Z152" s="220">
        <v>0</v>
      </c>
      <c r="AA152" s="220">
        <v>4</v>
      </c>
      <c r="AB152" s="220">
        <v>4</v>
      </c>
      <c r="AC152" s="220">
        <v>4</v>
      </c>
      <c r="AD152" s="220">
        <v>0</v>
      </c>
      <c r="AE152" s="220">
        <f t="shared" si="181"/>
        <v>-35</v>
      </c>
      <c r="AF152" s="220">
        <f t="shared" si="181"/>
        <v>-525</v>
      </c>
      <c r="AG152" s="220">
        <f t="shared" si="181"/>
        <v>-661</v>
      </c>
      <c r="AH152" s="220">
        <f t="shared" si="181"/>
        <v>-600</v>
      </c>
      <c r="AI152" s="220">
        <f t="shared" si="181"/>
        <v>-204</v>
      </c>
      <c r="AJ152" s="50">
        <f t="shared" si="182"/>
        <v>1.0060000000000056</v>
      </c>
      <c r="AK152" s="257"/>
      <c r="AL152" s="257">
        <f t="shared" si="183"/>
        <v>1.2</v>
      </c>
      <c r="AM152" s="52"/>
      <c r="AN152" s="88"/>
    </row>
    <row r="153" spans="1:40" s="29" customFormat="1" ht="17.25" customHeight="1">
      <c r="A153" s="48">
        <v>143</v>
      </c>
      <c r="B153" s="49">
        <f t="shared" si="175"/>
        <v>45727</v>
      </c>
      <c r="C153" s="220">
        <f t="shared" si="176"/>
        <v>1049</v>
      </c>
      <c r="D153" s="220">
        <f t="shared" ref="D153" si="195">D152+26</f>
        <v>2578</v>
      </c>
      <c r="E153" s="220">
        <f t="shared" si="178"/>
        <v>3627</v>
      </c>
      <c r="F153" s="220">
        <f t="shared" si="170"/>
        <v>1196</v>
      </c>
      <c r="G153" s="220">
        <f t="shared" si="171"/>
        <v>1435</v>
      </c>
      <c r="H153" s="220">
        <f t="shared" si="172"/>
        <v>1671</v>
      </c>
      <c r="I153" s="220">
        <f t="shared" si="173"/>
        <v>1596</v>
      </c>
      <c r="J153" s="220">
        <f t="shared" si="174"/>
        <v>1272</v>
      </c>
      <c r="K153" s="220">
        <f t="shared" si="140"/>
        <v>2431</v>
      </c>
      <c r="L153" s="220">
        <f t="shared" si="140"/>
        <v>2192</v>
      </c>
      <c r="M153" s="220">
        <f t="shared" si="140"/>
        <v>1956</v>
      </c>
      <c r="N153" s="220">
        <f t="shared" si="140"/>
        <v>2031</v>
      </c>
      <c r="O153" s="220">
        <f t="shared" si="140"/>
        <v>2355</v>
      </c>
      <c r="P153" s="220">
        <f t="shared" si="179"/>
        <v>2000</v>
      </c>
      <c r="Q153" s="220">
        <f t="shared" si="179"/>
        <v>2150</v>
      </c>
      <c r="R153" s="220">
        <f t="shared" si="179"/>
        <v>2150</v>
      </c>
      <c r="S153" s="220">
        <f t="shared" si="179"/>
        <v>2150</v>
      </c>
      <c r="T153" s="220">
        <f t="shared" si="179"/>
        <v>2000</v>
      </c>
      <c r="U153" s="220">
        <f t="shared" si="180"/>
        <v>431</v>
      </c>
      <c r="V153" s="220">
        <f t="shared" si="180"/>
        <v>42</v>
      </c>
      <c r="W153" s="220">
        <f t="shared" si="180"/>
        <v>-194</v>
      </c>
      <c r="X153" s="220">
        <f t="shared" si="180"/>
        <v>-119</v>
      </c>
      <c r="Y153" s="220">
        <f t="shared" si="180"/>
        <v>355</v>
      </c>
      <c r="Z153" s="220">
        <v>1</v>
      </c>
      <c r="AA153" s="220">
        <v>0</v>
      </c>
      <c r="AB153" s="220">
        <v>0</v>
      </c>
      <c r="AC153" s="220">
        <v>1</v>
      </c>
      <c r="AD153" s="220">
        <v>0</v>
      </c>
      <c r="AE153" s="220">
        <f t="shared" si="181"/>
        <v>-36</v>
      </c>
      <c r="AF153" s="220">
        <f t="shared" si="181"/>
        <v>-525</v>
      </c>
      <c r="AG153" s="220">
        <f t="shared" si="181"/>
        <v>-661</v>
      </c>
      <c r="AH153" s="220">
        <f t="shared" si="181"/>
        <v>-601</v>
      </c>
      <c r="AI153" s="220">
        <f t="shared" si="181"/>
        <v>-204</v>
      </c>
      <c r="AJ153" s="50">
        <f t="shared" si="182"/>
        <v>1.0060000000000056</v>
      </c>
      <c r="AK153" s="257"/>
      <c r="AL153" s="257">
        <f t="shared" si="183"/>
        <v>1.2</v>
      </c>
      <c r="AM153" s="52"/>
      <c r="AN153" s="88"/>
    </row>
    <row r="154" spans="1:40" s="29" customFormat="1" ht="17.25" customHeight="1">
      <c r="A154" s="48">
        <v>144</v>
      </c>
      <c r="B154" s="49">
        <f t="shared" si="175"/>
        <v>45728</v>
      </c>
      <c r="C154" s="220">
        <f t="shared" si="176"/>
        <v>1049</v>
      </c>
      <c r="D154" s="220">
        <f t="shared" ref="D154" si="196">D153+32</f>
        <v>2610</v>
      </c>
      <c r="E154" s="220">
        <f t="shared" si="178"/>
        <v>3659</v>
      </c>
      <c r="F154" s="220">
        <f t="shared" si="170"/>
        <v>1228</v>
      </c>
      <c r="G154" s="220">
        <f t="shared" si="171"/>
        <v>1467</v>
      </c>
      <c r="H154" s="220">
        <f t="shared" si="172"/>
        <v>1707</v>
      </c>
      <c r="I154" s="220">
        <f t="shared" si="173"/>
        <v>1632</v>
      </c>
      <c r="J154" s="220">
        <f t="shared" si="174"/>
        <v>1304</v>
      </c>
      <c r="K154" s="220">
        <f t="shared" si="140"/>
        <v>2431</v>
      </c>
      <c r="L154" s="220">
        <f t="shared" si="140"/>
        <v>2192</v>
      </c>
      <c r="M154" s="220">
        <f t="shared" si="140"/>
        <v>1952</v>
      </c>
      <c r="N154" s="220">
        <f t="shared" si="140"/>
        <v>2027</v>
      </c>
      <c r="O154" s="220">
        <f t="shared" si="140"/>
        <v>2355</v>
      </c>
      <c r="P154" s="220">
        <f t="shared" si="179"/>
        <v>2000</v>
      </c>
      <c r="Q154" s="220">
        <f t="shared" si="179"/>
        <v>2150</v>
      </c>
      <c r="R154" s="220">
        <f t="shared" si="179"/>
        <v>2150</v>
      </c>
      <c r="S154" s="220">
        <f t="shared" si="179"/>
        <v>2150</v>
      </c>
      <c r="T154" s="220">
        <f t="shared" si="179"/>
        <v>2000</v>
      </c>
      <c r="U154" s="220">
        <f t="shared" si="180"/>
        <v>431</v>
      </c>
      <c r="V154" s="220">
        <f t="shared" si="180"/>
        <v>42</v>
      </c>
      <c r="W154" s="220">
        <f t="shared" si="180"/>
        <v>-198</v>
      </c>
      <c r="X154" s="220">
        <f t="shared" si="180"/>
        <v>-123</v>
      </c>
      <c r="Y154" s="220">
        <f t="shared" si="180"/>
        <v>355</v>
      </c>
      <c r="Z154" s="220">
        <v>0</v>
      </c>
      <c r="AA154" s="220">
        <v>0</v>
      </c>
      <c r="AB154" s="220">
        <v>4</v>
      </c>
      <c r="AC154" s="220">
        <v>4</v>
      </c>
      <c r="AD154" s="220">
        <v>0</v>
      </c>
      <c r="AE154" s="220">
        <f t="shared" si="181"/>
        <v>-36</v>
      </c>
      <c r="AF154" s="220">
        <f t="shared" si="181"/>
        <v>-525</v>
      </c>
      <c r="AG154" s="220">
        <f t="shared" si="181"/>
        <v>-665</v>
      </c>
      <c r="AH154" s="220">
        <f t="shared" si="181"/>
        <v>-605</v>
      </c>
      <c r="AI154" s="220">
        <f t="shared" si="181"/>
        <v>-204</v>
      </c>
      <c r="AJ154" s="50">
        <f t="shared" si="182"/>
        <v>1.0020000000000056</v>
      </c>
      <c r="AK154" s="257"/>
      <c r="AL154" s="257">
        <f t="shared" si="183"/>
        <v>1.2</v>
      </c>
      <c r="AM154" s="52"/>
      <c r="AN154" s="88"/>
    </row>
    <row r="155" spans="1:40" s="29" customFormat="1" ht="17.25" customHeight="1">
      <c r="A155" s="48">
        <v>145</v>
      </c>
      <c r="B155" s="49">
        <f t="shared" si="175"/>
        <v>45729</v>
      </c>
      <c r="C155" s="220">
        <f t="shared" si="176"/>
        <v>1049</v>
      </c>
      <c r="D155" s="220">
        <f t="shared" ref="D155" si="197">D154-18</f>
        <v>2592</v>
      </c>
      <c r="E155" s="220">
        <f t="shared" si="178"/>
        <v>3641</v>
      </c>
      <c r="F155" s="220">
        <f t="shared" si="170"/>
        <v>1211</v>
      </c>
      <c r="G155" s="220">
        <f t="shared" si="171"/>
        <v>1453</v>
      </c>
      <c r="H155" s="220">
        <f t="shared" si="172"/>
        <v>1689</v>
      </c>
      <c r="I155" s="220">
        <f t="shared" si="173"/>
        <v>1618</v>
      </c>
      <c r="J155" s="220">
        <f t="shared" si="174"/>
        <v>1286</v>
      </c>
      <c r="K155" s="220">
        <f t="shared" si="140"/>
        <v>2430</v>
      </c>
      <c r="L155" s="220">
        <f t="shared" si="140"/>
        <v>2188</v>
      </c>
      <c r="M155" s="220">
        <f t="shared" si="140"/>
        <v>1952</v>
      </c>
      <c r="N155" s="220">
        <f t="shared" si="140"/>
        <v>2023</v>
      </c>
      <c r="O155" s="220">
        <f t="shared" si="140"/>
        <v>2355</v>
      </c>
      <c r="P155" s="220">
        <f t="shared" si="179"/>
        <v>2000</v>
      </c>
      <c r="Q155" s="220">
        <f t="shared" si="179"/>
        <v>2150</v>
      </c>
      <c r="R155" s="220">
        <f t="shared" si="179"/>
        <v>2150</v>
      </c>
      <c r="S155" s="220">
        <f t="shared" si="179"/>
        <v>2150</v>
      </c>
      <c r="T155" s="220">
        <f t="shared" si="179"/>
        <v>2000</v>
      </c>
      <c r="U155" s="220">
        <f t="shared" si="180"/>
        <v>430</v>
      </c>
      <c r="V155" s="220">
        <f t="shared" si="180"/>
        <v>38</v>
      </c>
      <c r="W155" s="220">
        <f t="shared" si="180"/>
        <v>-198</v>
      </c>
      <c r="X155" s="220">
        <f t="shared" si="180"/>
        <v>-127</v>
      </c>
      <c r="Y155" s="220">
        <f t="shared" si="180"/>
        <v>355</v>
      </c>
      <c r="Z155" s="220">
        <v>1</v>
      </c>
      <c r="AA155" s="220">
        <v>4</v>
      </c>
      <c r="AB155" s="220">
        <v>0</v>
      </c>
      <c r="AC155" s="220">
        <v>4</v>
      </c>
      <c r="AD155" s="220">
        <v>0</v>
      </c>
      <c r="AE155" s="220">
        <f t="shared" si="181"/>
        <v>-37</v>
      </c>
      <c r="AF155" s="220">
        <f t="shared" si="181"/>
        <v>-529</v>
      </c>
      <c r="AG155" s="220">
        <f t="shared" si="181"/>
        <v>-665</v>
      </c>
      <c r="AH155" s="220">
        <f t="shared" si="181"/>
        <v>-609</v>
      </c>
      <c r="AI155" s="220">
        <f t="shared" si="181"/>
        <v>-204</v>
      </c>
      <c r="AJ155" s="50">
        <f t="shared" si="182"/>
        <v>1.0020000000000056</v>
      </c>
      <c r="AK155" s="257"/>
      <c r="AL155" s="257">
        <f t="shared" si="183"/>
        <v>1.2</v>
      </c>
      <c r="AM155" s="52"/>
      <c r="AN155" s="88"/>
    </row>
    <row r="156" spans="1:40" s="29" customFormat="1" ht="17.25" customHeight="1">
      <c r="A156" s="48">
        <v>146</v>
      </c>
      <c r="B156" s="49">
        <f t="shared" si="175"/>
        <v>45730</v>
      </c>
      <c r="C156" s="220">
        <f t="shared" si="176"/>
        <v>1049</v>
      </c>
      <c r="D156" s="220">
        <f t="shared" ref="D156" si="198">D155-26</f>
        <v>2566</v>
      </c>
      <c r="E156" s="220">
        <f t="shared" si="178"/>
        <v>3615</v>
      </c>
      <c r="F156" s="220">
        <f t="shared" si="170"/>
        <v>1186</v>
      </c>
      <c r="G156" s="220">
        <f t="shared" si="171"/>
        <v>1427</v>
      </c>
      <c r="H156" s="220">
        <f t="shared" si="172"/>
        <v>1666</v>
      </c>
      <c r="I156" s="220">
        <f t="shared" si="173"/>
        <v>1592</v>
      </c>
      <c r="J156" s="220">
        <f t="shared" si="174"/>
        <v>1260</v>
      </c>
      <c r="K156" s="220">
        <f t="shared" si="140"/>
        <v>2429</v>
      </c>
      <c r="L156" s="220">
        <f t="shared" si="140"/>
        <v>2188</v>
      </c>
      <c r="M156" s="220">
        <f t="shared" si="140"/>
        <v>1949</v>
      </c>
      <c r="N156" s="220">
        <f t="shared" si="140"/>
        <v>2023</v>
      </c>
      <c r="O156" s="220">
        <f t="shared" si="140"/>
        <v>2355</v>
      </c>
      <c r="P156" s="220">
        <f t="shared" si="179"/>
        <v>2000</v>
      </c>
      <c r="Q156" s="220">
        <f t="shared" si="179"/>
        <v>2150</v>
      </c>
      <c r="R156" s="220">
        <f t="shared" si="179"/>
        <v>2150</v>
      </c>
      <c r="S156" s="220">
        <f t="shared" si="179"/>
        <v>2150</v>
      </c>
      <c r="T156" s="220">
        <f t="shared" si="179"/>
        <v>2000</v>
      </c>
      <c r="U156" s="220">
        <f t="shared" si="180"/>
        <v>429</v>
      </c>
      <c r="V156" s="220">
        <f t="shared" si="180"/>
        <v>38</v>
      </c>
      <c r="W156" s="220">
        <f t="shared" si="180"/>
        <v>-201</v>
      </c>
      <c r="X156" s="220">
        <f t="shared" si="180"/>
        <v>-127</v>
      </c>
      <c r="Y156" s="220">
        <f t="shared" si="180"/>
        <v>355</v>
      </c>
      <c r="Z156" s="220">
        <v>1</v>
      </c>
      <c r="AA156" s="220">
        <v>0</v>
      </c>
      <c r="AB156" s="220">
        <v>3</v>
      </c>
      <c r="AC156" s="220">
        <v>0</v>
      </c>
      <c r="AD156" s="220">
        <v>0</v>
      </c>
      <c r="AE156" s="220">
        <f t="shared" si="181"/>
        <v>-38</v>
      </c>
      <c r="AF156" s="220">
        <f t="shared" si="181"/>
        <v>-529</v>
      </c>
      <c r="AG156" s="220">
        <f t="shared" si="181"/>
        <v>-668</v>
      </c>
      <c r="AH156" s="220">
        <f t="shared" si="181"/>
        <v>-609</v>
      </c>
      <c r="AI156" s="220">
        <f t="shared" si="181"/>
        <v>-204</v>
      </c>
      <c r="AJ156" s="50">
        <f t="shared" si="182"/>
        <v>0.99900000000000555</v>
      </c>
      <c r="AK156" s="257"/>
      <c r="AL156" s="257">
        <f t="shared" si="183"/>
        <v>1.2</v>
      </c>
      <c r="AM156" s="52"/>
      <c r="AN156" s="88"/>
    </row>
    <row r="157" spans="1:40" s="29" customFormat="1" ht="17.25" customHeight="1">
      <c r="A157" s="48">
        <v>147</v>
      </c>
      <c r="B157" s="49">
        <f t="shared" si="175"/>
        <v>45731</v>
      </c>
      <c r="C157" s="220">
        <f t="shared" si="176"/>
        <v>1049</v>
      </c>
      <c r="D157" s="220">
        <f t="shared" ref="D157" si="199">D156+15</f>
        <v>2581</v>
      </c>
      <c r="E157" s="220">
        <f t="shared" si="178"/>
        <v>3630</v>
      </c>
      <c r="F157" s="220">
        <f t="shared" si="170"/>
        <v>1201</v>
      </c>
      <c r="G157" s="220">
        <f t="shared" si="171"/>
        <v>1443</v>
      </c>
      <c r="H157" s="220">
        <f t="shared" si="172"/>
        <v>1681</v>
      </c>
      <c r="I157" s="220">
        <f t="shared" si="173"/>
        <v>1608</v>
      </c>
      <c r="J157" s="220">
        <f t="shared" si="174"/>
        <v>1275</v>
      </c>
      <c r="K157" s="220">
        <f t="shared" si="140"/>
        <v>2429</v>
      </c>
      <c r="L157" s="220">
        <f t="shared" si="140"/>
        <v>2187</v>
      </c>
      <c r="M157" s="220">
        <f t="shared" si="140"/>
        <v>1949</v>
      </c>
      <c r="N157" s="220">
        <f t="shared" si="140"/>
        <v>2022</v>
      </c>
      <c r="O157" s="220">
        <f t="shared" si="140"/>
        <v>2355</v>
      </c>
      <c r="P157" s="220">
        <f t="shared" ref="P157:T172" si="200">+P156</f>
        <v>2000</v>
      </c>
      <c r="Q157" s="220">
        <f t="shared" si="200"/>
        <v>2150</v>
      </c>
      <c r="R157" s="220">
        <f t="shared" si="200"/>
        <v>2150</v>
      </c>
      <c r="S157" s="220">
        <f t="shared" si="200"/>
        <v>2150</v>
      </c>
      <c r="T157" s="220">
        <f t="shared" si="200"/>
        <v>2000</v>
      </c>
      <c r="U157" s="220">
        <f t="shared" ref="U157:Y172" si="201">U156-Z157</f>
        <v>429</v>
      </c>
      <c r="V157" s="220">
        <f t="shared" si="201"/>
        <v>37</v>
      </c>
      <c r="W157" s="220">
        <f t="shared" si="201"/>
        <v>-201</v>
      </c>
      <c r="X157" s="220">
        <f t="shared" si="201"/>
        <v>-128</v>
      </c>
      <c r="Y157" s="220">
        <f t="shared" si="201"/>
        <v>355</v>
      </c>
      <c r="Z157" s="220">
        <v>0</v>
      </c>
      <c r="AA157" s="220">
        <v>1</v>
      </c>
      <c r="AB157" s="220">
        <v>0</v>
      </c>
      <c r="AC157" s="220">
        <v>1</v>
      </c>
      <c r="AD157" s="220">
        <v>0</v>
      </c>
      <c r="AE157" s="220">
        <f t="shared" ref="AE157:AI172" si="202">AE156-Z157</f>
        <v>-38</v>
      </c>
      <c r="AF157" s="220">
        <f t="shared" si="202"/>
        <v>-530</v>
      </c>
      <c r="AG157" s="220">
        <f t="shared" si="202"/>
        <v>-668</v>
      </c>
      <c r="AH157" s="220">
        <f t="shared" si="202"/>
        <v>-610</v>
      </c>
      <c r="AI157" s="220">
        <f t="shared" si="202"/>
        <v>-204</v>
      </c>
      <c r="AJ157" s="50">
        <f t="shared" si="182"/>
        <v>0.99900000000000555</v>
      </c>
      <c r="AK157" s="257"/>
      <c r="AL157" s="257">
        <f t="shared" si="183"/>
        <v>1.2</v>
      </c>
      <c r="AM157" s="52"/>
      <c r="AN157" s="88"/>
    </row>
    <row r="158" spans="1:40" s="29" customFormat="1" ht="17.25" customHeight="1">
      <c r="A158" s="48">
        <v>148</v>
      </c>
      <c r="B158" s="49">
        <f t="shared" si="175"/>
        <v>45732</v>
      </c>
      <c r="C158" s="220">
        <f t="shared" si="176"/>
        <v>1049</v>
      </c>
      <c r="D158" s="220">
        <f t="shared" ref="D158" si="203">D157+26</f>
        <v>2607</v>
      </c>
      <c r="E158" s="220">
        <f t="shared" si="178"/>
        <v>3656</v>
      </c>
      <c r="F158" s="220">
        <f t="shared" si="170"/>
        <v>1228</v>
      </c>
      <c r="G158" s="220">
        <f t="shared" si="171"/>
        <v>1473</v>
      </c>
      <c r="H158" s="220">
        <f t="shared" si="172"/>
        <v>1711</v>
      </c>
      <c r="I158" s="220">
        <f t="shared" si="173"/>
        <v>1634</v>
      </c>
      <c r="J158" s="220">
        <f t="shared" si="174"/>
        <v>1301</v>
      </c>
      <c r="K158" s="220">
        <f t="shared" si="140"/>
        <v>2428</v>
      </c>
      <c r="L158" s="220">
        <f t="shared" si="140"/>
        <v>2183</v>
      </c>
      <c r="M158" s="220">
        <f t="shared" si="140"/>
        <v>1945</v>
      </c>
      <c r="N158" s="220">
        <f t="shared" si="140"/>
        <v>2022</v>
      </c>
      <c r="O158" s="220">
        <f t="shared" si="140"/>
        <v>2355</v>
      </c>
      <c r="P158" s="220">
        <f t="shared" si="200"/>
        <v>2000</v>
      </c>
      <c r="Q158" s="220">
        <f t="shared" si="200"/>
        <v>2150</v>
      </c>
      <c r="R158" s="220">
        <f t="shared" si="200"/>
        <v>2150</v>
      </c>
      <c r="S158" s="220">
        <f t="shared" si="200"/>
        <v>2150</v>
      </c>
      <c r="T158" s="220">
        <f t="shared" si="200"/>
        <v>2000</v>
      </c>
      <c r="U158" s="220">
        <f t="shared" si="201"/>
        <v>428</v>
      </c>
      <c r="V158" s="220">
        <f t="shared" si="201"/>
        <v>33</v>
      </c>
      <c r="W158" s="220">
        <f t="shared" si="201"/>
        <v>-205</v>
      </c>
      <c r="X158" s="220">
        <f t="shared" si="201"/>
        <v>-128</v>
      </c>
      <c r="Y158" s="220">
        <f t="shared" si="201"/>
        <v>355</v>
      </c>
      <c r="Z158" s="220">
        <v>1</v>
      </c>
      <c r="AA158" s="220">
        <v>4</v>
      </c>
      <c r="AB158" s="220">
        <v>4</v>
      </c>
      <c r="AC158" s="220">
        <v>0</v>
      </c>
      <c r="AD158" s="220">
        <v>0</v>
      </c>
      <c r="AE158" s="220">
        <f t="shared" si="202"/>
        <v>-39</v>
      </c>
      <c r="AF158" s="220">
        <f t="shared" si="202"/>
        <v>-534</v>
      </c>
      <c r="AG158" s="220">
        <f t="shared" si="202"/>
        <v>-672</v>
      </c>
      <c r="AH158" s="220">
        <f t="shared" si="202"/>
        <v>-610</v>
      </c>
      <c r="AI158" s="220">
        <f t="shared" si="202"/>
        <v>-204</v>
      </c>
      <c r="AJ158" s="50">
        <f t="shared" si="182"/>
        <v>0.99500000000000555</v>
      </c>
      <c r="AK158" s="257"/>
      <c r="AL158" s="257">
        <f t="shared" si="183"/>
        <v>1.2</v>
      </c>
      <c r="AM158" s="52"/>
      <c r="AN158" s="88"/>
    </row>
    <row r="159" spans="1:40" s="29" customFormat="1" ht="17.25" customHeight="1">
      <c r="A159" s="48">
        <v>149</v>
      </c>
      <c r="B159" s="49">
        <f t="shared" si="175"/>
        <v>45733</v>
      </c>
      <c r="C159" s="220">
        <f t="shared" si="176"/>
        <v>1049</v>
      </c>
      <c r="D159" s="220">
        <f t="shared" ref="D159" si="204">D158+32</f>
        <v>2639</v>
      </c>
      <c r="E159" s="220">
        <f t="shared" si="178"/>
        <v>3688</v>
      </c>
      <c r="F159" s="220">
        <f t="shared" si="170"/>
        <v>1260</v>
      </c>
      <c r="G159" s="220">
        <f t="shared" si="171"/>
        <v>1505</v>
      </c>
      <c r="H159" s="220">
        <f t="shared" si="172"/>
        <v>1746</v>
      </c>
      <c r="I159" s="220">
        <f t="shared" si="173"/>
        <v>1669</v>
      </c>
      <c r="J159" s="220">
        <f t="shared" si="174"/>
        <v>1335</v>
      </c>
      <c r="K159" s="220">
        <f t="shared" si="140"/>
        <v>2428</v>
      </c>
      <c r="L159" s="220">
        <f t="shared" si="140"/>
        <v>2183</v>
      </c>
      <c r="M159" s="220">
        <f t="shared" si="140"/>
        <v>1942</v>
      </c>
      <c r="N159" s="220">
        <f t="shared" si="140"/>
        <v>2019</v>
      </c>
      <c r="O159" s="220">
        <f t="shared" si="140"/>
        <v>2353</v>
      </c>
      <c r="P159" s="220">
        <f t="shared" si="200"/>
        <v>2000</v>
      </c>
      <c r="Q159" s="220">
        <f t="shared" si="200"/>
        <v>2150</v>
      </c>
      <c r="R159" s="220">
        <f t="shared" si="200"/>
        <v>2150</v>
      </c>
      <c r="S159" s="220">
        <f t="shared" si="200"/>
        <v>2150</v>
      </c>
      <c r="T159" s="220">
        <f t="shared" si="200"/>
        <v>2000</v>
      </c>
      <c r="U159" s="220">
        <f t="shared" si="201"/>
        <v>428</v>
      </c>
      <c r="V159" s="220">
        <f t="shared" si="201"/>
        <v>33</v>
      </c>
      <c r="W159" s="220">
        <f t="shared" si="201"/>
        <v>-208</v>
      </c>
      <c r="X159" s="220">
        <f t="shared" si="201"/>
        <v>-131</v>
      </c>
      <c r="Y159" s="220">
        <f t="shared" si="201"/>
        <v>353</v>
      </c>
      <c r="Z159" s="220">
        <v>0</v>
      </c>
      <c r="AA159" s="220">
        <v>0</v>
      </c>
      <c r="AB159" s="220">
        <v>3</v>
      </c>
      <c r="AC159" s="220">
        <v>3</v>
      </c>
      <c r="AD159" s="220">
        <v>2</v>
      </c>
      <c r="AE159" s="220">
        <f t="shared" si="202"/>
        <v>-39</v>
      </c>
      <c r="AF159" s="220">
        <f t="shared" si="202"/>
        <v>-534</v>
      </c>
      <c r="AG159" s="220">
        <f t="shared" si="202"/>
        <v>-675</v>
      </c>
      <c r="AH159" s="220">
        <f t="shared" si="202"/>
        <v>-613</v>
      </c>
      <c r="AI159" s="220">
        <f t="shared" si="202"/>
        <v>-206</v>
      </c>
      <c r="AJ159" s="50">
        <f t="shared" si="182"/>
        <v>0.99200000000000554</v>
      </c>
      <c r="AK159" s="257"/>
      <c r="AL159" s="257">
        <f t="shared" si="183"/>
        <v>1.2</v>
      </c>
      <c r="AM159" s="52"/>
      <c r="AN159" s="88"/>
    </row>
    <row r="160" spans="1:40" s="29" customFormat="1" ht="17.25" customHeight="1">
      <c r="A160" s="48">
        <v>150</v>
      </c>
      <c r="B160" s="49">
        <f t="shared" si="175"/>
        <v>45734</v>
      </c>
      <c r="C160" s="220">
        <f t="shared" si="176"/>
        <v>1049</v>
      </c>
      <c r="D160" s="220">
        <v>1986</v>
      </c>
      <c r="E160" s="220">
        <f t="shared" si="178"/>
        <v>3035</v>
      </c>
      <c r="F160" s="220">
        <f t="shared" si="170"/>
        <v>607</v>
      </c>
      <c r="G160" s="220">
        <f t="shared" si="171"/>
        <v>855</v>
      </c>
      <c r="H160" s="220">
        <f t="shared" si="172"/>
        <v>1094</v>
      </c>
      <c r="I160" s="220">
        <f t="shared" si="173"/>
        <v>1017</v>
      </c>
      <c r="J160" s="220">
        <f t="shared" si="174"/>
        <v>682</v>
      </c>
      <c r="K160" s="220">
        <f t="shared" si="140"/>
        <v>2428</v>
      </c>
      <c r="L160" s="220">
        <f t="shared" si="140"/>
        <v>2180</v>
      </c>
      <c r="M160" s="220">
        <f t="shared" si="140"/>
        <v>1941</v>
      </c>
      <c r="N160" s="220">
        <f t="shared" si="140"/>
        <v>2018</v>
      </c>
      <c r="O160" s="220">
        <f t="shared" si="140"/>
        <v>2353</v>
      </c>
      <c r="P160" s="220">
        <f t="shared" si="200"/>
        <v>2000</v>
      </c>
      <c r="Q160" s="220">
        <f t="shared" si="200"/>
        <v>2150</v>
      </c>
      <c r="R160" s="220">
        <f t="shared" si="200"/>
        <v>2150</v>
      </c>
      <c r="S160" s="220">
        <f t="shared" si="200"/>
        <v>2150</v>
      </c>
      <c r="T160" s="220">
        <f t="shared" si="200"/>
        <v>2000</v>
      </c>
      <c r="U160" s="220">
        <f t="shared" si="201"/>
        <v>428</v>
      </c>
      <c r="V160" s="220">
        <f t="shared" si="201"/>
        <v>30</v>
      </c>
      <c r="W160" s="220">
        <f t="shared" si="201"/>
        <v>-209</v>
      </c>
      <c r="X160" s="220">
        <f t="shared" si="201"/>
        <v>-132</v>
      </c>
      <c r="Y160" s="220">
        <f t="shared" si="201"/>
        <v>353</v>
      </c>
      <c r="Z160" s="220">
        <v>0</v>
      </c>
      <c r="AA160" s="220">
        <v>3</v>
      </c>
      <c r="AB160" s="220">
        <v>1</v>
      </c>
      <c r="AC160" s="220">
        <v>1</v>
      </c>
      <c r="AD160" s="220">
        <v>0</v>
      </c>
      <c r="AE160" s="220">
        <f t="shared" si="202"/>
        <v>-39</v>
      </c>
      <c r="AF160" s="220">
        <f t="shared" si="202"/>
        <v>-537</v>
      </c>
      <c r="AG160" s="220">
        <f t="shared" si="202"/>
        <v>-676</v>
      </c>
      <c r="AH160" s="220">
        <f t="shared" si="202"/>
        <v>-614</v>
      </c>
      <c r="AI160" s="220">
        <f t="shared" si="202"/>
        <v>-206</v>
      </c>
      <c r="AJ160" s="50">
        <f t="shared" si="182"/>
        <v>0.99100000000000554</v>
      </c>
      <c r="AK160" s="257"/>
      <c r="AL160" s="257">
        <f t="shared" si="183"/>
        <v>1.2</v>
      </c>
      <c r="AM160" s="52"/>
      <c r="AN160" s="88"/>
    </row>
    <row r="161" spans="1:40" s="29" customFormat="1" ht="17.25" customHeight="1">
      <c r="A161" s="48">
        <v>151</v>
      </c>
      <c r="B161" s="49">
        <f t="shared" si="175"/>
        <v>45735</v>
      </c>
      <c r="C161" s="220">
        <f t="shared" si="176"/>
        <v>1049</v>
      </c>
      <c r="D161" s="220">
        <f t="shared" ref="D161" si="205">D160-26</f>
        <v>1960</v>
      </c>
      <c r="E161" s="220">
        <f t="shared" si="178"/>
        <v>3009</v>
      </c>
      <c r="F161" s="220">
        <f t="shared" si="170"/>
        <v>582</v>
      </c>
      <c r="G161" s="220">
        <f t="shared" si="171"/>
        <v>829</v>
      </c>
      <c r="H161" s="220">
        <f t="shared" si="172"/>
        <v>1072</v>
      </c>
      <c r="I161" s="220">
        <f t="shared" si="173"/>
        <v>995</v>
      </c>
      <c r="J161" s="220">
        <f t="shared" si="174"/>
        <v>656</v>
      </c>
      <c r="K161" s="220">
        <f t="shared" si="140"/>
        <v>2427</v>
      </c>
      <c r="L161" s="220">
        <f t="shared" si="140"/>
        <v>2180</v>
      </c>
      <c r="M161" s="220">
        <f t="shared" si="140"/>
        <v>1937</v>
      </c>
      <c r="N161" s="220">
        <f t="shared" si="140"/>
        <v>2014</v>
      </c>
      <c r="O161" s="220">
        <f t="shared" si="140"/>
        <v>2353</v>
      </c>
      <c r="P161" s="220">
        <f t="shared" si="200"/>
        <v>2000</v>
      </c>
      <c r="Q161" s="220">
        <f t="shared" si="200"/>
        <v>2150</v>
      </c>
      <c r="R161" s="220">
        <f t="shared" si="200"/>
        <v>2150</v>
      </c>
      <c r="S161" s="220">
        <f t="shared" si="200"/>
        <v>2150</v>
      </c>
      <c r="T161" s="220">
        <f t="shared" si="200"/>
        <v>2000</v>
      </c>
      <c r="U161" s="220">
        <f t="shared" si="201"/>
        <v>427</v>
      </c>
      <c r="V161" s="220">
        <f t="shared" si="201"/>
        <v>30</v>
      </c>
      <c r="W161" s="220">
        <f t="shared" si="201"/>
        <v>-213</v>
      </c>
      <c r="X161" s="220">
        <f t="shared" si="201"/>
        <v>-136</v>
      </c>
      <c r="Y161" s="220">
        <f t="shared" si="201"/>
        <v>353</v>
      </c>
      <c r="Z161" s="220">
        <v>1</v>
      </c>
      <c r="AA161" s="220">
        <v>0</v>
      </c>
      <c r="AB161" s="220">
        <v>4</v>
      </c>
      <c r="AC161" s="220">
        <v>4</v>
      </c>
      <c r="AD161" s="220">
        <v>0</v>
      </c>
      <c r="AE161" s="220">
        <f t="shared" si="202"/>
        <v>-40</v>
      </c>
      <c r="AF161" s="220">
        <f t="shared" si="202"/>
        <v>-537</v>
      </c>
      <c r="AG161" s="220">
        <f t="shared" si="202"/>
        <v>-680</v>
      </c>
      <c r="AH161" s="220">
        <f t="shared" si="202"/>
        <v>-618</v>
      </c>
      <c r="AI161" s="220">
        <f t="shared" si="202"/>
        <v>-206</v>
      </c>
      <c r="AJ161" s="50">
        <f t="shared" si="182"/>
        <v>0.98700000000000554</v>
      </c>
      <c r="AK161" s="257"/>
      <c r="AL161" s="257">
        <f t="shared" si="183"/>
        <v>1.2</v>
      </c>
      <c r="AM161" s="52"/>
      <c r="AN161" s="88"/>
    </row>
    <row r="162" spans="1:40" s="29" customFormat="1" ht="17.25" customHeight="1">
      <c r="A162" s="48">
        <v>152</v>
      </c>
      <c r="B162" s="49">
        <f t="shared" si="175"/>
        <v>45736</v>
      </c>
      <c r="C162" s="220">
        <f t="shared" si="176"/>
        <v>1049</v>
      </c>
      <c r="D162" s="220">
        <f t="shared" ref="D162" si="206">D161+15</f>
        <v>1975</v>
      </c>
      <c r="E162" s="220">
        <f t="shared" si="178"/>
        <v>3024</v>
      </c>
      <c r="F162" s="220">
        <f t="shared" si="170"/>
        <v>597</v>
      </c>
      <c r="G162" s="220">
        <f t="shared" si="171"/>
        <v>844</v>
      </c>
      <c r="H162" s="220">
        <f t="shared" si="172"/>
        <v>1087</v>
      </c>
      <c r="I162" s="220">
        <f t="shared" si="173"/>
        <v>1014</v>
      </c>
      <c r="J162" s="220">
        <f t="shared" si="174"/>
        <v>671</v>
      </c>
      <c r="K162" s="220">
        <f t="shared" si="140"/>
        <v>2427</v>
      </c>
      <c r="L162" s="220">
        <f t="shared" si="140"/>
        <v>2180</v>
      </c>
      <c r="M162" s="220">
        <f t="shared" si="140"/>
        <v>1937</v>
      </c>
      <c r="N162" s="220">
        <f t="shared" si="140"/>
        <v>2010</v>
      </c>
      <c r="O162" s="220">
        <f t="shared" si="140"/>
        <v>2353</v>
      </c>
      <c r="P162" s="220">
        <f t="shared" si="200"/>
        <v>2000</v>
      </c>
      <c r="Q162" s="220">
        <f t="shared" si="200"/>
        <v>2150</v>
      </c>
      <c r="R162" s="220">
        <f t="shared" si="200"/>
        <v>2150</v>
      </c>
      <c r="S162" s="220">
        <f t="shared" si="200"/>
        <v>2150</v>
      </c>
      <c r="T162" s="220">
        <f t="shared" si="200"/>
        <v>2000</v>
      </c>
      <c r="U162" s="220">
        <f t="shared" si="201"/>
        <v>427</v>
      </c>
      <c r="V162" s="220">
        <f t="shared" si="201"/>
        <v>30</v>
      </c>
      <c r="W162" s="220">
        <f t="shared" si="201"/>
        <v>-213</v>
      </c>
      <c r="X162" s="220">
        <f t="shared" si="201"/>
        <v>-140</v>
      </c>
      <c r="Y162" s="220">
        <f t="shared" si="201"/>
        <v>353</v>
      </c>
      <c r="Z162" s="220">
        <v>0</v>
      </c>
      <c r="AA162" s="220">
        <v>0</v>
      </c>
      <c r="AB162" s="220">
        <v>0</v>
      </c>
      <c r="AC162" s="220">
        <v>4</v>
      </c>
      <c r="AD162" s="220">
        <v>0</v>
      </c>
      <c r="AE162" s="220">
        <f t="shared" si="202"/>
        <v>-40</v>
      </c>
      <c r="AF162" s="220">
        <f t="shared" si="202"/>
        <v>-537</v>
      </c>
      <c r="AG162" s="220">
        <f t="shared" si="202"/>
        <v>-680</v>
      </c>
      <c r="AH162" s="220">
        <f t="shared" si="202"/>
        <v>-622</v>
      </c>
      <c r="AI162" s="220">
        <f t="shared" si="202"/>
        <v>-206</v>
      </c>
      <c r="AJ162" s="50">
        <f t="shared" si="182"/>
        <v>0.98700000000000554</v>
      </c>
      <c r="AK162" s="257"/>
      <c r="AL162" s="257">
        <f t="shared" si="183"/>
        <v>1.2</v>
      </c>
      <c r="AM162" s="52"/>
      <c r="AN162" s="88"/>
    </row>
    <row r="163" spans="1:40" s="29" customFormat="1" ht="17.25" customHeight="1">
      <c r="A163" s="48">
        <v>153</v>
      </c>
      <c r="B163" s="49">
        <f t="shared" si="175"/>
        <v>45737</v>
      </c>
      <c r="C163" s="220">
        <f t="shared" si="176"/>
        <v>1049</v>
      </c>
      <c r="D163" s="220">
        <f t="shared" ref="D163" si="207">D162+26</f>
        <v>2001</v>
      </c>
      <c r="E163" s="220">
        <f t="shared" si="178"/>
        <v>3050</v>
      </c>
      <c r="F163" s="220">
        <f t="shared" si="170"/>
        <v>623</v>
      </c>
      <c r="G163" s="220">
        <f t="shared" si="171"/>
        <v>870</v>
      </c>
      <c r="H163" s="220">
        <f t="shared" si="172"/>
        <v>1114</v>
      </c>
      <c r="I163" s="220">
        <f t="shared" si="173"/>
        <v>1041</v>
      </c>
      <c r="J163" s="220">
        <f t="shared" si="174"/>
        <v>697</v>
      </c>
      <c r="K163" s="220">
        <f t="shared" si="140"/>
        <v>2427</v>
      </c>
      <c r="L163" s="220">
        <f t="shared" si="140"/>
        <v>2180</v>
      </c>
      <c r="M163" s="220">
        <f t="shared" si="140"/>
        <v>1936</v>
      </c>
      <c r="N163" s="220">
        <f t="shared" si="140"/>
        <v>2009</v>
      </c>
      <c r="O163" s="220">
        <f t="shared" si="140"/>
        <v>2353</v>
      </c>
      <c r="P163" s="220">
        <f t="shared" si="200"/>
        <v>2000</v>
      </c>
      <c r="Q163" s="220">
        <f t="shared" si="200"/>
        <v>2150</v>
      </c>
      <c r="R163" s="220">
        <f t="shared" si="200"/>
        <v>2150</v>
      </c>
      <c r="S163" s="220">
        <f t="shared" si="200"/>
        <v>2150</v>
      </c>
      <c r="T163" s="220">
        <f t="shared" si="200"/>
        <v>2000</v>
      </c>
      <c r="U163" s="220">
        <f t="shared" si="201"/>
        <v>427</v>
      </c>
      <c r="V163" s="220">
        <f t="shared" si="201"/>
        <v>30</v>
      </c>
      <c r="W163" s="220">
        <f t="shared" si="201"/>
        <v>-214</v>
      </c>
      <c r="X163" s="220">
        <f t="shared" si="201"/>
        <v>-141</v>
      </c>
      <c r="Y163" s="220">
        <f t="shared" si="201"/>
        <v>353</v>
      </c>
      <c r="Z163" s="220">
        <v>0</v>
      </c>
      <c r="AA163" s="220">
        <v>0</v>
      </c>
      <c r="AB163" s="220">
        <v>1</v>
      </c>
      <c r="AC163" s="220">
        <v>1</v>
      </c>
      <c r="AD163" s="220">
        <v>0</v>
      </c>
      <c r="AE163" s="220">
        <f t="shared" si="202"/>
        <v>-40</v>
      </c>
      <c r="AF163" s="220">
        <f t="shared" si="202"/>
        <v>-537</v>
      </c>
      <c r="AG163" s="220">
        <f t="shared" si="202"/>
        <v>-681</v>
      </c>
      <c r="AH163" s="220">
        <f t="shared" si="202"/>
        <v>-623</v>
      </c>
      <c r="AI163" s="220">
        <f t="shared" si="202"/>
        <v>-206</v>
      </c>
      <c r="AJ163" s="50">
        <f t="shared" si="182"/>
        <v>0.98600000000000554</v>
      </c>
      <c r="AK163" s="257"/>
      <c r="AL163" s="257">
        <f t="shared" si="183"/>
        <v>1.2</v>
      </c>
      <c r="AM163" s="52"/>
      <c r="AN163" s="88"/>
    </row>
    <row r="164" spans="1:40" s="29" customFormat="1" ht="17.25" customHeight="1">
      <c r="A164" s="48">
        <v>154</v>
      </c>
      <c r="B164" s="49">
        <f t="shared" si="175"/>
        <v>45738</v>
      </c>
      <c r="C164" s="220">
        <f t="shared" si="176"/>
        <v>1049</v>
      </c>
      <c r="D164" s="220">
        <f t="shared" ref="D164" si="208">D163+32</f>
        <v>2033</v>
      </c>
      <c r="E164" s="220">
        <f t="shared" si="178"/>
        <v>3082</v>
      </c>
      <c r="F164" s="220">
        <f t="shared" si="170"/>
        <v>656</v>
      </c>
      <c r="G164" s="220">
        <f t="shared" si="171"/>
        <v>906</v>
      </c>
      <c r="H164" s="220">
        <f t="shared" si="172"/>
        <v>1149</v>
      </c>
      <c r="I164" s="220">
        <f t="shared" si="173"/>
        <v>1073</v>
      </c>
      <c r="J164" s="220">
        <f t="shared" si="174"/>
        <v>729</v>
      </c>
      <c r="K164" s="220">
        <f t="shared" si="140"/>
        <v>2426</v>
      </c>
      <c r="L164" s="220">
        <f t="shared" si="140"/>
        <v>2176</v>
      </c>
      <c r="M164" s="220">
        <f t="shared" si="140"/>
        <v>1933</v>
      </c>
      <c r="N164" s="220">
        <f t="shared" si="140"/>
        <v>2009</v>
      </c>
      <c r="O164" s="220">
        <f t="shared" si="140"/>
        <v>2353</v>
      </c>
      <c r="P164" s="220">
        <f t="shared" si="200"/>
        <v>2000</v>
      </c>
      <c r="Q164" s="220">
        <f t="shared" si="200"/>
        <v>2150</v>
      </c>
      <c r="R164" s="220">
        <f t="shared" si="200"/>
        <v>2150</v>
      </c>
      <c r="S164" s="220">
        <f t="shared" si="200"/>
        <v>2150</v>
      </c>
      <c r="T164" s="220">
        <f t="shared" si="200"/>
        <v>2000</v>
      </c>
      <c r="U164" s="220">
        <f t="shared" si="201"/>
        <v>426</v>
      </c>
      <c r="V164" s="220">
        <f t="shared" si="201"/>
        <v>26</v>
      </c>
      <c r="W164" s="220">
        <f t="shared" si="201"/>
        <v>-217</v>
      </c>
      <c r="X164" s="220">
        <f t="shared" si="201"/>
        <v>-141</v>
      </c>
      <c r="Y164" s="220">
        <f t="shared" si="201"/>
        <v>353</v>
      </c>
      <c r="Z164" s="220">
        <v>1</v>
      </c>
      <c r="AA164" s="220">
        <v>4</v>
      </c>
      <c r="AB164" s="220">
        <v>3</v>
      </c>
      <c r="AC164" s="220">
        <v>0</v>
      </c>
      <c r="AD164" s="220">
        <v>0</v>
      </c>
      <c r="AE164" s="220">
        <f t="shared" si="202"/>
        <v>-41</v>
      </c>
      <c r="AF164" s="220">
        <f t="shared" si="202"/>
        <v>-541</v>
      </c>
      <c r="AG164" s="220">
        <f t="shared" si="202"/>
        <v>-684</v>
      </c>
      <c r="AH164" s="220">
        <f t="shared" si="202"/>
        <v>-623</v>
      </c>
      <c r="AI164" s="220">
        <f t="shared" si="202"/>
        <v>-206</v>
      </c>
      <c r="AJ164" s="50">
        <f t="shared" si="182"/>
        <v>0.98300000000000554</v>
      </c>
      <c r="AK164" s="257"/>
      <c r="AL164" s="257">
        <f t="shared" si="183"/>
        <v>1.2</v>
      </c>
      <c r="AM164" s="52"/>
      <c r="AN164" s="88"/>
    </row>
    <row r="165" spans="1:40" s="29" customFormat="1" ht="17.25" customHeight="1">
      <c r="A165" s="48">
        <v>155</v>
      </c>
      <c r="B165" s="49">
        <f t="shared" si="175"/>
        <v>45739</v>
      </c>
      <c r="C165" s="220">
        <f t="shared" si="176"/>
        <v>1049</v>
      </c>
      <c r="D165" s="220">
        <f t="shared" ref="D165" si="209">D164-18</f>
        <v>2015</v>
      </c>
      <c r="E165" s="220">
        <f t="shared" si="178"/>
        <v>3064</v>
      </c>
      <c r="F165" s="220">
        <f t="shared" si="170"/>
        <v>638</v>
      </c>
      <c r="G165" s="220">
        <f t="shared" si="171"/>
        <v>888</v>
      </c>
      <c r="H165" s="220">
        <f t="shared" si="172"/>
        <v>1134</v>
      </c>
      <c r="I165" s="220">
        <f t="shared" si="173"/>
        <v>1057</v>
      </c>
      <c r="J165" s="220">
        <f t="shared" si="174"/>
        <v>711</v>
      </c>
      <c r="K165" s="220">
        <f t="shared" ref="K165:O215" si="210">P165+U165</f>
        <v>2426</v>
      </c>
      <c r="L165" s="220">
        <f t="shared" si="210"/>
        <v>2176</v>
      </c>
      <c r="M165" s="220">
        <f t="shared" si="210"/>
        <v>1930</v>
      </c>
      <c r="N165" s="220">
        <f t="shared" si="210"/>
        <v>2007</v>
      </c>
      <c r="O165" s="220">
        <f t="shared" si="210"/>
        <v>2353</v>
      </c>
      <c r="P165" s="220">
        <f t="shared" si="200"/>
        <v>2000</v>
      </c>
      <c r="Q165" s="220">
        <f t="shared" si="200"/>
        <v>2150</v>
      </c>
      <c r="R165" s="220">
        <f t="shared" si="200"/>
        <v>2150</v>
      </c>
      <c r="S165" s="220">
        <f t="shared" si="200"/>
        <v>2150</v>
      </c>
      <c r="T165" s="220">
        <f t="shared" si="200"/>
        <v>2000</v>
      </c>
      <c r="U165" s="220">
        <f t="shared" si="201"/>
        <v>426</v>
      </c>
      <c r="V165" s="220">
        <f t="shared" si="201"/>
        <v>26</v>
      </c>
      <c r="W165" s="220">
        <f t="shared" si="201"/>
        <v>-220</v>
      </c>
      <c r="X165" s="220">
        <f t="shared" si="201"/>
        <v>-143</v>
      </c>
      <c r="Y165" s="220">
        <f t="shared" si="201"/>
        <v>353</v>
      </c>
      <c r="Z165" s="220">
        <v>0</v>
      </c>
      <c r="AA165" s="220">
        <v>0</v>
      </c>
      <c r="AB165" s="220">
        <v>3</v>
      </c>
      <c r="AC165" s="220">
        <v>2</v>
      </c>
      <c r="AD165" s="220">
        <v>0</v>
      </c>
      <c r="AE165" s="220">
        <f t="shared" si="202"/>
        <v>-41</v>
      </c>
      <c r="AF165" s="220">
        <f t="shared" si="202"/>
        <v>-541</v>
      </c>
      <c r="AG165" s="220">
        <f t="shared" si="202"/>
        <v>-687</v>
      </c>
      <c r="AH165" s="220">
        <f t="shared" si="202"/>
        <v>-625</v>
      </c>
      <c r="AI165" s="220">
        <f t="shared" si="202"/>
        <v>-206</v>
      </c>
      <c r="AJ165" s="50">
        <f t="shared" si="182"/>
        <v>0.98000000000000553</v>
      </c>
      <c r="AK165" s="257"/>
      <c r="AL165" s="257">
        <f t="shared" si="183"/>
        <v>1.2</v>
      </c>
      <c r="AM165" s="52"/>
      <c r="AN165" s="88"/>
    </row>
    <row r="166" spans="1:40" s="29" customFormat="1" ht="17.25" customHeight="1">
      <c r="A166" s="48">
        <v>156</v>
      </c>
      <c r="B166" s="49">
        <f t="shared" si="175"/>
        <v>45740</v>
      </c>
      <c r="C166" s="220">
        <f t="shared" si="176"/>
        <v>1049</v>
      </c>
      <c r="D166" s="220">
        <f t="shared" ref="D166" si="211">D165-26</f>
        <v>1989</v>
      </c>
      <c r="E166" s="220">
        <f t="shared" si="178"/>
        <v>3038</v>
      </c>
      <c r="F166" s="220">
        <f t="shared" si="170"/>
        <v>613</v>
      </c>
      <c r="G166" s="220">
        <f t="shared" si="171"/>
        <v>862</v>
      </c>
      <c r="H166" s="220">
        <f t="shared" si="172"/>
        <v>1109</v>
      </c>
      <c r="I166" s="220">
        <f t="shared" si="173"/>
        <v>1035</v>
      </c>
      <c r="J166" s="220">
        <f t="shared" si="174"/>
        <v>685</v>
      </c>
      <c r="K166" s="220">
        <f t="shared" si="210"/>
        <v>2425</v>
      </c>
      <c r="L166" s="220">
        <f t="shared" si="210"/>
        <v>2176</v>
      </c>
      <c r="M166" s="220">
        <f t="shared" si="210"/>
        <v>1929</v>
      </c>
      <c r="N166" s="220">
        <f t="shared" si="210"/>
        <v>2003</v>
      </c>
      <c r="O166" s="220">
        <f t="shared" si="210"/>
        <v>2353</v>
      </c>
      <c r="P166" s="220">
        <f t="shared" si="200"/>
        <v>2000</v>
      </c>
      <c r="Q166" s="220">
        <f t="shared" si="200"/>
        <v>2150</v>
      </c>
      <c r="R166" s="220">
        <f t="shared" si="200"/>
        <v>2150</v>
      </c>
      <c r="S166" s="220">
        <f t="shared" si="200"/>
        <v>2150</v>
      </c>
      <c r="T166" s="220">
        <f t="shared" si="200"/>
        <v>2000</v>
      </c>
      <c r="U166" s="220">
        <f t="shared" si="201"/>
        <v>425</v>
      </c>
      <c r="V166" s="220">
        <f t="shared" si="201"/>
        <v>26</v>
      </c>
      <c r="W166" s="220">
        <f t="shared" si="201"/>
        <v>-221</v>
      </c>
      <c r="X166" s="220">
        <f t="shared" si="201"/>
        <v>-147</v>
      </c>
      <c r="Y166" s="220">
        <f t="shared" si="201"/>
        <v>353</v>
      </c>
      <c r="Z166" s="220">
        <v>1</v>
      </c>
      <c r="AA166" s="220">
        <v>0</v>
      </c>
      <c r="AB166" s="220">
        <v>1</v>
      </c>
      <c r="AC166" s="220">
        <v>4</v>
      </c>
      <c r="AD166" s="220">
        <v>0</v>
      </c>
      <c r="AE166" s="220">
        <f t="shared" si="202"/>
        <v>-42</v>
      </c>
      <c r="AF166" s="220">
        <f t="shared" si="202"/>
        <v>-541</v>
      </c>
      <c r="AG166" s="220">
        <f t="shared" si="202"/>
        <v>-688</v>
      </c>
      <c r="AH166" s="220">
        <f t="shared" si="202"/>
        <v>-629</v>
      </c>
      <c r="AI166" s="220">
        <f t="shared" si="202"/>
        <v>-206</v>
      </c>
      <c r="AJ166" s="50">
        <f t="shared" si="182"/>
        <v>0.97900000000000553</v>
      </c>
      <c r="AK166" s="257"/>
      <c r="AL166" s="257">
        <f t="shared" si="183"/>
        <v>1.2</v>
      </c>
      <c r="AM166" s="52"/>
      <c r="AN166" s="88"/>
    </row>
    <row r="167" spans="1:40" s="29" customFormat="1" ht="17.25" customHeight="1">
      <c r="A167" s="48">
        <v>157</v>
      </c>
      <c r="B167" s="49">
        <f t="shared" si="175"/>
        <v>45741</v>
      </c>
      <c r="C167" s="220">
        <f t="shared" si="176"/>
        <v>1049</v>
      </c>
      <c r="D167" s="220">
        <f t="shared" ref="D167" si="212">D166+15</f>
        <v>2004</v>
      </c>
      <c r="E167" s="220">
        <f t="shared" si="178"/>
        <v>3053</v>
      </c>
      <c r="F167" s="220">
        <f t="shared" si="170"/>
        <v>628</v>
      </c>
      <c r="G167" s="220">
        <f t="shared" si="171"/>
        <v>881</v>
      </c>
      <c r="H167" s="220">
        <f t="shared" si="172"/>
        <v>1126</v>
      </c>
      <c r="I167" s="220">
        <f t="shared" si="173"/>
        <v>1050</v>
      </c>
      <c r="J167" s="220">
        <f t="shared" si="174"/>
        <v>700</v>
      </c>
      <c r="K167" s="220">
        <f t="shared" si="210"/>
        <v>2425</v>
      </c>
      <c r="L167" s="220">
        <f t="shared" si="210"/>
        <v>2172</v>
      </c>
      <c r="M167" s="220">
        <f t="shared" si="210"/>
        <v>1927</v>
      </c>
      <c r="N167" s="220">
        <f t="shared" si="210"/>
        <v>2003</v>
      </c>
      <c r="O167" s="220">
        <f t="shared" si="210"/>
        <v>2353</v>
      </c>
      <c r="P167" s="220">
        <f t="shared" si="200"/>
        <v>2000</v>
      </c>
      <c r="Q167" s="220">
        <f t="shared" si="200"/>
        <v>2150</v>
      </c>
      <c r="R167" s="220">
        <f t="shared" si="200"/>
        <v>2150</v>
      </c>
      <c r="S167" s="220">
        <f t="shared" si="200"/>
        <v>2150</v>
      </c>
      <c r="T167" s="220">
        <f t="shared" si="200"/>
        <v>2000</v>
      </c>
      <c r="U167" s="220">
        <f t="shared" si="201"/>
        <v>425</v>
      </c>
      <c r="V167" s="220">
        <f t="shared" si="201"/>
        <v>22</v>
      </c>
      <c r="W167" s="220">
        <f t="shared" si="201"/>
        <v>-223</v>
      </c>
      <c r="X167" s="220">
        <f t="shared" si="201"/>
        <v>-147</v>
      </c>
      <c r="Y167" s="220">
        <f t="shared" si="201"/>
        <v>353</v>
      </c>
      <c r="Z167" s="220">
        <v>0</v>
      </c>
      <c r="AA167" s="220">
        <v>4</v>
      </c>
      <c r="AB167" s="220">
        <v>2</v>
      </c>
      <c r="AC167" s="220">
        <v>0</v>
      </c>
      <c r="AD167" s="220">
        <v>0</v>
      </c>
      <c r="AE167" s="220">
        <f t="shared" si="202"/>
        <v>-42</v>
      </c>
      <c r="AF167" s="220">
        <f t="shared" si="202"/>
        <v>-545</v>
      </c>
      <c r="AG167" s="220">
        <f t="shared" si="202"/>
        <v>-690</v>
      </c>
      <c r="AH167" s="220">
        <f t="shared" si="202"/>
        <v>-629</v>
      </c>
      <c r="AI167" s="220">
        <f t="shared" si="202"/>
        <v>-206</v>
      </c>
      <c r="AJ167" s="50">
        <f t="shared" si="182"/>
        <v>0.97700000000000553</v>
      </c>
      <c r="AK167" s="257"/>
      <c r="AL167" s="257">
        <f t="shared" si="183"/>
        <v>1.2</v>
      </c>
      <c r="AM167" s="52"/>
      <c r="AN167" s="88"/>
    </row>
    <row r="168" spans="1:40" s="29" customFormat="1" ht="17.25" customHeight="1">
      <c r="A168" s="48">
        <v>158</v>
      </c>
      <c r="B168" s="49">
        <f t="shared" si="175"/>
        <v>45742</v>
      </c>
      <c r="C168" s="220">
        <f t="shared" si="176"/>
        <v>1049</v>
      </c>
      <c r="D168" s="220">
        <f t="shared" ref="D168" si="213">D167+26</f>
        <v>2030</v>
      </c>
      <c r="E168" s="220">
        <f t="shared" si="178"/>
        <v>3079</v>
      </c>
      <c r="F168" s="220">
        <f t="shared" si="170"/>
        <v>655</v>
      </c>
      <c r="G168" s="220">
        <f t="shared" si="171"/>
        <v>907</v>
      </c>
      <c r="H168" s="220">
        <f t="shared" si="172"/>
        <v>1152</v>
      </c>
      <c r="I168" s="220">
        <f t="shared" si="173"/>
        <v>1076</v>
      </c>
      <c r="J168" s="220">
        <f t="shared" si="174"/>
        <v>726</v>
      </c>
      <c r="K168" s="220">
        <f t="shared" si="210"/>
        <v>2424</v>
      </c>
      <c r="L168" s="220">
        <f t="shared" si="210"/>
        <v>2172</v>
      </c>
      <c r="M168" s="220">
        <f t="shared" si="210"/>
        <v>1927</v>
      </c>
      <c r="N168" s="220">
        <f t="shared" si="210"/>
        <v>2003</v>
      </c>
      <c r="O168" s="220">
        <f t="shared" si="210"/>
        <v>2353</v>
      </c>
      <c r="P168" s="220">
        <f t="shared" si="200"/>
        <v>2000</v>
      </c>
      <c r="Q168" s="220">
        <f t="shared" si="200"/>
        <v>2150</v>
      </c>
      <c r="R168" s="220">
        <f t="shared" si="200"/>
        <v>2150</v>
      </c>
      <c r="S168" s="220">
        <f t="shared" si="200"/>
        <v>2150</v>
      </c>
      <c r="T168" s="220">
        <f t="shared" si="200"/>
        <v>2000</v>
      </c>
      <c r="U168" s="220">
        <f t="shared" si="201"/>
        <v>424</v>
      </c>
      <c r="V168" s="220">
        <f t="shared" si="201"/>
        <v>22</v>
      </c>
      <c r="W168" s="220">
        <f t="shared" si="201"/>
        <v>-223</v>
      </c>
      <c r="X168" s="220">
        <f t="shared" si="201"/>
        <v>-147</v>
      </c>
      <c r="Y168" s="220">
        <f t="shared" si="201"/>
        <v>353</v>
      </c>
      <c r="Z168" s="220">
        <v>1</v>
      </c>
      <c r="AA168" s="220">
        <v>0</v>
      </c>
      <c r="AB168" s="220">
        <v>0</v>
      </c>
      <c r="AC168" s="220">
        <v>0</v>
      </c>
      <c r="AD168" s="220">
        <v>0</v>
      </c>
      <c r="AE168" s="220">
        <f t="shared" si="202"/>
        <v>-43</v>
      </c>
      <c r="AF168" s="220">
        <f t="shared" si="202"/>
        <v>-545</v>
      </c>
      <c r="AG168" s="220">
        <f t="shared" si="202"/>
        <v>-690</v>
      </c>
      <c r="AH168" s="220">
        <f t="shared" si="202"/>
        <v>-629</v>
      </c>
      <c r="AI168" s="220">
        <f t="shared" si="202"/>
        <v>-206</v>
      </c>
      <c r="AJ168" s="50">
        <f t="shared" si="182"/>
        <v>0.97700000000000553</v>
      </c>
      <c r="AK168" s="257"/>
      <c r="AL168" s="257">
        <f t="shared" si="183"/>
        <v>1.2</v>
      </c>
      <c r="AM168" s="52"/>
      <c r="AN168" s="88"/>
    </row>
    <row r="169" spans="1:40" s="29" customFormat="1" ht="17.25" customHeight="1">
      <c r="A169" s="48">
        <v>159</v>
      </c>
      <c r="B169" s="49">
        <f t="shared" si="175"/>
        <v>45743</v>
      </c>
      <c r="C169" s="220">
        <f t="shared" si="176"/>
        <v>1049</v>
      </c>
      <c r="D169" s="220">
        <f t="shared" ref="D169" si="214">D168+32</f>
        <v>2062</v>
      </c>
      <c r="E169" s="220">
        <f t="shared" si="178"/>
        <v>3111</v>
      </c>
      <c r="F169" s="220">
        <f t="shared" si="170"/>
        <v>687</v>
      </c>
      <c r="G169" s="220">
        <f t="shared" si="171"/>
        <v>939</v>
      </c>
      <c r="H169" s="220">
        <f t="shared" si="172"/>
        <v>1185</v>
      </c>
      <c r="I169" s="220">
        <f t="shared" si="173"/>
        <v>1108</v>
      </c>
      <c r="J169" s="220">
        <f t="shared" si="174"/>
        <v>760</v>
      </c>
      <c r="K169" s="220">
        <f t="shared" si="210"/>
        <v>2424</v>
      </c>
      <c r="L169" s="220">
        <f t="shared" si="210"/>
        <v>2172</v>
      </c>
      <c r="M169" s="220">
        <f t="shared" si="210"/>
        <v>1926</v>
      </c>
      <c r="N169" s="220">
        <f t="shared" si="210"/>
        <v>2003</v>
      </c>
      <c r="O169" s="220">
        <f t="shared" si="210"/>
        <v>2351</v>
      </c>
      <c r="P169" s="220">
        <f t="shared" si="200"/>
        <v>2000</v>
      </c>
      <c r="Q169" s="220">
        <f t="shared" si="200"/>
        <v>2150</v>
      </c>
      <c r="R169" s="220">
        <f t="shared" si="200"/>
        <v>2150</v>
      </c>
      <c r="S169" s="220">
        <f t="shared" si="200"/>
        <v>2150</v>
      </c>
      <c r="T169" s="220">
        <f t="shared" si="200"/>
        <v>2000</v>
      </c>
      <c r="U169" s="220">
        <f t="shared" si="201"/>
        <v>424</v>
      </c>
      <c r="V169" s="220">
        <f t="shared" si="201"/>
        <v>22</v>
      </c>
      <c r="W169" s="220">
        <f t="shared" si="201"/>
        <v>-224</v>
      </c>
      <c r="X169" s="220">
        <f t="shared" si="201"/>
        <v>-147</v>
      </c>
      <c r="Y169" s="220">
        <f t="shared" si="201"/>
        <v>351</v>
      </c>
      <c r="Z169" s="220">
        <v>0</v>
      </c>
      <c r="AA169" s="220">
        <v>0</v>
      </c>
      <c r="AB169" s="220">
        <v>1</v>
      </c>
      <c r="AC169" s="220">
        <v>0</v>
      </c>
      <c r="AD169" s="220">
        <v>2</v>
      </c>
      <c r="AE169" s="220">
        <f t="shared" si="202"/>
        <v>-43</v>
      </c>
      <c r="AF169" s="220">
        <f t="shared" si="202"/>
        <v>-545</v>
      </c>
      <c r="AG169" s="220">
        <f t="shared" si="202"/>
        <v>-691</v>
      </c>
      <c r="AH169" s="220">
        <f t="shared" si="202"/>
        <v>-629</v>
      </c>
      <c r="AI169" s="220">
        <f t="shared" si="202"/>
        <v>-208</v>
      </c>
      <c r="AJ169" s="50">
        <f t="shared" si="182"/>
        <v>0.97600000000000553</v>
      </c>
      <c r="AK169" s="257"/>
      <c r="AL169" s="257">
        <f t="shared" si="183"/>
        <v>1.2</v>
      </c>
      <c r="AM169" s="52"/>
      <c r="AN169" s="88"/>
    </row>
    <row r="170" spans="1:40" s="29" customFormat="1" ht="17.25" customHeight="1">
      <c r="A170" s="48">
        <v>160</v>
      </c>
      <c r="B170" s="49">
        <f t="shared" si="175"/>
        <v>45744</v>
      </c>
      <c r="C170" s="220">
        <f t="shared" si="176"/>
        <v>1049</v>
      </c>
      <c r="D170" s="220">
        <f t="shared" ref="D170" si="215">D169-18</f>
        <v>2044</v>
      </c>
      <c r="E170" s="220">
        <f t="shared" si="178"/>
        <v>3093</v>
      </c>
      <c r="F170" s="220">
        <f t="shared" si="170"/>
        <v>670</v>
      </c>
      <c r="G170" s="220">
        <f t="shared" si="171"/>
        <v>922</v>
      </c>
      <c r="H170" s="220">
        <f t="shared" si="172"/>
        <v>1171</v>
      </c>
      <c r="I170" s="220">
        <f t="shared" si="173"/>
        <v>1094</v>
      </c>
      <c r="J170" s="220">
        <f t="shared" si="174"/>
        <v>742</v>
      </c>
      <c r="K170" s="220">
        <f t="shared" si="210"/>
        <v>2423</v>
      </c>
      <c r="L170" s="220">
        <f t="shared" si="210"/>
        <v>2171</v>
      </c>
      <c r="M170" s="220">
        <f t="shared" si="210"/>
        <v>1922</v>
      </c>
      <c r="N170" s="220">
        <f t="shared" si="210"/>
        <v>1999</v>
      </c>
      <c r="O170" s="220">
        <f t="shared" si="210"/>
        <v>2351</v>
      </c>
      <c r="P170" s="220">
        <f t="shared" si="200"/>
        <v>2000</v>
      </c>
      <c r="Q170" s="220">
        <f t="shared" si="200"/>
        <v>2150</v>
      </c>
      <c r="R170" s="220">
        <f t="shared" si="200"/>
        <v>2150</v>
      </c>
      <c r="S170" s="220">
        <f t="shared" si="200"/>
        <v>2150</v>
      </c>
      <c r="T170" s="220">
        <f t="shared" si="200"/>
        <v>2000</v>
      </c>
      <c r="U170" s="220">
        <f t="shared" si="201"/>
        <v>423</v>
      </c>
      <c r="V170" s="220">
        <f t="shared" si="201"/>
        <v>21</v>
      </c>
      <c r="W170" s="220">
        <f t="shared" si="201"/>
        <v>-228</v>
      </c>
      <c r="X170" s="220">
        <f t="shared" si="201"/>
        <v>-151</v>
      </c>
      <c r="Y170" s="220">
        <f t="shared" si="201"/>
        <v>351</v>
      </c>
      <c r="Z170" s="220">
        <v>1</v>
      </c>
      <c r="AA170" s="220">
        <v>1</v>
      </c>
      <c r="AB170" s="220">
        <v>4</v>
      </c>
      <c r="AC170" s="220">
        <v>4</v>
      </c>
      <c r="AD170" s="220">
        <v>0</v>
      </c>
      <c r="AE170" s="220">
        <f t="shared" si="202"/>
        <v>-44</v>
      </c>
      <c r="AF170" s="220">
        <f t="shared" si="202"/>
        <v>-546</v>
      </c>
      <c r="AG170" s="220">
        <f t="shared" si="202"/>
        <v>-695</v>
      </c>
      <c r="AH170" s="220">
        <f t="shared" si="202"/>
        <v>-633</v>
      </c>
      <c r="AI170" s="220">
        <f t="shared" si="202"/>
        <v>-208</v>
      </c>
      <c r="AJ170" s="50">
        <f t="shared" si="182"/>
        <v>0.97200000000000553</v>
      </c>
      <c r="AK170" s="257"/>
      <c r="AL170" s="257">
        <f t="shared" si="183"/>
        <v>1.2</v>
      </c>
      <c r="AM170" s="52"/>
      <c r="AN170" s="88"/>
    </row>
    <row r="171" spans="1:40" s="29" customFormat="1" ht="17.25" customHeight="1">
      <c r="A171" s="48">
        <v>161</v>
      </c>
      <c r="B171" s="49">
        <f t="shared" si="175"/>
        <v>45745</v>
      </c>
      <c r="C171" s="220">
        <f t="shared" si="176"/>
        <v>1049</v>
      </c>
      <c r="D171" s="220">
        <f t="shared" ref="D171" si="216">D170-26</f>
        <v>2018</v>
      </c>
      <c r="E171" s="220">
        <f t="shared" si="178"/>
        <v>3067</v>
      </c>
      <c r="F171" s="220">
        <f t="shared" si="170"/>
        <v>644</v>
      </c>
      <c r="G171" s="220">
        <f t="shared" si="171"/>
        <v>897</v>
      </c>
      <c r="H171" s="220">
        <f t="shared" si="172"/>
        <v>1146</v>
      </c>
      <c r="I171" s="220">
        <f t="shared" si="173"/>
        <v>1068</v>
      </c>
      <c r="J171" s="220">
        <f t="shared" si="174"/>
        <v>716</v>
      </c>
      <c r="K171" s="220">
        <f t="shared" si="210"/>
        <v>2423</v>
      </c>
      <c r="L171" s="220">
        <f t="shared" si="210"/>
        <v>2170</v>
      </c>
      <c r="M171" s="220">
        <f t="shared" si="210"/>
        <v>1921</v>
      </c>
      <c r="N171" s="220">
        <f t="shared" si="210"/>
        <v>1999</v>
      </c>
      <c r="O171" s="220">
        <f t="shared" si="210"/>
        <v>2351</v>
      </c>
      <c r="P171" s="220">
        <f t="shared" si="200"/>
        <v>2000</v>
      </c>
      <c r="Q171" s="220">
        <f t="shared" si="200"/>
        <v>2150</v>
      </c>
      <c r="R171" s="220">
        <f t="shared" si="200"/>
        <v>2150</v>
      </c>
      <c r="S171" s="220">
        <f t="shared" si="200"/>
        <v>2150</v>
      </c>
      <c r="T171" s="220">
        <f t="shared" si="200"/>
        <v>2000</v>
      </c>
      <c r="U171" s="220">
        <f t="shared" si="201"/>
        <v>423</v>
      </c>
      <c r="V171" s="220">
        <f t="shared" si="201"/>
        <v>20</v>
      </c>
      <c r="W171" s="220">
        <f t="shared" si="201"/>
        <v>-229</v>
      </c>
      <c r="X171" s="220">
        <f t="shared" si="201"/>
        <v>-151</v>
      </c>
      <c r="Y171" s="220">
        <f t="shared" si="201"/>
        <v>351</v>
      </c>
      <c r="Z171" s="220">
        <v>0</v>
      </c>
      <c r="AA171" s="220">
        <v>1</v>
      </c>
      <c r="AB171" s="220">
        <v>1</v>
      </c>
      <c r="AC171" s="220">
        <v>0</v>
      </c>
      <c r="AD171" s="220">
        <v>0</v>
      </c>
      <c r="AE171" s="220">
        <f t="shared" si="202"/>
        <v>-44</v>
      </c>
      <c r="AF171" s="220">
        <f t="shared" si="202"/>
        <v>-547</v>
      </c>
      <c r="AG171" s="220">
        <f t="shared" si="202"/>
        <v>-696</v>
      </c>
      <c r="AH171" s="220">
        <f t="shared" si="202"/>
        <v>-633</v>
      </c>
      <c r="AI171" s="220">
        <f t="shared" si="202"/>
        <v>-208</v>
      </c>
      <c r="AJ171" s="50">
        <f t="shared" si="182"/>
        <v>0.97100000000000553</v>
      </c>
      <c r="AK171" s="257"/>
      <c r="AL171" s="257">
        <f t="shared" si="183"/>
        <v>1.2</v>
      </c>
      <c r="AM171" s="52"/>
      <c r="AN171" s="88"/>
    </row>
    <row r="172" spans="1:40" s="29" customFormat="1" ht="17.25" customHeight="1">
      <c r="A172" s="48">
        <v>162</v>
      </c>
      <c r="B172" s="49">
        <f t="shared" si="175"/>
        <v>45746</v>
      </c>
      <c r="C172" s="220">
        <f t="shared" si="176"/>
        <v>1049</v>
      </c>
      <c r="D172" s="220">
        <f t="shared" ref="D172" si="217">D171+15</f>
        <v>2033</v>
      </c>
      <c r="E172" s="220">
        <f t="shared" si="178"/>
        <v>3082</v>
      </c>
      <c r="F172" s="220">
        <f t="shared" si="170"/>
        <v>660</v>
      </c>
      <c r="G172" s="220">
        <f t="shared" si="171"/>
        <v>912</v>
      </c>
      <c r="H172" s="220">
        <f t="shared" si="172"/>
        <v>1165</v>
      </c>
      <c r="I172" s="220">
        <f t="shared" si="173"/>
        <v>1085</v>
      </c>
      <c r="J172" s="220">
        <f t="shared" si="174"/>
        <v>731</v>
      </c>
      <c r="K172" s="220">
        <f t="shared" si="210"/>
        <v>2422</v>
      </c>
      <c r="L172" s="220">
        <f t="shared" si="210"/>
        <v>2170</v>
      </c>
      <c r="M172" s="220">
        <f t="shared" si="210"/>
        <v>1917</v>
      </c>
      <c r="N172" s="220">
        <f t="shared" si="210"/>
        <v>1997</v>
      </c>
      <c r="O172" s="220">
        <f t="shared" si="210"/>
        <v>2351</v>
      </c>
      <c r="P172" s="220">
        <f t="shared" si="200"/>
        <v>2000</v>
      </c>
      <c r="Q172" s="220">
        <f t="shared" si="200"/>
        <v>2150</v>
      </c>
      <c r="R172" s="220">
        <f t="shared" si="200"/>
        <v>2150</v>
      </c>
      <c r="S172" s="220">
        <f t="shared" si="200"/>
        <v>2150</v>
      </c>
      <c r="T172" s="220">
        <f t="shared" si="200"/>
        <v>2000</v>
      </c>
      <c r="U172" s="220">
        <f t="shared" si="201"/>
        <v>422</v>
      </c>
      <c r="V172" s="220">
        <f t="shared" si="201"/>
        <v>20</v>
      </c>
      <c r="W172" s="220">
        <f t="shared" si="201"/>
        <v>-233</v>
      </c>
      <c r="X172" s="220">
        <f t="shared" si="201"/>
        <v>-153</v>
      </c>
      <c r="Y172" s="220">
        <f t="shared" si="201"/>
        <v>351</v>
      </c>
      <c r="Z172" s="220">
        <v>1</v>
      </c>
      <c r="AA172" s="220">
        <v>0</v>
      </c>
      <c r="AB172" s="220">
        <v>4</v>
      </c>
      <c r="AC172" s="220">
        <v>2</v>
      </c>
      <c r="AD172" s="220">
        <v>0</v>
      </c>
      <c r="AE172" s="220">
        <f t="shared" si="202"/>
        <v>-45</v>
      </c>
      <c r="AF172" s="220">
        <f t="shared" si="202"/>
        <v>-547</v>
      </c>
      <c r="AG172" s="220">
        <f t="shared" si="202"/>
        <v>-700</v>
      </c>
      <c r="AH172" s="220">
        <f t="shared" si="202"/>
        <v>-635</v>
      </c>
      <c r="AI172" s="220">
        <f t="shared" si="202"/>
        <v>-208</v>
      </c>
      <c r="AJ172" s="50">
        <f t="shared" si="182"/>
        <v>0.96700000000000552</v>
      </c>
      <c r="AK172" s="257"/>
      <c r="AL172" s="257">
        <f t="shared" si="183"/>
        <v>1.2</v>
      </c>
      <c r="AM172" s="52"/>
      <c r="AN172" s="88"/>
    </row>
    <row r="173" spans="1:40" s="29" customFormat="1" ht="17.25" customHeight="1">
      <c r="A173" s="48">
        <v>163</v>
      </c>
      <c r="B173" s="49">
        <f t="shared" si="175"/>
        <v>45747</v>
      </c>
      <c r="C173" s="220">
        <f t="shared" si="176"/>
        <v>1049</v>
      </c>
      <c r="D173" s="220">
        <f t="shared" ref="D173" si="218">D172+26</f>
        <v>2059</v>
      </c>
      <c r="E173" s="220">
        <f t="shared" si="178"/>
        <v>3108</v>
      </c>
      <c r="F173" s="220">
        <f t="shared" si="170"/>
        <v>687</v>
      </c>
      <c r="G173" s="220">
        <f t="shared" si="171"/>
        <v>942</v>
      </c>
      <c r="H173" s="220">
        <f t="shared" si="172"/>
        <v>1195</v>
      </c>
      <c r="I173" s="220">
        <f t="shared" si="173"/>
        <v>1111</v>
      </c>
      <c r="J173" s="220">
        <f t="shared" si="174"/>
        <v>757</v>
      </c>
      <c r="K173" s="220">
        <f t="shared" si="210"/>
        <v>2421</v>
      </c>
      <c r="L173" s="220">
        <f t="shared" si="210"/>
        <v>2166</v>
      </c>
      <c r="M173" s="220">
        <f t="shared" si="210"/>
        <v>1913</v>
      </c>
      <c r="N173" s="220">
        <f t="shared" si="210"/>
        <v>1997</v>
      </c>
      <c r="O173" s="220">
        <f t="shared" si="210"/>
        <v>2351</v>
      </c>
      <c r="P173" s="220">
        <f t="shared" ref="P173:T188" si="219">+P172</f>
        <v>2000</v>
      </c>
      <c r="Q173" s="220">
        <f t="shared" si="219"/>
        <v>2150</v>
      </c>
      <c r="R173" s="220">
        <f t="shared" si="219"/>
        <v>2150</v>
      </c>
      <c r="S173" s="220">
        <f t="shared" si="219"/>
        <v>2150</v>
      </c>
      <c r="T173" s="220">
        <f t="shared" si="219"/>
        <v>2000</v>
      </c>
      <c r="U173" s="220">
        <f t="shared" ref="U173:Y188" si="220">U172-Z173</f>
        <v>421</v>
      </c>
      <c r="V173" s="220">
        <f t="shared" si="220"/>
        <v>16</v>
      </c>
      <c r="W173" s="220">
        <f t="shared" si="220"/>
        <v>-237</v>
      </c>
      <c r="X173" s="220">
        <f t="shared" si="220"/>
        <v>-153</v>
      </c>
      <c r="Y173" s="220">
        <f t="shared" si="220"/>
        <v>351</v>
      </c>
      <c r="Z173" s="220">
        <v>1</v>
      </c>
      <c r="AA173" s="220">
        <v>4</v>
      </c>
      <c r="AB173" s="220">
        <v>4</v>
      </c>
      <c r="AC173" s="220">
        <v>0</v>
      </c>
      <c r="AD173" s="220">
        <v>0</v>
      </c>
      <c r="AE173" s="220">
        <f t="shared" ref="AE173:AI188" si="221">AE172-Z173</f>
        <v>-46</v>
      </c>
      <c r="AF173" s="220">
        <f t="shared" si="221"/>
        <v>-551</v>
      </c>
      <c r="AG173" s="220">
        <f t="shared" si="221"/>
        <v>-704</v>
      </c>
      <c r="AH173" s="220">
        <f t="shared" si="221"/>
        <v>-635</v>
      </c>
      <c r="AI173" s="220">
        <f t="shared" si="221"/>
        <v>-208</v>
      </c>
      <c r="AJ173" s="50">
        <f t="shared" si="182"/>
        <v>0.96300000000000552</v>
      </c>
      <c r="AK173" s="257"/>
      <c r="AL173" s="257">
        <f t="shared" si="183"/>
        <v>1.2</v>
      </c>
      <c r="AM173" s="52"/>
      <c r="AN173" s="88"/>
    </row>
    <row r="174" spans="1:40" s="29" customFormat="1" ht="17.25" customHeight="1">
      <c r="A174" s="48">
        <v>164</v>
      </c>
      <c r="B174" s="49">
        <f t="shared" si="175"/>
        <v>45748</v>
      </c>
      <c r="C174" s="220">
        <f t="shared" si="176"/>
        <v>1049</v>
      </c>
      <c r="D174" s="220">
        <f t="shared" ref="D174" si="222">D173+32</f>
        <v>2091</v>
      </c>
      <c r="E174" s="220">
        <f t="shared" si="178"/>
        <v>3140</v>
      </c>
      <c r="F174" s="220">
        <f t="shared" si="170"/>
        <v>719</v>
      </c>
      <c r="G174" s="220">
        <f t="shared" si="171"/>
        <v>974</v>
      </c>
      <c r="H174" s="220">
        <f t="shared" si="172"/>
        <v>1227</v>
      </c>
      <c r="I174" s="220">
        <f t="shared" si="173"/>
        <v>1147</v>
      </c>
      <c r="J174" s="220">
        <f t="shared" si="174"/>
        <v>789</v>
      </c>
      <c r="K174" s="220">
        <f t="shared" si="210"/>
        <v>2421</v>
      </c>
      <c r="L174" s="220">
        <f t="shared" si="210"/>
        <v>2166</v>
      </c>
      <c r="M174" s="220">
        <f t="shared" si="210"/>
        <v>1913</v>
      </c>
      <c r="N174" s="220">
        <f t="shared" si="210"/>
        <v>1993</v>
      </c>
      <c r="O174" s="220">
        <f t="shared" si="210"/>
        <v>2351</v>
      </c>
      <c r="P174" s="220">
        <f t="shared" si="219"/>
        <v>2000</v>
      </c>
      <c r="Q174" s="220">
        <f t="shared" si="219"/>
        <v>2150</v>
      </c>
      <c r="R174" s="220">
        <f t="shared" si="219"/>
        <v>2150</v>
      </c>
      <c r="S174" s="220">
        <f t="shared" si="219"/>
        <v>2150</v>
      </c>
      <c r="T174" s="220">
        <f t="shared" si="219"/>
        <v>2000</v>
      </c>
      <c r="U174" s="220">
        <f t="shared" si="220"/>
        <v>421</v>
      </c>
      <c r="V174" s="220">
        <f t="shared" si="220"/>
        <v>16</v>
      </c>
      <c r="W174" s="220">
        <f t="shared" si="220"/>
        <v>-237</v>
      </c>
      <c r="X174" s="220">
        <f t="shared" si="220"/>
        <v>-157</v>
      </c>
      <c r="Y174" s="220">
        <f t="shared" si="220"/>
        <v>351</v>
      </c>
      <c r="Z174" s="220">
        <v>0</v>
      </c>
      <c r="AA174" s="220">
        <v>0</v>
      </c>
      <c r="AB174" s="220">
        <v>0</v>
      </c>
      <c r="AC174" s="220">
        <v>4</v>
      </c>
      <c r="AD174" s="220">
        <v>0</v>
      </c>
      <c r="AE174" s="220">
        <f t="shared" si="221"/>
        <v>-46</v>
      </c>
      <c r="AF174" s="220">
        <f t="shared" si="221"/>
        <v>-551</v>
      </c>
      <c r="AG174" s="220">
        <f t="shared" si="221"/>
        <v>-704</v>
      </c>
      <c r="AH174" s="220">
        <f t="shared" si="221"/>
        <v>-639</v>
      </c>
      <c r="AI174" s="220">
        <f t="shared" si="221"/>
        <v>-208</v>
      </c>
      <c r="AJ174" s="50">
        <f t="shared" si="182"/>
        <v>0.96300000000000552</v>
      </c>
      <c r="AK174" s="257"/>
      <c r="AL174" s="257">
        <f t="shared" si="183"/>
        <v>1.2</v>
      </c>
      <c r="AM174" s="52"/>
      <c r="AN174" s="88"/>
    </row>
    <row r="175" spans="1:40" s="29" customFormat="1" ht="17.25" customHeight="1">
      <c r="A175" s="48">
        <v>165</v>
      </c>
      <c r="B175" s="49">
        <f t="shared" si="175"/>
        <v>45749</v>
      </c>
      <c r="C175" s="220">
        <f t="shared" si="176"/>
        <v>1049</v>
      </c>
      <c r="D175" s="220">
        <f t="shared" ref="D175" si="223">D174-18</f>
        <v>2073</v>
      </c>
      <c r="E175" s="220">
        <f t="shared" si="178"/>
        <v>3122</v>
      </c>
      <c r="F175" s="220">
        <f t="shared" si="170"/>
        <v>701</v>
      </c>
      <c r="G175" s="220">
        <f t="shared" si="171"/>
        <v>957</v>
      </c>
      <c r="H175" s="220">
        <f t="shared" si="172"/>
        <v>1210</v>
      </c>
      <c r="I175" s="220">
        <f t="shared" si="173"/>
        <v>1130</v>
      </c>
      <c r="J175" s="220">
        <f t="shared" si="174"/>
        <v>771</v>
      </c>
      <c r="K175" s="220">
        <f t="shared" si="210"/>
        <v>2421</v>
      </c>
      <c r="L175" s="220">
        <f t="shared" si="210"/>
        <v>2165</v>
      </c>
      <c r="M175" s="220">
        <f t="shared" si="210"/>
        <v>1912</v>
      </c>
      <c r="N175" s="220">
        <f t="shared" si="210"/>
        <v>1992</v>
      </c>
      <c r="O175" s="220">
        <f t="shared" si="210"/>
        <v>2351</v>
      </c>
      <c r="P175" s="220">
        <f t="shared" si="219"/>
        <v>2000</v>
      </c>
      <c r="Q175" s="220">
        <f t="shared" si="219"/>
        <v>2150</v>
      </c>
      <c r="R175" s="220">
        <f t="shared" si="219"/>
        <v>2150</v>
      </c>
      <c r="S175" s="220">
        <f t="shared" si="219"/>
        <v>2150</v>
      </c>
      <c r="T175" s="220">
        <f t="shared" si="219"/>
        <v>2000</v>
      </c>
      <c r="U175" s="220">
        <f t="shared" si="220"/>
        <v>421</v>
      </c>
      <c r="V175" s="220">
        <f t="shared" si="220"/>
        <v>15</v>
      </c>
      <c r="W175" s="220">
        <f t="shared" si="220"/>
        <v>-238</v>
      </c>
      <c r="X175" s="220">
        <f t="shared" si="220"/>
        <v>-158</v>
      </c>
      <c r="Y175" s="220">
        <f t="shared" si="220"/>
        <v>351</v>
      </c>
      <c r="Z175" s="220">
        <v>0</v>
      </c>
      <c r="AA175" s="220">
        <v>1</v>
      </c>
      <c r="AB175" s="220">
        <v>1</v>
      </c>
      <c r="AC175" s="220">
        <v>1</v>
      </c>
      <c r="AD175" s="220">
        <v>0</v>
      </c>
      <c r="AE175" s="220">
        <f t="shared" si="221"/>
        <v>-46</v>
      </c>
      <c r="AF175" s="220">
        <f t="shared" si="221"/>
        <v>-552</v>
      </c>
      <c r="AG175" s="220">
        <f t="shared" si="221"/>
        <v>-705</v>
      </c>
      <c r="AH175" s="220">
        <f t="shared" si="221"/>
        <v>-640</v>
      </c>
      <c r="AI175" s="220">
        <f t="shared" si="221"/>
        <v>-208</v>
      </c>
      <c r="AJ175" s="50">
        <f t="shared" si="182"/>
        <v>0.96200000000000552</v>
      </c>
      <c r="AK175" s="257"/>
      <c r="AL175" s="257">
        <f t="shared" si="183"/>
        <v>1.2</v>
      </c>
      <c r="AM175" s="52"/>
      <c r="AN175" s="88"/>
    </row>
    <row r="176" spans="1:40" s="29" customFormat="1" ht="17.25" customHeight="1">
      <c r="A176" s="48">
        <v>166</v>
      </c>
      <c r="B176" s="49">
        <f t="shared" si="175"/>
        <v>45750</v>
      </c>
      <c r="C176" s="220">
        <f t="shared" si="176"/>
        <v>1049</v>
      </c>
      <c r="D176" s="220">
        <f t="shared" ref="D176:D234" si="224">D175-26</f>
        <v>2047</v>
      </c>
      <c r="E176" s="220">
        <f t="shared" si="178"/>
        <v>3096</v>
      </c>
      <c r="F176" s="220">
        <f t="shared" si="170"/>
        <v>676</v>
      </c>
      <c r="G176" s="220">
        <f t="shared" si="171"/>
        <v>933</v>
      </c>
      <c r="H176" s="220">
        <f t="shared" si="172"/>
        <v>1184</v>
      </c>
      <c r="I176" s="220">
        <f t="shared" si="173"/>
        <v>1108</v>
      </c>
      <c r="J176" s="220">
        <f t="shared" si="174"/>
        <v>745</v>
      </c>
      <c r="K176" s="220">
        <f t="shared" si="210"/>
        <v>2420</v>
      </c>
      <c r="L176" s="220">
        <f t="shared" si="210"/>
        <v>2163</v>
      </c>
      <c r="M176" s="220">
        <f t="shared" si="210"/>
        <v>1912</v>
      </c>
      <c r="N176" s="220">
        <f t="shared" si="210"/>
        <v>1988</v>
      </c>
      <c r="O176" s="220">
        <f t="shared" si="210"/>
        <v>2351</v>
      </c>
      <c r="P176" s="220">
        <f t="shared" si="219"/>
        <v>2000</v>
      </c>
      <c r="Q176" s="220">
        <f t="shared" si="219"/>
        <v>2150</v>
      </c>
      <c r="R176" s="220">
        <f t="shared" si="219"/>
        <v>2150</v>
      </c>
      <c r="S176" s="220">
        <f t="shared" si="219"/>
        <v>2150</v>
      </c>
      <c r="T176" s="220">
        <f t="shared" si="219"/>
        <v>2000</v>
      </c>
      <c r="U176" s="220">
        <f t="shared" si="220"/>
        <v>420</v>
      </c>
      <c r="V176" s="220">
        <f t="shared" si="220"/>
        <v>13</v>
      </c>
      <c r="W176" s="220">
        <f t="shared" si="220"/>
        <v>-238</v>
      </c>
      <c r="X176" s="220">
        <f t="shared" si="220"/>
        <v>-162</v>
      </c>
      <c r="Y176" s="220">
        <f t="shared" si="220"/>
        <v>351</v>
      </c>
      <c r="Z176" s="220">
        <v>1</v>
      </c>
      <c r="AA176" s="220">
        <v>2</v>
      </c>
      <c r="AB176" s="220">
        <v>0</v>
      </c>
      <c r="AC176" s="220">
        <v>4</v>
      </c>
      <c r="AD176" s="220">
        <v>0</v>
      </c>
      <c r="AE176" s="220">
        <f t="shared" si="221"/>
        <v>-47</v>
      </c>
      <c r="AF176" s="220">
        <f t="shared" si="221"/>
        <v>-554</v>
      </c>
      <c r="AG176" s="220">
        <f t="shared" si="221"/>
        <v>-705</v>
      </c>
      <c r="AH176" s="220">
        <f t="shared" si="221"/>
        <v>-644</v>
      </c>
      <c r="AI176" s="220">
        <f t="shared" si="221"/>
        <v>-208</v>
      </c>
      <c r="AJ176" s="50">
        <f t="shared" si="182"/>
        <v>0.96200000000000552</v>
      </c>
      <c r="AK176" s="257"/>
      <c r="AL176" s="257">
        <f t="shared" si="183"/>
        <v>1.2</v>
      </c>
      <c r="AM176" s="52"/>
      <c r="AN176" s="88"/>
    </row>
    <row r="177" spans="1:40" s="29" customFormat="1" ht="17.25" customHeight="1">
      <c r="A177" s="48">
        <v>167</v>
      </c>
      <c r="B177" s="49">
        <f t="shared" si="175"/>
        <v>45751</v>
      </c>
      <c r="C177" s="220">
        <f t="shared" si="176"/>
        <v>1049</v>
      </c>
      <c r="D177" s="220">
        <f t="shared" ref="D177:D209" si="225">D176+15</f>
        <v>2062</v>
      </c>
      <c r="E177" s="220">
        <f t="shared" si="178"/>
        <v>3111</v>
      </c>
      <c r="F177" s="220">
        <f t="shared" si="170"/>
        <v>692</v>
      </c>
      <c r="G177" s="220">
        <f t="shared" si="171"/>
        <v>952</v>
      </c>
      <c r="H177" s="220">
        <f t="shared" si="172"/>
        <v>1202</v>
      </c>
      <c r="I177" s="220">
        <f t="shared" si="173"/>
        <v>1123</v>
      </c>
      <c r="J177" s="220">
        <f t="shared" si="174"/>
        <v>760</v>
      </c>
      <c r="K177" s="220">
        <f t="shared" si="210"/>
        <v>2419</v>
      </c>
      <c r="L177" s="220">
        <f t="shared" si="210"/>
        <v>2159</v>
      </c>
      <c r="M177" s="220">
        <f t="shared" si="210"/>
        <v>1909</v>
      </c>
      <c r="N177" s="220">
        <f t="shared" si="210"/>
        <v>1988</v>
      </c>
      <c r="O177" s="220">
        <f t="shared" si="210"/>
        <v>2351</v>
      </c>
      <c r="P177" s="220">
        <f t="shared" si="219"/>
        <v>2000</v>
      </c>
      <c r="Q177" s="220">
        <f t="shared" si="219"/>
        <v>2150</v>
      </c>
      <c r="R177" s="220">
        <f t="shared" si="219"/>
        <v>2150</v>
      </c>
      <c r="S177" s="220">
        <f t="shared" si="219"/>
        <v>2150</v>
      </c>
      <c r="T177" s="220">
        <f t="shared" si="219"/>
        <v>2000</v>
      </c>
      <c r="U177" s="220">
        <f t="shared" si="220"/>
        <v>419</v>
      </c>
      <c r="V177" s="220">
        <f t="shared" si="220"/>
        <v>9</v>
      </c>
      <c r="W177" s="220">
        <f t="shared" si="220"/>
        <v>-241</v>
      </c>
      <c r="X177" s="220">
        <f t="shared" si="220"/>
        <v>-162</v>
      </c>
      <c r="Y177" s="220">
        <f t="shared" si="220"/>
        <v>351</v>
      </c>
      <c r="Z177" s="220">
        <v>1</v>
      </c>
      <c r="AA177" s="220">
        <v>4</v>
      </c>
      <c r="AB177" s="220">
        <v>3</v>
      </c>
      <c r="AC177" s="220">
        <v>0</v>
      </c>
      <c r="AD177" s="220">
        <v>0</v>
      </c>
      <c r="AE177" s="220">
        <f t="shared" si="221"/>
        <v>-48</v>
      </c>
      <c r="AF177" s="220">
        <f t="shared" si="221"/>
        <v>-558</v>
      </c>
      <c r="AG177" s="220">
        <f t="shared" si="221"/>
        <v>-708</v>
      </c>
      <c r="AH177" s="220">
        <f t="shared" si="221"/>
        <v>-644</v>
      </c>
      <c r="AI177" s="220">
        <f t="shared" si="221"/>
        <v>-208</v>
      </c>
      <c r="AJ177" s="50">
        <f t="shared" si="182"/>
        <v>0.95900000000000551</v>
      </c>
      <c r="AK177" s="257"/>
      <c r="AL177" s="257">
        <f t="shared" si="183"/>
        <v>1.2</v>
      </c>
      <c r="AM177" s="52"/>
      <c r="AN177" s="88"/>
    </row>
    <row r="178" spans="1:40" s="29" customFormat="1" ht="17.25" customHeight="1">
      <c r="A178" s="48">
        <v>168</v>
      </c>
      <c r="B178" s="49">
        <f t="shared" si="175"/>
        <v>45752</v>
      </c>
      <c r="C178" s="220">
        <f t="shared" si="176"/>
        <v>1049</v>
      </c>
      <c r="D178" s="220">
        <f t="shared" ref="D178" si="226">D177+26</f>
        <v>2088</v>
      </c>
      <c r="E178" s="220">
        <f t="shared" si="178"/>
        <v>3137</v>
      </c>
      <c r="F178" s="220">
        <f t="shared" si="170"/>
        <v>718</v>
      </c>
      <c r="G178" s="220">
        <f t="shared" si="171"/>
        <v>979</v>
      </c>
      <c r="H178" s="220">
        <f t="shared" si="172"/>
        <v>1229</v>
      </c>
      <c r="I178" s="220">
        <f t="shared" si="173"/>
        <v>1150</v>
      </c>
      <c r="J178" s="220">
        <f t="shared" si="174"/>
        <v>786</v>
      </c>
      <c r="K178" s="220">
        <f t="shared" si="210"/>
        <v>2419</v>
      </c>
      <c r="L178" s="220">
        <f t="shared" si="210"/>
        <v>2158</v>
      </c>
      <c r="M178" s="220">
        <f t="shared" si="210"/>
        <v>1908</v>
      </c>
      <c r="N178" s="220">
        <f t="shared" si="210"/>
        <v>1987</v>
      </c>
      <c r="O178" s="220">
        <f t="shared" si="210"/>
        <v>2351</v>
      </c>
      <c r="P178" s="220">
        <f t="shared" si="219"/>
        <v>2000</v>
      </c>
      <c r="Q178" s="220">
        <f t="shared" si="219"/>
        <v>2150</v>
      </c>
      <c r="R178" s="220">
        <f t="shared" si="219"/>
        <v>2150</v>
      </c>
      <c r="S178" s="220">
        <f t="shared" si="219"/>
        <v>2150</v>
      </c>
      <c r="T178" s="220">
        <f t="shared" si="219"/>
        <v>2000</v>
      </c>
      <c r="U178" s="220">
        <f t="shared" si="220"/>
        <v>419</v>
      </c>
      <c r="V178" s="220">
        <f t="shared" si="220"/>
        <v>8</v>
      </c>
      <c r="W178" s="220">
        <f t="shared" si="220"/>
        <v>-242</v>
      </c>
      <c r="X178" s="220">
        <f t="shared" si="220"/>
        <v>-163</v>
      </c>
      <c r="Y178" s="220">
        <f t="shared" si="220"/>
        <v>351</v>
      </c>
      <c r="Z178" s="220">
        <v>0</v>
      </c>
      <c r="AA178" s="220">
        <v>1</v>
      </c>
      <c r="AB178" s="220">
        <v>1</v>
      </c>
      <c r="AC178" s="220">
        <v>1</v>
      </c>
      <c r="AD178" s="220">
        <v>0</v>
      </c>
      <c r="AE178" s="220">
        <f t="shared" si="221"/>
        <v>-48</v>
      </c>
      <c r="AF178" s="220">
        <f t="shared" si="221"/>
        <v>-559</v>
      </c>
      <c r="AG178" s="220">
        <f t="shared" si="221"/>
        <v>-709</v>
      </c>
      <c r="AH178" s="220">
        <f t="shared" si="221"/>
        <v>-645</v>
      </c>
      <c r="AI178" s="220">
        <f t="shared" si="221"/>
        <v>-208</v>
      </c>
      <c r="AJ178" s="50">
        <f t="shared" si="182"/>
        <v>0.95800000000000551</v>
      </c>
      <c r="AK178" s="257"/>
      <c r="AL178" s="257">
        <f t="shared" si="183"/>
        <v>1.2</v>
      </c>
      <c r="AM178" s="52"/>
      <c r="AN178" s="88"/>
    </row>
    <row r="179" spans="1:40" s="29" customFormat="1" ht="17.25" customHeight="1">
      <c r="A179" s="48">
        <v>169</v>
      </c>
      <c r="B179" s="49">
        <f t="shared" si="175"/>
        <v>45753</v>
      </c>
      <c r="C179" s="220">
        <f t="shared" si="176"/>
        <v>1049</v>
      </c>
      <c r="D179" s="220">
        <f t="shared" ref="D179" si="227">D178+32</f>
        <v>2120</v>
      </c>
      <c r="E179" s="220">
        <f t="shared" si="178"/>
        <v>3169</v>
      </c>
      <c r="F179" s="220">
        <f t="shared" si="170"/>
        <v>751</v>
      </c>
      <c r="G179" s="220">
        <f t="shared" si="171"/>
        <v>1011</v>
      </c>
      <c r="H179" s="220">
        <f t="shared" si="172"/>
        <v>1261</v>
      </c>
      <c r="I179" s="220">
        <f t="shared" si="173"/>
        <v>1182</v>
      </c>
      <c r="J179" s="220">
        <f t="shared" si="174"/>
        <v>819</v>
      </c>
      <c r="K179" s="220">
        <f t="shared" si="210"/>
        <v>2418</v>
      </c>
      <c r="L179" s="220">
        <f t="shared" si="210"/>
        <v>2158</v>
      </c>
      <c r="M179" s="220">
        <f t="shared" si="210"/>
        <v>1908</v>
      </c>
      <c r="N179" s="220">
        <f t="shared" si="210"/>
        <v>1987</v>
      </c>
      <c r="O179" s="220">
        <f t="shared" si="210"/>
        <v>2350</v>
      </c>
      <c r="P179" s="220">
        <f t="shared" si="219"/>
        <v>2000</v>
      </c>
      <c r="Q179" s="220">
        <f t="shared" si="219"/>
        <v>2150</v>
      </c>
      <c r="R179" s="220">
        <f t="shared" si="219"/>
        <v>2150</v>
      </c>
      <c r="S179" s="220">
        <f t="shared" si="219"/>
        <v>2150</v>
      </c>
      <c r="T179" s="220">
        <f t="shared" si="219"/>
        <v>2000</v>
      </c>
      <c r="U179" s="220">
        <f t="shared" si="220"/>
        <v>418</v>
      </c>
      <c r="V179" s="220">
        <f t="shared" si="220"/>
        <v>8</v>
      </c>
      <c r="W179" s="220">
        <f t="shared" si="220"/>
        <v>-242</v>
      </c>
      <c r="X179" s="220">
        <f t="shared" si="220"/>
        <v>-163</v>
      </c>
      <c r="Y179" s="220">
        <f t="shared" si="220"/>
        <v>350</v>
      </c>
      <c r="Z179" s="220">
        <v>1</v>
      </c>
      <c r="AA179" s="220">
        <v>0</v>
      </c>
      <c r="AB179" s="220">
        <v>0</v>
      </c>
      <c r="AC179" s="220">
        <v>0</v>
      </c>
      <c r="AD179" s="220">
        <v>1</v>
      </c>
      <c r="AE179" s="220">
        <f t="shared" si="221"/>
        <v>-49</v>
      </c>
      <c r="AF179" s="220">
        <f t="shared" si="221"/>
        <v>-559</v>
      </c>
      <c r="AG179" s="220">
        <f t="shared" si="221"/>
        <v>-709</v>
      </c>
      <c r="AH179" s="220">
        <f t="shared" si="221"/>
        <v>-645</v>
      </c>
      <c r="AI179" s="220">
        <f t="shared" si="221"/>
        <v>-209</v>
      </c>
      <c r="AJ179" s="50">
        <f t="shared" si="182"/>
        <v>0.95800000000000551</v>
      </c>
      <c r="AK179" s="257"/>
      <c r="AL179" s="257">
        <f t="shared" si="183"/>
        <v>1.2</v>
      </c>
      <c r="AM179" s="52"/>
      <c r="AN179" s="88"/>
    </row>
    <row r="180" spans="1:40" s="29" customFormat="1" ht="17.25" customHeight="1">
      <c r="A180" s="48">
        <v>170</v>
      </c>
      <c r="B180" s="49">
        <f t="shared" si="175"/>
        <v>45754</v>
      </c>
      <c r="C180" s="220">
        <f t="shared" si="176"/>
        <v>1049</v>
      </c>
      <c r="D180" s="220">
        <f t="shared" ref="D180" si="228">D179-18</f>
        <v>2102</v>
      </c>
      <c r="E180" s="220">
        <f t="shared" si="178"/>
        <v>3151</v>
      </c>
      <c r="F180" s="220">
        <f t="shared" si="170"/>
        <v>733</v>
      </c>
      <c r="G180" s="220">
        <f t="shared" si="171"/>
        <v>993</v>
      </c>
      <c r="H180" s="220">
        <f t="shared" si="172"/>
        <v>1247</v>
      </c>
      <c r="I180" s="220">
        <f t="shared" si="173"/>
        <v>1165</v>
      </c>
      <c r="J180" s="220">
        <f t="shared" si="174"/>
        <v>801</v>
      </c>
      <c r="K180" s="220">
        <f t="shared" si="210"/>
        <v>2418</v>
      </c>
      <c r="L180" s="220">
        <f t="shared" si="210"/>
        <v>2158</v>
      </c>
      <c r="M180" s="220">
        <f t="shared" si="210"/>
        <v>1904</v>
      </c>
      <c r="N180" s="220">
        <f t="shared" si="210"/>
        <v>1986</v>
      </c>
      <c r="O180" s="220">
        <f t="shared" si="210"/>
        <v>2350</v>
      </c>
      <c r="P180" s="220">
        <f t="shared" si="219"/>
        <v>2000</v>
      </c>
      <c r="Q180" s="220">
        <f t="shared" si="219"/>
        <v>2150</v>
      </c>
      <c r="R180" s="220">
        <f t="shared" si="219"/>
        <v>2150</v>
      </c>
      <c r="S180" s="220">
        <f t="shared" si="219"/>
        <v>2150</v>
      </c>
      <c r="T180" s="220">
        <f t="shared" si="219"/>
        <v>2000</v>
      </c>
      <c r="U180" s="220">
        <f t="shared" si="220"/>
        <v>418</v>
      </c>
      <c r="V180" s="220">
        <f t="shared" si="220"/>
        <v>8</v>
      </c>
      <c r="W180" s="220">
        <f t="shared" si="220"/>
        <v>-246</v>
      </c>
      <c r="X180" s="220">
        <f t="shared" si="220"/>
        <v>-164</v>
      </c>
      <c r="Y180" s="220">
        <f t="shared" si="220"/>
        <v>350</v>
      </c>
      <c r="Z180" s="220">
        <v>0</v>
      </c>
      <c r="AA180" s="220">
        <v>0</v>
      </c>
      <c r="AB180" s="220">
        <v>4</v>
      </c>
      <c r="AC180" s="220">
        <v>1</v>
      </c>
      <c r="AD180" s="220">
        <v>0</v>
      </c>
      <c r="AE180" s="220">
        <f t="shared" si="221"/>
        <v>-49</v>
      </c>
      <c r="AF180" s="220">
        <f t="shared" si="221"/>
        <v>-559</v>
      </c>
      <c r="AG180" s="220">
        <f t="shared" si="221"/>
        <v>-713</v>
      </c>
      <c r="AH180" s="220">
        <f t="shared" si="221"/>
        <v>-646</v>
      </c>
      <c r="AI180" s="220">
        <f t="shared" si="221"/>
        <v>-209</v>
      </c>
      <c r="AJ180" s="50">
        <f t="shared" si="182"/>
        <v>0.95400000000000551</v>
      </c>
      <c r="AK180" s="257"/>
      <c r="AL180" s="257">
        <f t="shared" si="183"/>
        <v>1.2</v>
      </c>
      <c r="AM180" s="52"/>
      <c r="AN180" s="88"/>
    </row>
    <row r="181" spans="1:40" s="29" customFormat="1" ht="17.25" customHeight="1">
      <c r="A181" s="48">
        <v>171</v>
      </c>
      <c r="B181" s="49">
        <f t="shared" si="175"/>
        <v>45755</v>
      </c>
      <c r="C181" s="220">
        <f t="shared" si="176"/>
        <v>1049</v>
      </c>
      <c r="D181" s="220">
        <f t="shared" ref="D181" si="229">D180-26</f>
        <v>2076</v>
      </c>
      <c r="E181" s="220">
        <f t="shared" si="178"/>
        <v>3125</v>
      </c>
      <c r="F181" s="220">
        <f t="shared" si="170"/>
        <v>708</v>
      </c>
      <c r="G181" s="220">
        <f t="shared" si="171"/>
        <v>970</v>
      </c>
      <c r="H181" s="220">
        <f t="shared" si="172"/>
        <v>1223</v>
      </c>
      <c r="I181" s="220">
        <f t="shared" si="173"/>
        <v>1141</v>
      </c>
      <c r="J181" s="220">
        <f t="shared" si="174"/>
        <v>775</v>
      </c>
      <c r="K181" s="220">
        <f t="shared" si="210"/>
        <v>2417</v>
      </c>
      <c r="L181" s="220">
        <f t="shared" si="210"/>
        <v>2155</v>
      </c>
      <c r="M181" s="220">
        <f t="shared" si="210"/>
        <v>1902</v>
      </c>
      <c r="N181" s="220">
        <f t="shared" si="210"/>
        <v>1984</v>
      </c>
      <c r="O181" s="220">
        <f t="shared" si="210"/>
        <v>2350</v>
      </c>
      <c r="P181" s="220">
        <f t="shared" si="219"/>
        <v>2000</v>
      </c>
      <c r="Q181" s="220">
        <f t="shared" si="219"/>
        <v>2150</v>
      </c>
      <c r="R181" s="220">
        <f t="shared" si="219"/>
        <v>2150</v>
      </c>
      <c r="S181" s="220">
        <f t="shared" si="219"/>
        <v>2150</v>
      </c>
      <c r="T181" s="220">
        <f t="shared" si="219"/>
        <v>2000</v>
      </c>
      <c r="U181" s="220">
        <f t="shared" si="220"/>
        <v>417</v>
      </c>
      <c r="V181" s="220">
        <f t="shared" si="220"/>
        <v>5</v>
      </c>
      <c r="W181" s="220">
        <f t="shared" si="220"/>
        <v>-248</v>
      </c>
      <c r="X181" s="220">
        <f t="shared" si="220"/>
        <v>-166</v>
      </c>
      <c r="Y181" s="220">
        <f t="shared" si="220"/>
        <v>350</v>
      </c>
      <c r="Z181" s="220">
        <v>1</v>
      </c>
      <c r="AA181" s="220">
        <v>3</v>
      </c>
      <c r="AB181" s="220">
        <v>2</v>
      </c>
      <c r="AC181" s="220">
        <v>2</v>
      </c>
      <c r="AD181" s="220">
        <v>0</v>
      </c>
      <c r="AE181" s="220">
        <f t="shared" si="221"/>
        <v>-50</v>
      </c>
      <c r="AF181" s="220">
        <f t="shared" si="221"/>
        <v>-562</v>
      </c>
      <c r="AG181" s="220">
        <f t="shared" si="221"/>
        <v>-715</v>
      </c>
      <c r="AH181" s="220">
        <f t="shared" si="221"/>
        <v>-648</v>
      </c>
      <c r="AI181" s="220">
        <f t="shared" si="221"/>
        <v>-209</v>
      </c>
      <c r="AJ181" s="50">
        <f t="shared" si="182"/>
        <v>0.95200000000000551</v>
      </c>
      <c r="AK181" s="257"/>
      <c r="AL181" s="257">
        <f t="shared" si="183"/>
        <v>1.2</v>
      </c>
      <c r="AM181" s="52"/>
      <c r="AN181" s="88"/>
    </row>
    <row r="182" spans="1:40" s="29" customFormat="1" ht="17.25" customHeight="1">
      <c r="A182" s="48">
        <v>172</v>
      </c>
      <c r="B182" s="49">
        <f t="shared" si="175"/>
        <v>45756</v>
      </c>
      <c r="C182" s="220">
        <f t="shared" si="176"/>
        <v>1049</v>
      </c>
      <c r="D182" s="220">
        <f t="shared" ref="D182" si="230">D181+15</f>
        <v>2091</v>
      </c>
      <c r="E182" s="220">
        <f t="shared" si="178"/>
        <v>3140</v>
      </c>
      <c r="F182" s="220">
        <f t="shared" si="170"/>
        <v>724</v>
      </c>
      <c r="G182" s="220">
        <f t="shared" si="171"/>
        <v>985</v>
      </c>
      <c r="H182" s="220">
        <f t="shared" si="172"/>
        <v>1240</v>
      </c>
      <c r="I182" s="220">
        <f t="shared" si="173"/>
        <v>1158</v>
      </c>
      <c r="J182" s="220">
        <f t="shared" si="174"/>
        <v>791</v>
      </c>
      <c r="K182" s="220">
        <f t="shared" si="210"/>
        <v>2416</v>
      </c>
      <c r="L182" s="220">
        <f t="shared" si="210"/>
        <v>2155</v>
      </c>
      <c r="M182" s="220">
        <f t="shared" si="210"/>
        <v>1900</v>
      </c>
      <c r="N182" s="220">
        <f t="shared" si="210"/>
        <v>1982</v>
      </c>
      <c r="O182" s="220">
        <f t="shared" si="210"/>
        <v>2349</v>
      </c>
      <c r="P182" s="220">
        <f t="shared" si="219"/>
        <v>2000</v>
      </c>
      <c r="Q182" s="220">
        <f t="shared" si="219"/>
        <v>2150</v>
      </c>
      <c r="R182" s="220">
        <f t="shared" si="219"/>
        <v>2150</v>
      </c>
      <c r="S182" s="220">
        <f t="shared" si="219"/>
        <v>2150</v>
      </c>
      <c r="T182" s="220">
        <f t="shared" si="219"/>
        <v>2000</v>
      </c>
      <c r="U182" s="220">
        <f t="shared" si="220"/>
        <v>416</v>
      </c>
      <c r="V182" s="220">
        <f t="shared" si="220"/>
        <v>5</v>
      </c>
      <c r="W182" s="220">
        <f t="shared" si="220"/>
        <v>-250</v>
      </c>
      <c r="X182" s="220">
        <f t="shared" si="220"/>
        <v>-168</v>
      </c>
      <c r="Y182" s="220">
        <f t="shared" si="220"/>
        <v>349</v>
      </c>
      <c r="Z182" s="220">
        <v>1</v>
      </c>
      <c r="AA182" s="220">
        <v>0</v>
      </c>
      <c r="AB182" s="220">
        <v>2</v>
      </c>
      <c r="AC182" s="220">
        <v>2</v>
      </c>
      <c r="AD182" s="220">
        <v>1</v>
      </c>
      <c r="AE182" s="220">
        <f t="shared" si="221"/>
        <v>-51</v>
      </c>
      <c r="AF182" s="220">
        <f t="shared" si="221"/>
        <v>-562</v>
      </c>
      <c r="AG182" s="220">
        <f t="shared" si="221"/>
        <v>-717</v>
      </c>
      <c r="AH182" s="220">
        <f t="shared" si="221"/>
        <v>-650</v>
      </c>
      <c r="AI182" s="220">
        <f t="shared" si="221"/>
        <v>-210</v>
      </c>
      <c r="AJ182" s="50">
        <f t="shared" si="182"/>
        <v>0.95000000000000551</v>
      </c>
      <c r="AK182" s="257"/>
      <c r="AL182" s="257">
        <f t="shared" si="183"/>
        <v>1.2</v>
      </c>
      <c r="AM182" s="52"/>
      <c r="AN182" s="88"/>
    </row>
    <row r="183" spans="1:40" s="261" customFormat="1" ht="17.25" customHeight="1">
      <c r="A183" s="76">
        <v>182</v>
      </c>
      <c r="B183" s="77">
        <f t="shared" si="175"/>
        <v>45757</v>
      </c>
      <c r="C183" s="213">
        <v>1069</v>
      </c>
      <c r="D183" s="213">
        <v>2135</v>
      </c>
      <c r="E183" s="213">
        <v>3204</v>
      </c>
      <c r="F183" s="213">
        <v>792</v>
      </c>
      <c r="G183" s="213">
        <v>994</v>
      </c>
      <c r="H183" s="213">
        <v>986</v>
      </c>
      <c r="I183" s="213">
        <v>1018</v>
      </c>
      <c r="J183" s="213">
        <v>852</v>
      </c>
      <c r="K183" s="213">
        <v>2412</v>
      </c>
      <c r="L183" s="213">
        <v>2210</v>
      </c>
      <c r="M183" s="213">
        <v>2218</v>
      </c>
      <c r="N183" s="213">
        <v>2186</v>
      </c>
      <c r="O183" s="213">
        <v>2352</v>
      </c>
      <c r="P183" s="213">
        <v>2000</v>
      </c>
      <c r="Q183" s="213">
        <v>2000</v>
      </c>
      <c r="R183" s="213">
        <v>2000</v>
      </c>
      <c r="S183" s="213">
        <v>2000</v>
      </c>
      <c r="T183" s="213">
        <v>2000</v>
      </c>
      <c r="U183" s="213">
        <v>412</v>
      </c>
      <c r="V183" s="213">
        <v>210</v>
      </c>
      <c r="W183" s="213">
        <v>218</v>
      </c>
      <c r="X183" s="213">
        <v>186</v>
      </c>
      <c r="Y183" s="213">
        <v>352</v>
      </c>
      <c r="Z183" s="213">
        <v>0</v>
      </c>
      <c r="AA183" s="213">
        <v>9</v>
      </c>
      <c r="AB183" s="213">
        <v>9</v>
      </c>
      <c r="AC183" s="213">
        <v>9</v>
      </c>
      <c r="AD183" s="213">
        <v>0</v>
      </c>
      <c r="AE183" s="213">
        <v>-237</v>
      </c>
      <c r="AF183" s="213">
        <f t="shared" ref="AF183:AF216" si="231">AF182-AA183</f>
        <v>-571</v>
      </c>
      <c r="AG183" s="213">
        <f t="shared" ref="AG183:AG216" si="232">AG182-AB183</f>
        <v>-726</v>
      </c>
      <c r="AH183" s="213">
        <f t="shared" ref="AH183:AH216" si="233">AH182-AC183</f>
        <v>-659</v>
      </c>
      <c r="AI183" s="213">
        <f t="shared" ref="AI183:AI216" si="234">AI182-AD183</f>
        <v>-210</v>
      </c>
      <c r="AJ183" s="78">
        <f t="shared" ref="AJ183:AJ216" si="235">AJ182-AB183/1000+AK183</f>
        <v>0.9410000000000055</v>
      </c>
      <c r="AK183" s="259"/>
      <c r="AL183" s="259">
        <v>1.2</v>
      </c>
      <c r="AM183" s="81"/>
      <c r="AN183" s="260"/>
    </row>
    <row r="184" spans="1:40" s="29" customFormat="1" ht="17.25" customHeight="1">
      <c r="A184" s="48">
        <v>174</v>
      </c>
      <c r="B184" s="49">
        <f t="shared" si="175"/>
        <v>45758</v>
      </c>
      <c r="C184" s="220">
        <f t="shared" si="176"/>
        <v>1069</v>
      </c>
      <c r="D184" s="220">
        <f t="shared" si="224"/>
        <v>2109</v>
      </c>
      <c r="E184" s="220">
        <f t="shared" si="178"/>
        <v>3178</v>
      </c>
      <c r="F184" s="220">
        <f t="shared" si="170"/>
        <v>767</v>
      </c>
      <c r="G184" s="220">
        <f t="shared" si="171"/>
        <v>976</v>
      </c>
      <c r="H184" s="220">
        <f t="shared" si="172"/>
        <v>969</v>
      </c>
      <c r="I184" s="220">
        <f t="shared" si="173"/>
        <v>1001</v>
      </c>
      <c r="J184" s="220">
        <f t="shared" si="174"/>
        <v>826</v>
      </c>
      <c r="K184" s="220">
        <f t="shared" si="210"/>
        <v>2411</v>
      </c>
      <c r="L184" s="220">
        <f t="shared" si="210"/>
        <v>2202</v>
      </c>
      <c r="M184" s="220">
        <f t="shared" si="210"/>
        <v>2209</v>
      </c>
      <c r="N184" s="220">
        <f t="shared" si="210"/>
        <v>2177</v>
      </c>
      <c r="O184" s="220">
        <f t="shared" si="210"/>
        <v>2352</v>
      </c>
      <c r="P184" s="220">
        <f t="shared" si="219"/>
        <v>2000</v>
      </c>
      <c r="Q184" s="220">
        <f t="shared" si="219"/>
        <v>2000</v>
      </c>
      <c r="R184" s="220">
        <f t="shared" si="219"/>
        <v>2000</v>
      </c>
      <c r="S184" s="220">
        <f t="shared" si="219"/>
        <v>2000</v>
      </c>
      <c r="T184" s="220">
        <f t="shared" si="219"/>
        <v>2000</v>
      </c>
      <c r="U184" s="220">
        <f t="shared" si="220"/>
        <v>411</v>
      </c>
      <c r="V184" s="220">
        <f t="shared" si="220"/>
        <v>202</v>
      </c>
      <c r="W184" s="220">
        <f t="shared" si="220"/>
        <v>209</v>
      </c>
      <c r="X184" s="220">
        <f t="shared" si="220"/>
        <v>177</v>
      </c>
      <c r="Y184" s="220">
        <f t="shared" si="220"/>
        <v>352</v>
      </c>
      <c r="Z184" s="220">
        <v>1</v>
      </c>
      <c r="AA184" s="220">
        <v>8</v>
      </c>
      <c r="AB184" s="220">
        <v>9</v>
      </c>
      <c r="AC184" s="220">
        <v>9</v>
      </c>
      <c r="AD184" s="220">
        <v>0</v>
      </c>
      <c r="AE184" s="220">
        <f t="shared" si="221"/>
        <v>-238</v>
      </c>
      <c r="AF184" s="220">
        <f t="shared" si="231"/>
        <v>-579</v>
      </c>
      <c r="AG184" s="220">
        <f t="shared" si="232"/>
        <v>-735</v>
      </c>
      <c r="AH184" s="220">
        <f t="shared" si="233"/>
        <v>-668</v>
      </c>
      <c r="AI184" s="220">
        <f t="shared" si="234"/>
        <v>-210</v>
      </c>
      <c r="AJ184" s="50">
        <f t="shared" si="235"/>
        <v>0.93200000000000549</v>
      </c>
      <c r="AK184" s="257"/>
      <c r="AL184" s="257">
        <f t="shared" si="183"/>
        <v>1.2</v>
      </c>
      <c r="AM184" s="52"/>
      <c r="AN184" s="88"/>
    </row>
    <row r="185" spans="1:40" s="29" customFormat="1" ht="17.25" customHeight="1">
      <c r="A185" s="48">
        <v>175</v>
      </c>
      <c r="B185" s="49">
        <f t="shared" si="175"/>
        <v>45759</v>
      </c>
      <c r="C185" s="220">
        <f t="shared" si="176"/>
        <v>1069</v>
      </c>
      <c r="D185" s="220">
        <f t="shared" si="225"/>
        <v>2124</v>
      </c>
      <c r="E185" s="220">
        <f t="shared" si="178"/>
        <v>3193</v>
      </c>
      <c r="F185" s="220">
        <f t="shared" si="170"/>
        <v>783</v>
      </c>
      <c r="G185" s="220">
        <f t="shared" si="171"/>
        <v>1000</v>
      </c>
      <c r="H185" s="220">
        <f t="shared" si="172"/>
        <v>993</v>
      </c>
      <c r="I185" s="220">
        <f t="shared" si="173"/>
        <v>1025</v>
      </c>
      <c r="J185" s="220">
        <f t="shared" si="174"/>
        <v>841</v>
      </c>
      <c r="K185" s="220">
        <f t="shared" si="210"/>
        <v>2410</v>
      </c>
      <c r="L185" s="220">
        <f t="shared" si="210"/>
        <v>2193</v>
      </c>
      <c r="M185" s="220">
        <f t="shared" si="210"/>
        <v>2200</v>
      </c>
      <c r="N185" s="220">
        <f t="shared" si="210"/>
        <v>2168</v>
      </c>
      <c r="O185" s="220">
        <f t="shared" si="210"/>
        <v>2352</v>
      </c>
      <c r="P185" s="220">
        <f t="shared" si="219"/>
        <v>2000</v>
      </c>
      <c r="Q185" s="220">
        <f t="shared" si="219"/>
        <v>2000</v>
      </c>
      <c r="R185" s="220">
        <f t="shared" si="219"/>
        <v>2000</v>
      </c>
      <c r="S185" s="220">
        <f t="shared" si="219"/>
        <v>2000</v>
      </c>
      <c r="T185" s="220">
        <f t="shared" si="219"/>
        <v>2000</v>
      </c>
      <c r="U185" s="220">
        <f t="shared" si="220"/>
        <v>410</v>
      </c>
      <c r="V185" s="220">
        <f t="shared" si="220"/>
        <v>193</v>
      </c>
      <c r="W185" s="220">
        <f t="shared" si="220"/>
        <v>200</v>
      </c>
      <c r="X185" s="220">
        <f t="shared" si="220"/>
        <v>168</v>
      </c>
      <c r="Y185" s="220">
        <f t="shared" si="220"/>
        <v>352</v>
      </c>
      <c r="Z185" s="220">
        <v>1</v>
      </c>
      <c r="AA185" s="220">
        <v>9</v>
      </c>
      <c r="AB185" s="220">
        <v>9</v>
      </c>
      <c r="AC185" s="220">
        <v>9</v>
      </c>
      <c r="AD185" s="220">
        <v>0</v>
      </c>
      <c r="AE185" s="220">
        <f t="shared" si="221"/>
        <v>-239</v>
      </c>
      <c r="AF185" s="220">
        <f t="shared" si="231"/>
        <v>-588</v>
      </c>
      <c r="AG185" s="220">
        <f t="shared" si="232"/>
        <v>-744</v>
      </c>
      <c r="AH185" s="220">
        <f t="shared" si="233"/>
        <v>-677</v>
      </c>
      <c r="AI185" s="220">
        <f t="shared" si="234"/>
        <v>-210</v>
      </c>
      <c r="AJ185" s="50">
        <f t="shared" si="235"/>
        <v>0.92300000000000548</v>
      </c>
      <c r="AK185" s="257"/>
      <c r="AL185" s="257">
        <f t="shared" si="183"/>
        <v>1.2</v>
      </c>
      <c r="AM185" s="52"/>
      <c r="AN185" s="88"/>
    </row>
    <row r="186" spans="1:40" s="29" customFormat="1" ht="17.25" customHeight="1">
      <c r="A186" s="48">
        <v>176</v>
      </c>
      <c r="B186" s="49">
        <f t="shared" si="175"/>
        <v>45760</v>
      </c>
      <c r="C186" s="220">
        <f t="shared" si="176"/>
        <v>1069</v>
      </c>
      <c r="D186" s="220">
        <f t="shared" ref="D186:D210" si="236">D185+26</f>
        <v>2150</v>
      </c>
      <c r="E186" s="220">
        <f t="shared" si="178"/>
        <v>3219</v>
      </c>
      <c r="F186" s="220">
        <f t="shared" si="170"/>
        <v>809</v>
      </c>
      <c r="G186" s="220">
        <f t="shared" si="171"/>
        <v>1035</v>
      </c>
      <c r="H186" s="220">
        <f t="shared" si="172"/>
        <v>1027</v>
      </c>
      <c r="I186" s="220">
        <f t="shared" si="173"/>
        <v>1059</v>
      </c>
      <c r="J186" s="220">
        <f t="shared" si="174"/>
        <v>867</v>
      </c>
      <c r="K186" s="220">
        <f t="shared" si="210"/>
        <v>2410</v>
      </c>
      <c r="L186" s="220">
        <f t="shared" si="210"/>
        <v>2184</v>
      </c>
      <c r="M186" s="220">
        <f t="shared" si="210"/>
        <v>2192</v>
      </c>
      <c r="N186" s="220">
        <f t="shared" si="210"/>
        <v>2160</v>
      </c>
      <c r="O186" s="220">
        <f t="shared" si="210"/>
        <v>2352</v>
      </c>
      <c r="P186" s="220">
        <f t="shared" si="219"/>
        <v>2000</v>
      </c>
      <c r="Q186" s="220">
        <f t="shared" si="219"/>
        <v>2000</v>
      </c>
      <c r="R186" s="220">
        <f t="shared" si="219"/>
        <v>2000</v>
      </c>
      <c r="S186" s="220">
        <f t="shared" si="219"/>
        <v>2000</v>
      </c>
      <c r="T186" s="220">
        <f t="shared" si="219"/>
        <v>2000</v>
      </c>
      <c r="U186" s="220">
        <f t="shared" si="220"/>
        <v>410</v>
      </c>
      <c r="V186" s="220">
        <f t="shared" si="220"/>
        <v>184</v>
      </c>
      <c r="W186" s="220">
        <f t="shared" si="220"/>
        <v>192</v>
      </c>
      <c r="X186" s="220">
        <f t="shared" si="220"/>
        <v>160</v>
      </c>
      <c r="Y186" s="220">
        <f t="shared" si="220"/>
        <v>352</v>
      </c>
      <c r="Z186" s="220">
        <v>0</v>
      </c>
      <c r="AA186" s="220">
        <v>9</v>
      </c>
      <c r="AB186" s="220">
        <v>8</v>
      </c>
      <c r="AC186" s="220">
        <v>8</v>
      </c>
      <c r="AD186" s="220">
        <v>0</v>
      </c>
      <c r="AE186" s="220">
        <f t="shared" si="221"/>
        <v>-239</v>
      </c>
      <c r="AF186" s="220">
        <f t="shared" si="231"/>
        <v>-597</v>
      </c>
      <c r="AG186" s="220">
        <f t="shared" si="232"/>
        <v>-752</v>
      </c>
      <c r="AH186" s="220">
        <f t="shared" si="233"/>
        <v>-685</v>
      </c>
      <c r="AI186" s="220">
        <f t="shared" si="234"/>
        <v>-210</v>
      </c>
      <c r="AJ186" s="50">
        <f t="shared" si="235"/>
        <v>0.91500000000000548</v>
      </c>
      <c r="AK186" s="257"/>
      <c r="AL186" s="257">
        <f t="shared" si="183"/>
        <v>1.2</v>
      </c>
      <c r="AM186" s="52"/>
      <c r="AN186" s="88"/>
    </row>
    <row r="187" spans="1:40" s="29" customFormat="1" ht="17.25" customHeight="1">
      <c r="A187" s="48">
        <v>177</v>
      </c>
      <c r="B187" s="49">
        <f t="shared" si="175"/>
        <v>45761</v>
      </c>
      <c r="C187" s="220">
        <f t="shared" si="176"/>
        <v>1069</v>
      </c>
      <c r="D187" s="220">
        <f t="shared" ref="D187:D211" si="237">D186+32</f>
        <v>2182</v>
      </c>
      <c r="E187" s="220">
        <f t="shared" si="178"/>
        <v>3251</v>
      </c>
      <c r="F187" s="220">
        <f t="shared" si="170"/>
        <v>842</v>
      </c>
      <c r="G187" s="220">
        <f t="shared" si="171"/>
        <v>1076</v>
      </c>
      <c r="H187" s="220">
        <f t="shared" si="172"/>
        <v>1068</v>
      </c>
      <c r="I187" s="220">
        <f t="shared" si="173"/>
        <v>1100</v>
      </c>
      <c r="J187" s="220">
        <f t="shared" si="174"/>
        <v>899</v>
      </c>
      <c r="K187" s="220">
        <f t="shared" si="210"/>
        <v>2409</v>
      </c>
      <c r="L187" s="220">
        <f t="shared" si="210"/>
        <v>2175</v>
      </c>
      <c r="M187" s="220">
        <f t="shared" si="210"/>
        <v>2183</v>
      </c>
      <c r="N187" s="220">
        <f t="shared" si="210"/>
        <v>2151</v>
      </c>
      <c r="O187" s="220">
        <f t="shared" si="210"/>
        <v>2352</v>
      </c>
      <c r="P187" s="220">
        <f t="shared" si="219"/>
        <v>2000</v>
      </c>
      <c r="Q187" s="220">
        <f t="shared" si="219"/>
        <v>2000</v>
      </c>
      <c r="R187" s="220">
        <f t="shared" si="219"/>
        <v>2000</v>
      </c>
      <c r="S187" s="220">
        <f t="shared" si="219"/>
        <v>2000</v>
      </c>
      <c r="T187" s="220">
        <f t="shared" si="219"/>
        <v>2000</v>
      </c>
      <c r="U187" s="220">
        <f t="shared" si="220"/>
        <v>409</v>
      </c>
      <c r="V187" s="220">
        <f t="shared" si="220"/>
        <v>175</v>
      </c>
      <c r="W187" s="220">
        <f t="shared" si="220"/>
        <v>183</v>
      </c>
      <c r="X187" s="220">
        <f t="shared" si="220"/>
        <v>151</v>
      </c>
      <c r="Y187" s="220">
        <f t="shared" si="220"/>
        <v>352</v>
      </c>
      <c r="Z187" s="220">
        <v>1</v>
      </c>
      <c r="AA187" s="220">
        <v>9</v>
      </c>
      <c r="AB187" s="220">
        <v>9</v>
      </c>
      <c r="AC187" s="220">
        <v>9</v>
      </c>
      <c r="AD187" s="220">
        <v>0</v>
      </c>
      <c r="AE187" s="220">
        <f t="shared" si="221"/>
        <v>-240</v>
      </c>
      <c r="AF187" s="220">
        <f t="shared" si="231"/>
        <v>-606</v>
      </c>
      <c r="AG187" s="220">
        <f t="shared" si="232"/>
        <v>-761</v>
      </c>
      <c r="AH187" s="220">
        <f t="shared" si="233"/>
        <v>-694</v>
      </c>
      <c r="AI187" s="220">
        <f t="shared" si="234"/>
        <v>-210</v>
      </c>
      <c r="AJ187" s="50">
        <f t="shared" si="235"/>
        <v>0.90600000000000547</v>
      </c>
      <c r="AK187" s="257"/>
      <c r="AL187" s="257">
        <f t="shared" si="183"/>
        <v>1.2</v>
      </c>
      <c r="AM187" s="52"/>
      <c r="AN187" s="88"/>
    </row>
    <row r="188" spans="1:40" s="29" customFormat="1" ht="17.25" customHeight="1">
      <c r="A188" s="48">
        <v>178</v>
      </c>
      <c r="B188" s="49">
        <f t="shared" si="175"/>
        <v>45762</v>
      </c>
      <c r="C188" s="220">
        <f t="shared" si="176"/>
        <v>1069</v>
      </c>
      <c r="D188" s="220">
        <f t="shared" ref="D188:D212" si="238">D187-18</f>
        <v>2164</v>
      </c>
      <c r="E188" s="220">
        <f t="shared" si="178"/>
        <v>3233</v>
      </c>
      <c r="F188" s="220">
        <f t="shared" si="170"/>
        <v>824</v>
      </c>
      <c r="G188" s="220">
        <f t="shared" si="171"/>
        <v>1066</v>
      </c>
      <c r="H188" s="220">
        <f t="shared" si="172"/>
        <v>1059</v>
      </c>
      <c r="I188" s="220">
        <f t="shared" si="173"/>
        <v>1090</v>
      </c>
      <c r="J188" s="220">
        <f t="shared" si="174"/>
        <v>882</v>
      </c>
      <c r="K188" s="220">
        <f t="shared" si="210"/>
        <v>2409</v>
      </c>
      <c r="L188" s="220">
        <f t="shared" si="210"/>
        <v>2167</v>
      </c>
      <c r="M188" s="220">
        <f t="shared" si="210"/>
        <v>2174</v>
      </c>
      <c r="N188" s="220">
        <f t="shared" si="210"/>
        <v>2143</v>
      </c>
      <c r="O188" s="220">
        <f t="shared" si="210"/>
        <v>2351</v>
      </c>
      <c r="P188" s="220">
        <f t="shared" si="219"/>
        <v>2000</v>
      </c>
      <c r="Q188" s="220">
        <f t="shared" si="219"/>
        <v>2000</v>
      </c>
      <c r="R188" s="220">
        <f t="shared" si="219"/>
        <v>2000</v>
      </c>
      <c r="S188" s="220">
        <f t="shared" si="219"/>
        <v>2000</v>
      </c>
      <c r="T188" s="220">
        <f t="shared" si="219"/>
        <v>2000</v>
      </c>
      <c r="U188" s="220">
        <f t="shared" si="220"/>
        <v>409</v>
      </c>
      <c r="V188" s="220">
        <f t="shared" si="220"/>
        <v>167</v>
      </c>
      <c r="W188" s="220">
        <f t="shared" si="220"/>
        <v>174</v>
      </c>
      <c r="X188" s="220">
        <f t="shared" si="220"/>
        <v>143</v>
      </c>
      <c r="Y188" s="220">
        <f t="shared" si="220"/>
        <v>351</v>
      </c>
      <c r="Z188" s="220">
        <v>0</v>
      </c>
      <c r="AA188" s="220">
        <v>8</v>
      </c>
      <c r="AB188" s="220">
        <v>9</v>
      </c>
      <c r="AC188" s="220">
        <v>8</v>
      </c>
      <c r="AD188" s="220">
        <v>1</v>
      </c>
      <c r="AE188" s="220">
        <f t="shared" si="221"/>
        <v>-240</v>
      </c>
      <c r="AF188" s="220">
        <f t="shared" si="231"/>
        <v>-614</v>
      </c>
      <c r="AG188" s="220">
        <f t="shared" si="232"/>
        <v>-770</v>
      </c>
      <c r="AH188" s="220">
        <f t="shared" si="233"/>
        <v>-702</v>
      </c>
      <c r="AI188" s="220">
        <f t="shared" si="234"/>
        <v>-211</v>
      </c>
      <c r="AJ188" s="50">
        <f t="shared" si="235"/>
        <v>0.89700000000000546</v>
      </c>
      <c r="AK188" s="257"/>
      <c r="AL188" s="257">
        <f t="shared" si="183"/>
        <v>1.2</v>
      </c>
      <c r="AM188" s="52"/>
      <c r="AN188" s="88"/>
    </row>
    <row r="189" spans="1:40" s="29" customFormat="1" ht="17.25" customHeight="1">
      <c r="A189" s="48">
        <v>179</v>
      </c>
      <c r="B189" s="49">
        <f t="shared" si="175"/>
        <v>45763</v>
      </c>
      <c r="C189" s="220">
        <f t="shared" si="176"/>
        <v>1069</v>
      </c>
      <c r="D189" s="220">
        <f t="shared" ref="D189:D213" si="239">D188-26</f>
        <v>2138</v>
      </c>
      <c r="E189" s="220">
        <f t="shared" si="178"/>
        <v>3207</v>
      </c>
      <c r="F189" s="220">
        <f t="shared" si="170"/>
        <v>798</v>
      </c>
      <c r="G189" s="220">
        <f t="shared" si="171"/>
        <v>1049</v>
      </c>
      <c r="H189" s="220">
        <f t="shared" si="172"/>
        <v>1042</v>
      </c>
      <c r="I189" s="220">
        <f t="shared" si="173"/>
        <v>1073</v>
      </c>
      <c r="J189" s="220">
        <f t="shared" si="174"/>
        <v>856</v>
      </c>
      <c r="K189" s="220">
        <f t="shared" si="210"/>
        <v>2409</v>
      </c>
      <c r="L189" s="220">
        <f t="shared" si="210"/>
        <v>2158</v>
      </c>
      <c r="M189" s="220">
        <f t="shared" si="210"/>
        <v>2165</v>
      </c>
      <c r="N189" s="220">
        <f t="shared" si="210"/>
        <v>2134</v>
      </c>
      <c r="O189" s="220">
        <f t="shared" si="210"/>
        <v>2351</v>
      </c>
      <c r="P189" s="220">
        <f t="shared" ref="P189:T204" si="240">+P188</f>
        <v>2000</v>
      </c>
      <c r="Q189" s="220">
        <f t="shared" si="240"/>
        <v>2000</v>
      </c>
      <c r="R189" s="220">
        <f t="shared" si="240"/>
        <v>2000</v>
      </c>
      <c r="S189" s="220">
        <f t="shared" si="240"/>
        <v>2000</v>
      </c>
      <c r="T189" s="220">
        <f t="shared" si="240"/>
        <v>2000</v>
      </c>
      <c r="U189" s="220">
        <f t="shared" ref="U189:Y204" si="241">U188-Z189</f>
        <v>409</v>
      </c>
      <c r="V189" s="220">
        <f t="shared" si="241"/>
        <v>158</v>
      </c>
      <c r="W189" s="220">
        <f t="shared" si="241"/>
        <v>165</v>
      </c>
      <c r="X189" s="220">
        <f t="shared" si="241"/>
        <v>134</v>
      </c>
      <c r="Y189" s="220">
        <f t="shared" si="241"/>
        <v>351</v>
      </c>
      <c r="Z189" s="220">
        <v>0</v>
      </c>
      <c r="AA189" s="220">
        <v>9</v>
      </c>
      <c r="AB189" s="220">
        <v>9</v>
      </c>
      <c r="AC189" s="220">
        <v>9</v>
      </c>
      <c r="AD189" s="220">
        <v>0</v>
      </c>
      <c r="AE189" s="220">
        <f t="shared" ref="AE189:AE204" si="242">AE188-Z189</f>
        <v>-240</v>
      </c>
      <c r="AF189" s="220">
        <f t="shared" si="231"/>
        <v>-623</v>
      </c>
      <c r="AG189" s="220">
        <f t="shared" si="232"/>
        <v>-779</v>
      </c>
      <c r="AH189" s="220">
        <f t="shared" si="233"/>
        <v>-711</v>
      </c>
      <c r="AI189" s="220">
        <f t="shared" si="234"/>
        <v>-211</v>
      </c>
      <c r="AJ189" s="50">
        <f t="shared" si="235"/>
        <v>0.88800000000000545</v>
      </c>
      <c r="AK189" s="257"/>
      <c r="AL189" s="257">
        <f t="shared" si="183"/>
        <v>1.2</v>
      </c>
      <c r="AM189" s="52"/>
      <c r="AN189" s="88"/>
    </row>
    <row r="190" spans="1:40" s="29" customFormat="1" ht="17.25" customHeight="1">
      <c r="A190" s="48">
        <v>180</v>
      </c>
      <c r="B190" s="49">
        <f t="shared" si="175"/>
        <v>45764</v>
      </c>
      <c r="C190" s="220">
        <f t="shared" si="176"/>
        <v>1069</v>
      </c>
      <c r="D190" s="220">
        <f t="shared" ref="D190:D214" si="243">D189+15</f>
        <v>2153</v>
      </c>
      <c r="E190" s="220">
        <f t="shared" si="178"/>
        <v>3222</v>
      </c>
      <c r="F190" s="220">
        <f t="shared" si="170"/>
        <v>814</v>
      </c>
      <c r="G190" s="220">
        <f t="shared" si="171"/>
        <v>1073</v>
      </c>
      <c r="H190" s="220">
        <f t="shared" si="172"/>
        <v>1065</v>
      </c>
      <c r="I190" s="220">
        <f t="shared" si="173"/>
        <v>1096</v>
      </c>
      <c r="J190" s="220">
        <f t="shared" si="174"/>
        <v>873</v>
      </c>
      <c r="K190" s="220">
        <f t="shared" si="210"/>
        <v>2408</v>
      </c>
      <c r="L190" s="220">
        <f t="shared" si="210"/>
        <v>2149</v>
      </c>
      <c r="M190" s="220">
        <f t="shared" si="210"/>
        <v>2157</v>
      </c>
      <c r="N190" s="220">
        <f t="shared" si="210"/>
        <v>2126</v>
      </c>
      <c r="O190" s="220">
        <f t="shared" si="210"/>
        <v>2349</v>
      </c>
      <c r="P190" s="220">
        <f t="shared" si="240"/>
        <v>2000</v>
      </c>
      <c r="Q190" s="220">
        <f t="shared" si="240"/>
        <v>2000</v>
      </c>
      <c r="R190" s="220">
        <f t="shared" si="240"/>
        <v>2000</v>
      </c>
      <c r="S190" s="220">
        <f t="shared" si="240"/>
        <v>2000</v>
      </c>
      <c r="T190" s="220">
        <f t="shared" si="240"/>
        <v>2000</v>
      </c>
      <c r="U190" s="220">
        <f t="shared" si="241"/>
        <v>408</v>
      </c>
      <c r="V190" s="220">
        <f t="shared" si="241"/>
        <v>149</v>
      </c>
      <c r="W190" s="220">
        <f t="shared" si="241"/>
        <v>157</v>
      </c>
      <c r="X190" s="220">
        <f t="shared" si="241"/>
        <v>126</v>
      </c>
      <c r="Y190" s="220">
        <f t="shared" si="241"/>
        <v>349</v>
      </c>
      <c r="Z190" s="220">
        <v>1</v>
      </c>
      <c r="AA190" s="220">
        <v>9</v>
      </c>
      <c r="AB190" s="220">
        <v>8</v>
      </c>
      <c r="AC190" s="220">
        <v>8</v>
      </c>
      <c r="AD190" s="220">
        <v>2</v>
      </c>
      <c r="AE190" s="220">
        <f t="shared" si="242"/>
        <v>-241</v>
      </c>
      <c r="AF190" s="220">
        <f t="shared" si="231"/>
        <v>-632</v>
      </c>
      <c r="AG190" s="220">
        <f t="shared" si="232"/>
        <v>-787</v>
      </c>
      <c r="AH190" s="220">
        <f t="shared" si="233"/>
        <v>-719</v>
      </c>
      <c r="AI190" s="220">
        <f t="shared" si="234"/>
        <v>-213</v>
      </c>
      <c r="AJ190" s="50">
        <f t="shared" si="235"/>
        <v>0.88000000000000544</v>
      </c>
      <c r="AK190" s="257"/>
      <c r="AL190" s="257">
        <f t="shared" si="183"/>
        <v>1.2</v>
      </c>
      <c r="AM190" s="52"/>
      <c r="AN190" s="88"/>
    </row>
    <row r="191" spans="1:40" s="29" customFormat="1" ht="17.25" customHeight="1">
      <c r="A191" s="48">
        <v>181</v>
      </c>
      <c r="B191" s="49">
        <f t="shared" si="175"/>
        <v>45765</v>
      </c>
      <c r="C191" s="220">
        <f t="shared" si="176"/>
        <v>1069</v>
      </c>
      <c r="D191" s="220">
        <f t="shared" ref="D191:D215" si="244">D190+26</f>
        <v>2179</v>
      </c>
      <c r="E191" s="220">
        <f t="shared" si="178"/>
        <v>3248</v>
      </c>
      <c r="F191" s="220">
        <f t="shared" si="170"/>
        <v>840</v>
      </c>
      <c r="G191" s="220">
        <f t="shared" si="171"/>
        <v>1107</v>
      </c>
      <c r="H191" s="220">
        <f t="shared" si="172"/>
        <v>1100</v>
      </c>
      <c r="I191" s="220">
        <f t="shared" si="173"/>
        <v>1131</v>
      </c>
      <c r="J191" s="220">
        <f t="shared" si="174"/>
        <v>899</v>
      </c>
      <c r="K191" s="220">
        <f t="shared" si="210"/>
        <v>2408</v>
      </c>
      <c r="L191" s="220">
        <f t="shared" si="210"/>
        <v>2141</v>
      </c>
      <c r="M191" s="220">
        <f t="shared" si="210"/>
        <v>2148</v>
      </c>
      <c r="N191" s="220">
        <f t="shared" si="210"/>
        <v>2117</v>
      </c>
      <c r="O191" s="220">
        <f t="shared" si="210"/>
        <v>2349</v>
      </c>
      <c r="P191" s="220">
        <f t="shared" si="240"/>
        <v>2000</v>
      </c>
      <c r="Q191" s="220">
        <f t="shared" si="240"/>
        <v>2000</v>
      </c>
      <c r="R191" s="220">
        <f t="shared" si="240"/>
        <v>2000</v>
      </c>
      <c r="S191" s="220">
        <f t="shared" si="240"/>
        <v>2000</v>
      </c>
      <c r="T191" s="220">
        <f t="shared" si="240"/>
        <v>2000</v>
      </c>
      <c r="U191" s="220">
        <f t="shared" si="241"/>
        <v>408</v>
      </c>
      <c r="V191" s="220">
        <f t="shared" si="241"/>
        <v>141</v>
      </c>
      <c r="W191" s="220">
        <f t="shared" si="241"/>
        <v>148</v>
      </c>
      <c r="X191" s="220">
        <f t="shared" si="241"/>
        <v>117</v>
      </c>
      <c r="Y191" s="220">
        <f t="shared" si="241"/>
        <v>349</v>
      </c>
      <c r="Z191" s="220">
        <v>0</v>
      </c>
      <c r="AA191" s="220">
        <v>8</v>
      </c>
      <c r="AB191" s="220">
        <v>9</v>
      </c>
      <c r="AC191" s="220">
        <v>9</v>
      </c>
      <c r="AD191" s="220">
        <v>0</v>
      </c>
      <c r="AE191" s="220">
        <f t="shared" si="242"/>
        <v>-241</v>
      </c>
      <c r="AF191" s="220">
        <f t="shared" si="231"/>
        <v>-640</v>
      </c>
      <c r="AG191" s="220">
        <f t="shared" si="232"/>
        <v>-796</v>
      </c>
      <c r="AH191" s="220">
        <f t="shared" si="233"/>
        <v>-728</v>
      </c>
      <c r="AI191" s="220">
        <f t="shared" si="234"/>
        <v>-213</v>
      </c>
      <c r="AJ191" s="50">
        <f t="shared" si="235"/>
        <v>0.87100000000000544</v>
      </c>
      <c r="AK191" s="257"/>
      <c r="AL191" s="257">
        <f t="shared" si="183"/>
        <v>1.2</v>
      </c>
      <c r="AM191" s="52"/>
      <c r="AN191" s="88"/>
    </row>
    <row r="192" spans="1:40" s="68" customFormat="1" ht="17.25" customHeight="1">
      <c r="A192" s="105">
        <v>182</v>
      </c>
      <c r="B192" s="104">
        <f t="shared" si="175"/>
        <v>45766</v>
      </c>
      <c r="C192" s="192">
        <f t="shared" si="176"/>
        <v>1069</v>
      </c>
      <c r="D192" s="192">
        <f t="shared" si="224"/>
        <v>2153</v>
      </c>
      <c r="E192" s="192">
        <f t="shared" si="178"/>
        <v>3222</v>
      </c>
      <c r="F192" s="192">
        <f t="shared" si="170"/>
        <v>814</v>
      </c>
      <c r="G192" s="192">
        <f t="shared" si="171"/>
        <v>1089</v>
      </c>
      <c r="H192" s="192">
        <f t="shared" si="172"/>
        <v>1083</v>
      </c>
      <c r="I192" s="192">
        <f t="shared" si="173"/>
        <v>1114</v>
      </c>
      <c r="J192" s="192">
        <f t="shared" si="174"/>
        <v>873</v>
      </c>
      <c r="K192" s="192">
        <f t="shared" si="210"/>
        <v>2408</v>
      </c>
      <c r="L192" s="192">
        <f t="shared" si="210"/>
        <v>2133</v>
      </c>
      <c r="M192" s="192">
        <f t="shared" si="210"/>
        <v>2139</v>
      </c>
      <c r="N192" s="192">
        <f t="shared" si="210"/>
        <v>2108</v>
      </c>
      <c r="O192" s="192">
        <f t="shared" si="210"/>
        <v>2349</v>
      </c>
      <c r="P192" s="192">
        <f t="shared" si="240"/>
        <v>2000</v>
      </c>
      <c r="Q192" s="192">
        <f t="shared" si="240"/>
        <v>2000</v>
      </c>
      <c r="R192" s="192">
        <f t="shared" si="240"/>
        <v>2000</v>
      </c>
      <c r="S192" s="192">
        <f t="shared" si="240"/>
        <v>2000</v>
      </c>
      <c r="T192" s="192">
        <f t="shared" si="240"/>
        <v>2000</v>
      </c>
      <c r="U192" s="192">
        <f t="shared" si="241"/>
        <v>408</v>
      </c>
      <c r="V192" s="192">
        <f t="shared" si="241"/>
        <v>133</v>
      </c>
      <c r="W192" s="192">
        <f t="shared" si="241"/>
        <v>139</v>
      </c>
      <c r="X192" s="192">
        <f t="shared" si="241"/>
        <v>108</v>
      </c>
      <c r="Y192" s="192">
        <f t="shared" si="241"/>
        <v>349</v>
      </c>
      <c r="Z192" s="192">
        <v>0</v>
      </c>
      <c r="AA192" s="192">
        <v>8</v>
      </c>
      <c r="AB192" s="220">
        <v>9</v>
      </c>
      <c r="AC192" s="220">
        <v>9</v>
      </c>
      <c r="AD192" s="192">
        <v>0</v>
      </c>
      <c r="AE192" s="192">
        <f t="shared" si="242"/>
        <v>-241</v>
      </c>
      <c r="AF192" s="220">
        <f t="shared" si="231"/>
        <v>-648</v>
      </c>
      <c r="AG192" s="220">
        <f t="shared" si="232"/>
        <v>-805</v>
      </c>
      <c r="AH192" s="220">
        <f t="shared" si="233"/>
        <v>-737</v>
      </c>
      <c r="AI192" s="220">
        <f t="shared" si="234"/>
        <v>-213</v>
      </c>
      <c r="AJ192" s="50">
        <f t="shared" si="235"/>
        <v>0.86200000000000543</v>
      </c>
      <c r="AK192" s="203"/>
      <c r="AL192" s="203">
        <f t="shared" si="183"/>
        <v>1.2</v>
      </c>
      <c r="AM192" s="262"/>
      <c r="AN192" s="263"/>
    </row>
    <row r="193" spans="1:40" s="29" customFormat="1" ht="17.25" customHeight="1">
      <c r="A193" s="48">
        <v>183</v>
      </c>
      <c r="B193" s="49">
        <f t="shared" si="175"/>
        <v>45767</v>
      </c>
      <c r="C193" s="220">
        <f t="shared" si="176"/>
        <v>1069</v>
      </c>
      <c r="D193" s="220">
        <f t="shared" si="225"/>
        <v>2168</v>
      </c>
      <c r="E193" s="220">
        <f t="shared" si="178"/>
        <v>3237</v>
      </c>
      <c r="F193" s="220">
        <f t="shared" si="170"/>
        <v>830</v>
      </c>
      <c r="G193" s="220">
        <f t="shared" si="171"/>
        <v>1112</v>
      </c>
      <c r="H193" s="220">
        <f t="shared" si="172"/>
        <v>1107</v>
      </c>
      <c r="I193" s="220">
        <f t="shared" si="173"/>
        <v>1138</v>
      </c>
      <c r="J193" s="220">
        <f t="shared" si="174"/>
        <v>888</v>
      </c>
      <c r="K193" s="220">
        <f t="shared" si="210"/>
        <v>2407</v>
      </c>
      <c r="L193" s="220">
        <f t="shared" si="210"/>
        <v>2125</v>
      </c>
      <c r="M193" s="220">
        <f t="shared" si="210"/>
        <v>2130</v>
      </c>
      <c r="N193" s="220">
        <f t="shared" si="210"/>
        <v>2099</v>
      </c>
      <c r="O193" s="220">
        <f t="shared" si="210"/>
        <v>2349</v>
      </c>
      <c r="P193" s="220">
        <f t="shared" si="240"/>
        <v>2000</v>
      </c>
      <c r="Q193" s="220">
        <f t="shared" si="240"/>
        <v>2000</v>
      </c>
      <c r="R193" s="220">
        <f t="shared" si="240"/>
        <v>2000</v>
      </c>
      <c r="S193" s="220">
        <f t="shared" si="240"/>
        <v>2000</v>
      </c>
      <c r="T193" s="220">
        <f t="shared" si="240"/>
        <v>2000</v>
      </c>
      <c r="U193" s="220">
        <f t="shared" si="241"/>
        <v>407</v>
      </c>
      <c r="V193" s="220">
        <f t="shared" si="241"/>
        <v>125</v>
      </c>
      <c r="W193" s="220">
        <f t="shared" si="241"/>
        <v>130</v>
      </c>
      <c r="X193" s="220">
        <f t="shared" si="241"/>
        <v>99</v>
      </c>
      <c r="Y193" s="220">
        <f t="shared" si="241"/>
        <v>349</v>
      </c>
      <c r="Z193" s="220">
        <v>1</v>
      </c>
      <c r="AA193" s="192">
        <v>8</v>
      </c>
      <c r="AB193" s="220">
        <v>9</v>
      </c>
      <c r="AC193" s="220">
        <v>9</v>
      </c>
      <c r="AD193" s="220">
        <v>0</v>
      </c>
      <c r="AE193" s="220">
        <f t="shared" si="242"/>
        <v>-242</v>
      </c>
      <c r="AF193" s="220">
        <f t="shared" si="231"/>
        <v>-656</v>
      </c>
      <c r="AG193" s="220">
        <f t="shared" si="232"/>
        <v>-814</v>
      </c>
      <c r="AH193" s="220">
        <f t="shared" si="233"/>
        <v>-746</v>
      </c>
      <c r="AI193" s="220">
        <f t="shared" si="234"/>
        <v>-213</v>
      </c>
      <c r="AJ193" s="50">
        <f t="shared" si="235"/>
        <v>0.85300000000000542</v>
      </c>
      <c r="AK193" s="257"/>
      <c r="AL193" s="257">
        <f t="shared" si="183"/>
        <v>1.2</v>
      </c>
      <c r="AM193" s="52"/>
      <c r="AN193" s="88"/>
    </row>
    <row r="194" spans="1:40" s="29" customFormat="1" ht="17.25" customHeight="1">
      <c r="A194" s="48">
        <v>184</v>
      </c>
      <c r="B194" s="49">
        <f t="shared" si="175"/>
        <v>45768</v>
      </c>
      <c r="C194" s="220">
        <f t="shared" si="176"/>
        <v>1069</v>
      </c>
      <c r="D194" s="220">
        <f t="shared" si="236"/>
        <v>2194</v>
      </c>
      <c r="E194" s="220">
        <f t="shared" si="178"/>
        <v>3263</v>
      </c>
      <c r="F194" s="220">
        <f t="shared" si="170"/>
        <v>856</v>
      </c>
      <c r="G194" s="220">
        <f t="shared" si="171"/>
        <v>1145</v>
      </c>
      <c r="H194" s="220">
        <f t="shared" si="172"/>
        <v>1141</v>
      </c>
      <c r="I194" s="220">
        <f t="shared" si="173"/>
        <v>1172</v>
      </c>
      <c r="J194" s="220">
        <f t="shared" si="174"/>
        <v>914</v>
      </c>
      <c r="K194" s="220">
        <f t="shared" si="210"/>
        <v>2407</v>
      </c>
      <c r="L194" s="220">
        <f t="shared" si="210"/>
        <v>2118</v>
      </c>
      <c r="M194" s="220">
        <f t="shared" si="210"/>
        <v>2122</v>
      </c>
      <c r="N194" s="220">
        <f t="shared" si="210"/>
        <v>2091</v>
      </c>
      <c r="O194" s="220">
        <f t="shared" si="210"/>
        <v>2349</v>
      </c>
      <c r="P194" s="220">
        <f t="shared" si="240"/>
        <v>2000</v>
      </c>
      <c r="Q194" s="220">
        <f t="shared" si="240"/>
        <v>2000</v>
      </c>
      <c r="R194" s="220">
        <f t="shared" si="240"/>
        <v>2000</v>
      </c>
      <c r="S194" s="220">
        <f t="shared" si="240"/>
        <v>2000</v>
      </c>
      <c r="T194" s="220">
        <f t="shared" si="240"/>
        <v>2000</v>
      </c>
      <c r="U194" s="220">
        <f t="shared" si="241"/>
        <v>407</v>
      </c>
      <c r="V194" s="220">
        <f t="shared" si="241"/>
        <v>118</v>
      </c>
      <c r="W194" s="220">
        <f t="shared" si="241"/>
        <v>122</v>
      </c>
      <c r="X194" s="220">
        <f t="shared" si="241"/>
        <v>91</v>
      </c>
      <c r="Y194" s="220">
        <f t="shared" si="241"/>
        <v>349</v>
      </c>
      <c r="Z194" s="220">
        <v>0</v>
      </c>
      <c r="AA194" s="192">
        <v>7</v>
      </c>
      <c r="AB194" s="220">
        <v>8</v>
      </c>
      <c r="AC194" s="220">
        <v>8</v>
      </c>
      <c r="AD194" s="220">
        <v>0</v>
      </c>
      <c r="AE194" s="220">
        <f t="shared" si="242"/>
        <v>-242</v>
      </c>
      <c r="AF194" s="220">
        <f t="shared" si="231"/>
        <v>-663</v>
      </c>
      <c r="AG194" s="220">
        <f t="shared" si="232"/>
        <v>-822</v>
      </c>
      <c r="AH194" s="220">
        <f t="shared" si="233"/>
        <v>-754</v>
      </c>
      <c r="AI194" s="220">
        <f t="shared" si="234"/>
        <v>-213</v>
      </c>
      <c r="AJ194" s="50">
        <f t="shared" si="235"/>
        <v>0.84500000000000541</v>
      </c>
      <c r="AK194" s="257"/>
      <c r="AL194" s="257">
        <f t="shared" si="183"/>
        <v>1.2</v>
      </c>
      <c r="AM194" s="52"/>
      <c r="AN194" s="88"/>
    </row>
    <row r="195" spans="1:40" s="29" customFormat="1" ht="17.25" customHeight="1">
      <c r="A195" s="48">
        <v>185</v>
      </c>
      <c r="B195" s="49">
        <f t="shared" si="175"/>
        <v>45769</v>
      </c>
      <c r="C195" s="220">
        <f t="shared" si="176"/>
        <v>1069</v>
      </c>
      <c r="D195" s="220">
        <f t="shared" si="237"/>
        <v>2226</v>
      </c>
      <c r="E195" s="220">
        <f t="shared" si="178"/>
        <v>3295</v>
      </c>
      <c r="F195" s="220">
        <f t="shared" si="170"/>
        <v>889</v>
      </c>
      <c r="G195" s="220">
        <f t="shared" si="171"/>
        <v>1185</v>
      </c>
      <c r="H195" s="220">
        <f t="shared" si="172"/>
        <v>1180</v>
      </c>
      <c r="I195" s="220">
        <f t="shared" si="173"/>
        <v>1211</v>
      </c>
      <c r="J195" s="220">
        <f t="shared" si="174"/>
        <v>948</v>
      </c>
      <c r="K195" s="220">
        <f t="shared" si="210"/>
        <v>2406</v>
      </c>
      <c r="L195" s="220">
        <f t="shared" si="210"/>
        <v>2110</v>
      </c>
      <c r="M195" s="220">
        <f t="shared" si="210"/>
        <v>2115</v>
      </c>
      <c r="N195" s="220">
        <f t="shared" si="210"/>
        <v>2084</v>
      </c>
      <c r="O195" s="220">
        <f t="shared" si="210"/>
        <v>2347</v>
      </c>
      <c r="P195" s="220">
        <f t="shared" si="240"/>
        <v>2000</v>
      </c>
      <c r="Q195" s="220">
        <f t="shared" si="240"/>
        <v>2000</v>
      </c>
      <c r="R195" s="220">
        <f t="shared" si="240"/>
        <v>2000</v>
      </c>
      <c r="S195" s="220">
        <f t="shared" si="240"/>
        <v>2000</v>
      </c>
      <c r="T195" s="220">
        <f t="shared" si="240"/>
        <v>2000</v>
      </c>
      <c r="U195" s="220">
        <f t="shared" si="241"/>
        <v>406</v>
      </c>
      <c r="V195" s="220">
        <f t="shared" si="241"/>
        <v>110</v>
      </c>
      <c r="W195" s="220">
        <f t="shared" si="241"/>
        <v>115</v>
      </c>
      <c r="X195" s="220">
        <f t="shared" si="241"/>
        <v>84</v>
      </c>
      <c r="Y195" s="220">
        <f t="shared" si="241"/>
        <v>347</v>
      </c>
      <c r="Z195" s="220">
        <v>1</v>
      </c>
      <c r="AA195" s="192">
        <v>8</v>
      </c>
      <c r="AB195" s="220">
        <v>7</v>
      </c>
      <c r="AC195" s="220">
        <v>7</v>
      </c>
      <c r="AD195" s="220">
        <v>2</v>
      </c>
      <c r="AE195" s="220">
        <f t="shared" si="242"/>
        <v>-243</v>
      </c>
      <c r="AF195" s="220">
        <f t="shared" si="231"/>
        <v>-671</v>
      </c>
      <c r="AG195" s="220">
        <f t="shared" si="232"/>
        <v>-829</v>
      </c>
      <c r="AH195" s="220">
        <f t="shared" si="233"/>
        <v>-761</v>
      </c>
      <c r="AI195" s="220">
        <f t="shared" si="234"/>
        <v>-215</v>
      </c>
      <c r="AJ195" s="50">
        <f t="shared" si="235"/>
        <v>0.83800000000000541</v>
      </c>
      <c r="AK195" s="257"/>
      <c r="AL195" s="257">
        <f t="shared" si="183"/>
        <v>1.2</v>
      </c>
      <c r="AM195" s="52"/>
      <c r="AN195" s="88"/>
    </row>
    <row r="196" spans="1:40" s="29" customFormat="1" ht="17.25" customHeight="1">
      <c r="A196" s="48">
        <v>186</v>
      </c>
      <c r="B196" s="49">
        <f t="shared" si="175"/>
        <v>45770</v>
      </c>
      <c r="C196" s="220">
        <f t="shared" si="176"/>
        <v>1069</v>
      </c>
      <c r="D196" s="220">
        <f t="shared" si="238"/>
        <v>2208</v>
      </c>
      <c r="E196" s="220">
        <f t="shared" si="178"/>
        <v>3277</v>
      </c>
      <c r="F196" s="220">
        <f t="shared" si="170"/>
        <v>871</v>
      </c>
      <c r="G196" s="220">
        <f t="shared" si="171"/>
        <v>1174</v>
      </c>
      <c r="H196" s="220">
        <f t="shared" si="172"/>
        <v>1170</v>
      </c>
      <c r="I196" s="220">
        <f t="shared" si="173"/>
        <v>1201</v>
      </c>
      <c r="J196" s="220">
        <f t="shared" si="174"/>
        <v>930</v>
      </c>
      <c r="K196" s="220">
        <f t="shared" si="210"/>
        <v>2406</v>
      </c>
      <c r="L196" s="220">
        <f t="shared" si="210"/>
        <v>2103</v>
      </c>
      <c r="M196" s="220">
        <f t="shared" si="210"/>
        <v>2107</v>
      </c>
      <c r="N196" s="220">
        <f t="shared" si="210"/>
        <v>2076</v>
      </c>
      <c r="O196" s="220">
        <f t="shared" si="210"/>
        <v>2347</v>
      </c>
      <c r="P196" s="220">
        <f t="shared" si="240"/>
        <v>2000</v>
      </c>
      <c r="Q196" s="220">
        <f t="shared" si="240"/>
        <v>2000</v>
      </c>
      <c r="R196" s="220">
        <f t="shared" si="240"/>
        <v>2000</v>
      </c>
      <c r="S196" s="220">
        <f t="shared" si="240"/>
        <v>2000</v>
      </c>
      <c r="T196" s="220">
        <f t="shared" si="240"/>
        <v>2000</v>
      </c>
      <c r="U196" s="220">
        <f t="shared" si="241"/>
        <v>406</v>
      </c>
      <c r="V196" s="220">
        <f t="shared" si="241"/>
        <v>103</v>
      </c>
      <c r="W196" s="220">
        <f t="shared" si="241"/>
        <v>107</v>
      </c>
      <c r="X196" s="220">
        <f t="shared" si="241"/>
        <v>76</v>
      </c>
      <c r="Y196" s="220">
        <f t="shared" si="241"/>
        <v>347</v>
      </c>
      <c r="Z196" s="220">
        <v>0</v>
      </c>
      <c r="AA196" s="192">
        <v>7</v>
      </c>
      <c r="AB196" s="220">
        <v>8</v>
      </c>
      <c r="AC196" s="220">
        <v>8</v>
      </c>
      <c r="AD196" s="220">
        <v>0</v>
      </c>
      <c r="AE196" s="220">
        <f t="shared" si="242"/>
        <v>-243</v>
      </c>
      <c r="AF196" s="220">
        <f t="shared" si="231"/>
        <v>-678</v>
      </c>
      <c r="AG196" s="220">
        <f t="shared" si="232"/>
        <v>-837</v>
      </c>
      <c r="AH196" s="220">
        <f t="shared" si="233"/>
        <v>-769</v>
      </c>
      <c r="AI196" s="220">
        <f t="shared" si="234"/>
        <v>-215</v>
      </c>
      <c r="AJ196" s="50">
        <f t="shared" si="235"/>
        <v>0.8300000000000054</v>
      </c>
      <c r="AK196" s="257"/>
      <c r="AL196" s="257">
        <f t="shared" si="183"/>
        <v>1.2</v>
      </c>
      <c r="AM196" s="52"/>
      <c r="AN196" s="88"/>
    </row>
    <row r="197" spans="1:40" s="29" customFormat="1" ht="17.25" customHeight="1">
      <c r="A197" s="48">
        <v>187</v>
      </c>
      <c r="B197" s="49">
        <f t="shared" si="175"/>
        <v>45771</v>
      </c>
      <c r="C197" s="220">
        <f t="shared" si="176"/>
        <v>1069</v>
      </c>
      <c r="D197" s="220">
        <f t="shared" si="239"/>
        <v>2182</v>
      </c>
      <c r="E197" s="220">
        <f t="shared" si="178"/>
        <v>3251</v>
      </c>
      <c r="F197" s="220">
        <f t="shared" si="170"/>
        <v>846</v>
      </c>
      <c r="G197" s="220">
        <f t="shared" si="171"/>
        <v>1155</v>
      </c>
      <c r="H197" s="220">
        <f t="shared" si="172"/>
        <v>1152</v>
      </c>
      <c r="I197" s="220">
        <f t="shared" si="173"/>
        <v>1184</v>
      </c>
      <c r="J197" s="220">
        <f t="shared" si="174"/>
        <v>904</v>
      </c>
      <c r="K197" s="220">
        <f t="shared" si="210"/>
        <v>2405</v>
      </c>
      <c r="L197" s="220">
        <f t="shared" si="210"/>
        <v>2096</v>
      </c>
      <c r="M197" s="220">
        <f t="shared" si="210"/>
        <v>2099</v>
      </c>
      <c r="N197" s="220">
        <f t="shared" si="210"/>
        <v>2067</v>
      </c>
      <c r="O197" s="220">
        <f t="shared" si="210"/>
        <v>2347</v>
      </c>
      <c r="P197" s="220">
        <f t="shared" si="240"/>
        <v>2000</v>
      </c>
      <c r="Q197" s="220">
        <f t="shared" si="240"/>
        <v>2000</v>
      </c>
      <c r="R197" s="220">
        <f t="shared" si="240"/>
        <v>2000</v>
      </c>
      <c r="S197" s="220">
        <f t="shared" si="240"/>
        <v>2000</v>
      </c>
      <c r="T197" s="220">
        <f t="shared" si="240"/>
        <v>2000</v>
      </c>
      <c r="U197" s="220">
        <f t="shared" si="241"/>
        <v>405</v>
      </c>
      <c r="V197" s="220">
        <f t="shared" si="241"/>
        <v>96</v>
      </c>
      <c r="W197" s="220">
        <f t="shared" si="241"/>
        <v>99</v>
      </c>
      <c r="X197" s="220">
        <f t="shared" si="241"/>
        <v>67</v>
      </c>
      <c r="Y197" s="220">
        <f t="shared" si="241"/>
        <v>347</v>
      </c>
      <c r="Z197" s="220">
        <v>1</v>
      </c>
      <c r="AA197" s="220">
        <v>7</v>
      </c>
      <c r="AB197" s="220">
        <v>8</v>
      </c>
      <c r="AC197" s="220">
        <v>9</v>
      </c>
      <c r="AD197" s="220">
        <v>0</v>
      </c>
      <c r="AE197" s="220">
        <f t="shared" si="242"/>
        <v>-244</v>
      </c>
      <c r="AF197" s="220">
        <f t="shared" si="231"/>
        <v>-685</v>
      </c>
      <c r="AG197" s="220">
        <f t="shared" si="232"/>
        <v>-845</v>
      </c>
      <c r="AH197" s="220">
        <f t="shared" si="233"/>
        <v>-778</v>
      </c>
      <c r="AI197" s="220">
        <f t="shared" si="234"/>
        <v>-215</v>
      </c>
      <c r="AJ197" s="50">
        <f t="shared" si="235"/>
        <v>0.82200000000000539</v>
      </c>
      <c r="AK197" s="257"/>
      <c r="AL197" s="257">
        <f t="shared" si="183"/>
        <v>1.2</v>
      </c>
      <c r="AM197" s="52"/>
      <c r="AN197" s="88"/>
    </row>
    <row r="198" spans="1:40" s="29" customFormat="1" ht="17.25" customHeight="1">
      <c r="A198" s="48">
        <v>188</v>
      </c>
      <c r="B198" s="49">
        <f t="shared" si="175"/>
        <v>45772</v>
      </c>
      <c r="C198" s="220">
        <f t="shared" si="176"/>
        <v>1069</v>
      </c>
      <c r="D198" s="220">
        <f t="shared" si="243"/>
        <v>2197</v>
      </c>
      <c r="E198" s="220">
        <f t="shared" si="178"/>
        <v>3266</v>
      </c>
      <c r="F198" s="220">
        <f t="shared" si="170"/>
        <v>861</v>
      </c>
      <c r="G198" s="220">
        <f t="shared" si="171"/>
        <v>1177</v>
      </c>
      <c r="H198" s="220">
        <f t="shared" si="172"/>
        <v>1175</v>
      </c>
      <c r="I198" s="220">
        <f t="shared" si="173"/>
        <v>1207</v>
      </c>
      <c r="J198" s="220">
        <f t="shared" si="174"/>
        <v>920</v>
      </c>
      <c r="K198" s="220">
        <f t="shared" si="210"/>
        <v>2405</v>
      </c>
      <c r="L198" s="220">
        <f t="shared" si="210"/>
        <v>2089</v>
      </c>
      <c r="M198" s="220">
        <f t="shared" si="210"/>
        <v>2091</v>
      </c>
      <c r="N198" s="220">
        <f t="shared" si="210"/>
        <v>2059</v>
      </c>
      <c r="O198" s="220">
        <f t="shared" si="210"/>
        <v>2346</v>
      </c>
      <c r="P198" s="220">
        <f t="shared" si="240"/>
        <v>2000</v>
      </c>
      <c r="Q198" s="220">
        <f t="shared" si="240"/>
        <v>2000</v>
      </c>
      <c r="R198" s="220">
        <f t="shared" si="240"/>
        <v>2000</v>
      </c>
      <c r="S198" s="220">
        <f t="shared" si="240"/>
        <v>2000</v>
      </c>
      <c r="T198" s="220">
        <f t="shared" si="240"/>
        <v>2000</v>
      </c>
      <c r="U198" s="220">
        <f t="shared" si="241"/>
        <v>405</v>
      </c>
      <c r="V198" s="220">
        <f t="shared" si="241"/>
        <v>89</v>
      </c>
      <c r="W198" s="220">
        <f t="shared" si="241"/>
        <v>91</v>
      </c>
      <c r="X198" s="220">
        <f t="shared" si="241"/>
        <v>59</v>
      </c>
      <c r="Y198" s="220">
        <f t="shared" si="241"/>
        <v>346</v>
      </c>
      <c r="Z198" s="220">
        <v>0</v>
      </c>
      <c r="AA198" s="220">
        <v>7</v>
      </c>
      <c r="AB198" s="220">
        <v>8</v>
      </c>
      <c r="AC198" s="220">
        <v>8</v>
      </c>
      <c r="AD198" s="220">
        <v>1</v>
      </c>
      <c r="AE198" s="220">
        <f t="shared" si="242"/>
        <v>-244</v>
      </c>
      <c r="AF198" s="220">
        <f t="shared" si="231"/>
        <v>-692</v>
      </c>
      <c r="AG198" s="220">
        <f t="shared" si="232"/>
        <v>-853</v>
      </c>
      <c r="AH198" s="220">
        <f t="shared" si="233"/>
        <v>-786</v>
      </c>
      <c r="AI198" s="220">
        <f t="shared" si="234"/>
        <v>-216</v>
      </c>
      <c r="AJ198" s="50">
        <f t="shared" si="235"/>
        <v>0.81400000000000539</v>
      </c>
      <c r="AK198" s="257"/>
      <c r="AL198" s="257">
        <f t="shared" si="183"/>
        <v>1.2</v>
      </c>
      <c r="AM198" s="52"/>
      <c r="AN198" s="88"/>
    </row>
    <row r="199" spans="1:40" s="29" customFormat="1" ht="17.25" customHeight="1">
      <c r="A199" s="48">
        <v>189</v>
      </c>
      <c r="B199" s="49">
        <f t="shared" si="175"/>
        <v>45773</v>
      </c>
      <c r="C199" s="220">
        <f t="shared" si="176"/>
        <v>1069</v>
      </c>
      <c r="D199" s="220">
        <f t="shared" si="244"/>
        <v>2223</v>
      </c>
      <c r="E199" s="220">
        <f t="shared" si="178"/>
        <v>3292</v>
      </c>
      <c r="F199" s="220">
        <f t="shared" si="170"/>
        <v>888</v>
      </c>
      <c r="G199" s="220">
        <f t="shared" si="171"/>
        <v>1209</v>
      </c>
      <c r="H199" s="220">
        <f t="shared" si="172"/>
        <v>1208</v>
      </c>
      <c r="I199" s="220">
        <f t="shared" si="173"/>
        <v>1240</v>
      </c>
      <c r="J199" s="220">
        <f t="shared" si="174"/>
        <v>948</v>
      </c>
      <c r="K199" s="220">
        <f t="shared" si="210"/>
        <v>2404</v>
      </c>
      <c r="L199" s="220">
        <f t="shared" si="210"/>
        <v>2083</v>
      </c>
      <c r="M199" s="220">
        <f t="shared" si="210"/>
        <v>2084</v>
      </c>
      <c r="N199" s="220">
        <f t="shared" si="210"/>
        <v>2052</v>
      </c>
      <c r="O199" s="220">
        <f t="shared" si="210"/>
        <v>2344</v>
      </c>
      <c r="P199" s="220">
        <f t="shared" si="240"/>
        <v>2000</v>
      </c>
      <c r="Q199" s="220">
        <f t="shared" si="240"/>
        <v>2000</v>
      </c>
      <c r="R199" s="220">
        <f t="shared" si="240"/>
        <v>2000</v>
      </c>
      <c r="S199" s="220">
        <f t="shared" si="240"/>
        <v>2000</v>
      </c>
      <c r="T199" s="220">
        <f t="shared" si="240"/>
        <v>2000</v>
      </c>
      <c r="U199" s="220">
        <f t="shared" si="241"/>
        <v>404</v>
      </c>
      <c r="V199" s="220">
        <f t="shared" si="241"/>
        <v>83</v>
      </c>
      <c r="W199" s="220">
        <f t="shared" si="241"/>
        <v>84</v>
      </c>
      <c r="X199" s="220">
        <f t="shared" si="241"/>
        <v>52</v>
      </c>
      <c r="Y199" s="220">
        <f t="shared" si="241"/>
        <v>344</v>
      </c>
      <c r="Z199" s="220">
        <v>1</v>
      </c>
      <c r="AA199" s="220">
        <v>6</v>
      </c>
      <c r="AB199" s="220">
        <v>7</v>
      </c>
      <c r="AC199" s="220">
        <v>7</v>
      </c>
      <c r="AD199" s="220">
        <v>2</v>
      </c>
      <c r="AE199" s="220">
        <f t="shared" si="242"/>
        <v>-245</v>
      </c>
      <c r="AF199" s="220">
        <f t="shared" si="231"/>
        <v>-698</v>
      </c>
      <c r="AG199" s="220">
        <f t="shared" si="232"/>
        <v>-860</v>
      </c>
      <c r="AH199" s="220">
        <f t="shared" si="233"/>
        <v>-793</v>
      </c>
      <c r="AI199" s="220">
        <f t="shared" si="234"/>
        <v>-218</v>
      </c>
      <c r="AJ199" s="50">
        <f t="shared" si="235"/>
        <v>0.80700000000000538</v>
      </c>
      <c r="AK199" s="257"/>
      <c r="AL199" s="257">
        <f t="shared" si="183"/>
        <v>1.2</v>
      </c>
      <c r="AM199" s="52"/>
      <c r="AN199" s="88"/>
    </row>
    <row r="200" spans="1:40" s="29" customFormat="1" ht="17.25" customHeight="1">
      <c r="A200" s="48">
        <v>190</v>
      </c>
      <c r="B200" s="49">
        <f t="shared" si="175"/>
        <v>45774</v>
      </c>
      <c r="C200" s="220">
        <f t="shared" si="176"/>
        <v>1069</v>
      </c>
      <c r="D200" s="220">
        <f t="shared" si="224"/>
        <v>2197</v>
      </c>
      <c r="E200" s="220">
        <f t="shared" si="178"/>
        <v>3266</v>
      </c>
      <c r="F200" s="220">
        <f t="shared" si="170"/>
        <v>862</v>
      </c>
      <c r="G200" s="220">
        <f t="shared" si="171"/>
        <v>1189</v>
      </c>
      <c r="H200" s="220">
        <f t="shared" si="172"/>
        <v>1190</v>
      </c>
      <c r="I200" s="220">
        <f t="shared" si="173"/>
        <v>1222</v>
      </c>
      <c r="J200" s="220">
        <f t="shared" si="174"/>
        <v>922</v>
      </c>
      <c r="K200" s="220">
        <f t="shared" si="210"/>
        <v>2404</v>
      </c>
      <c r="L200" s="220">
        <f t="shared" si="210"/>
        <v>2077</v>
      </c>
      <c r="M200" s="220">
        <f t="shared" si="210"/>
        <v>2076</v>
      </c>
      <c r="N200" s="220">
        <f t="shared" si="210"/>
        <v>2044</v>
      </c>
      <c r="O200" s="220">
        <f t="shared" si="210"/>
        <v>2344</v>
      </c>
      <c r="P200" s="220">
        <f t="shared" si="240"/>
        <v>2000</v>
      </c>
      <c r="Q200" s="220">
        <f t="shared" si="240"/>
        <v>2000</v>
      </c>
      <c r="R200" s="220">
        <f t="shared" si="240"/>
        <v>2000</v>
      </c>
      <c r="S200" s="220">
        <f t="shared" si="240"/>
        <v>2000</v>
      </c>
      <c r="T200" s="220">
        <f t="shared" si="240"/>
        <v>2000</v>
      </c>
      <c r="U200" s="220">
        <f t="shared" si="241"/>
        <v>404</v>
      </c>
      <c r="V200" s="220">
        <f t="shared" si="241"/>
        <v>77</v>
      </c>
      <c r="W200" s="220">
        <f t="shared" si="241"/>
        <v>76</v>
      </c>
      <c r="X200" s="220">
        <f t="shared" si="241"/>
        <v>44</v>
      </c>
      <c r="Y200" s="220">
        <f t="shared" si="241"/>
        <v>344</v>
      </c>
      <c r="Z200" s="220">
        <v>0</v>
      </c>
      <c r="AA200" s="220">
        <v>6</v>
      </c>
      <c r="AB200" s="220">
        <v>8</v>
      </c>
      <c r="AC200" s="220">
        <v>8</v>
      </c>
      <c r="AD200" s="220">
        <v>0</v>
      </c>
      <c r="AE200" s="220">
        <f t="shared" si="242"/>
        <v>-245</v>
      </c>
      <c r="AF200" s="220">
        <f t="shared" si="231"/>
        <v>-704</v>
      </c>
      <c r="AG200" s="220">
        <f t="shared" si="232"/>
        <v>-868</v>
      </c>
      <c r="AH200" s="220">
        <f t="shared" si="233"/>
        <v>-801</v>
      </c>
      <c r="AI200" s="220">
        <f t="shared" si="234"/>
        <v>-218</v>
      </c>
      <c r="AJ200" s="50">
        <f t="shared" si="235"/>
        <v>0.79900000000000537</v>
      </c>
      <c r="AK200" s="257"/>
      <c r="AL200" s="257">
        <f t="shared" si="183"/>
        <v>1.2</v>
      </c>
      <c r="AM200" s="52"/>
      <c r="AN200" s="88"/>
    </row>
    <row r="201" spans="1:40" s="29" customFormat="1" ht="17.25" customHeight="1">
      <c r="A201" s="48">
        <v>191</v>
      </c>
      <c r="B201" s="49">
        <f t="shared" si="175"/>
        <v>45775</v>
      </c>
      <c r="C201" s="220">
        <f t="shared" si="176"/>
        <v>1069</v>
      </c>
      <c r="D201" s="220">
        <f t="shared" si="225"/>
        <v>2212</v>
      </c>
      <c r="E201" s="220">
        <f t="shared" si="178"/>
        <v>3281</v>
      </c>
      <c r="F201" s="220">
        <f t="shared" si="170"/>
        <v>878</v>
      </c>
      <c r="G201" s="220">
        <f t="shared" si="171"/>
        <v>1211</v>
      </c>
      <c r="H201" s="220">
        <f t="shared" si="172"/>
        <v>1212</v>
      </c>
      <c r="I201" s="220">
        <f t="shared" si="173"/>
        <v>1244</v>
      </c>
      <c r="J201" s="220">
        <f t="shared" si="174"/>
        <v>937</v>
      </c>
      <c r="K201" s="220">
        <f t="shared" si="210"/>
        <v>2403</v>
      </c>
      <c r="L201" s="220">
        <f t="shared" si="210"/>
        <v>2070</v>
      </c>
      <c r="M201" s="220">
        <f t="shared" si="210"/>
        <v>2069</v>
      </c>
      <c r="N201" s="220">
        <f t="shared" si="210"/>
        <v>2037</v>
      </c>
      <c r="O201" s="220">
        <f t="shared" si="210"/>
        <v>2344</v>
      </c>
      <c r="P201" s="220">
        <f t="shared" si="240"/>
        <v>2000</v>
      </c>
      <c r="Q201" s="220">
        <f t="shared" si="240"/>
        <v>2000</v>
      </c>
      <c r="R201" s="220">
        <f t="shared" si="240"/>
        <v>2000</v>
      </c>
      <c r="S201" s="220">
        <f t="shared" si="240"/>
        <v>2000</v>
      </c>
      <c r="T201" s="220">
        <f t="shared" si="240"/>
        <v>2000</v>
      </c>
      <c r="U201" s="220">
        <f t="shared" si="241"/>
        <v>403</v>
      </c>
      <c r="V201" s="220">
        <f t="shared" si="241"/>
        <v>70</v>
      </c>
      <c r="W201" s="220">
        <f t="shared" si="241"/>
        <v>69</v>
      </c>
      <c r="X201" s="220">
        <f t="shared" si="241"/>
        <v>37</v>
      </c>
      <c r="Y201" s="220">
        <f t="shared" si="241"/>
        <v>344</v>
      </c>
      <c r="Z201" s="220">
        <v>1</v>
      </c>
      <c r="AA201" s="220">
        <v>7</v>
      </c>
      <c r="AB201" s="220">
        <v>7</v>
      </c>
      <c r="AC201" s="220">
        <v>7</v>
      </c>
      <c r="AD201" s="220">
        <v>0</v>
      </c>
      <c r="AE201" s="220">
        <f t="shared" si="242"/>
        <v>-246</v>
      </c>
      <c r="AF201" s="220">
        <f t="shared" si="231"/>
        <v>-711</v>
      </c>
      <c r="AG201" s="220">
        <f t="shared" si="232"/>
        <v>-875</v>
      </c>
      <c r="AH201" s="220">
        <f t="shared" si="233"/>
        <v>-808</v>
      </c>
      <c r="AI201" s="220">
        <f t="shared" si="234"/>
        <v>-218</v>
      </c>
      <c r="AJ201" s="50">
        <f t="shared" si="235"/>
        <v>0.79200000000000537</v>
      </c>
      <c r="AK201" s="257"/>
      <c r="AL201" s="257">
        <f t="shared" si="183"/>
        <v>1.2</v>
      </c>
      <c r="AM201" s="52"/>
      <c r="AN201" s="88"/>
    </row>
    <row r="202" spans="1:40" s="29" customFormat="1" ht="17.25" customHeight="1">
      <c r="A202" s="48">
        <v>192</v>
      </c>
      <c r="B202" s="49">
        <f t="shared" si="175"/>
        <v>45776</v>
      </c>
      <c r="C202" s="220">
        <f t="shared" si="176"/>
        <v>1069</v>
      </c>
      <c r="D202" s="220">
        <f t="shared" si="236"/>
        <v>2238</v>
      </c>
      <c r="E202" s="220">
        <f t="shared" si="178"/>
        <v>3307</v>
      </c>
      <c r="F202" s="220">
        <f t="shared" si="170"/>
        <v>904</v>
      </c>
      <c r="G202" s="220">
        <f t="shared" si="171"/>
        <v>1244</v>
      </c>
      <c r="H202" s="220">
        <f t="shared" si="172"/>
        <v>1246</v>
      </c>
      <c r="I202" s="220">
        <f t="shared" si="173"/>
        <v>1278</v>
      </c>
      <c r="J202" s="220">
        <f t="shared" si="174"/>
        <v>963</v>
      </c>
      <c r="K202" s="220">
        <f t="shared" si="210"/>
        <v>2403</v>
      </c>
      <c r="L202" s="220">
        <f t="shared" si="210"/>
        <v>2063</v>
      </c>
      <c r="M202" s="220">
        <f t="shared" si="210"/>
        <v>2061</v>
      </c>
      <c r="N202" s="220">
        <f t="shared" si="210"/>
        <v>2029</v>
      </c>
      <c r="O202" s="220">
        <f t="shared" si="210"/>
        <v>2344</v>
      </c>
      <c r="P202" s="220">
        <f t="shared" si="240"/>
        <v>2000</v>
      </c>
      <c r="Q202" s="220">
        <f t="shared" si="240"/>
        <v>2000</v>
      </c>
      <c r="R202" s="220">
        <f t="shared" si="240"/>
        <v>2000</v>
      </c>
      <c r="S202" s="220">
        <f t="shared" si="240"/>
        <v>2000</v>
      </c>
      <c r="T202" s="220">
        <f t="shared" si="240"/>
        <v>2000</v>
      </c>
      <c r="U202" s="220">
        <f t="shared" si="241"/>
        <v>403</v>
      </c>
      <c r="V202" s="220">
        <f t="shared" si="241"/>
        <v>63</v>
      </c>
      <c r="W202" s="220">
        <f t="shared" si="241"/>
        <v>61</v>
      </c>
      <c r="X202" s="220">
        <f t="shared" si="241"/>
        <v>29</v>
      </c>
      <c r="Y202" s="220">
        <f t="shared" si="241"/>
        <v>344</v>
      </c>
      <c r="Z202" s="220">
        <v>0</v>
      </c>
      <c r="AA202" s="220">
        <v>7</v>
      </c>
      <c r="AB202" s="220">
        <v>8</v>
      </c>
      <c r="AC202" s="220">
        <v>8</v>
      </c>
      <c r="AD202" s="220">
        <v>0</v>
      </c>
      <c r="AE202" s="220">
        <f t="shared" si="242"/>
        <v>-246</v>
      </c>
      <c r="AF202" s="220">
        <f t="shared" si="231"/>
        <v>-718</v>
      </c>
      <c r="AG202" s="220">
        <f t="shared" si="232"/>
        <v>-883</v>
      </c>
      <c r="AH202" s="220">
        <f t="shared" si="233"/>
        <v>-816</v>
      </c>
      <c r="AI202" s="220">
        <f t="shared" si="234"/>
        <v>-218</v>
      </c>
      <c r="AJ202" s="50">
        <f t="shared" si="235"/>
        <v>0.78400000000000536</v>
      </c>
      <c r="AK202" s="257"/>
      <c r="AL202" s="257">
        <f t="shared" si="183"/>
        <v>1.2</v>
      </c>
      <c r="AM202" s="52"/>
      <c r="AN202" s="88"/>
    </row>
    <row r="203" spans="1:40" s="29" customFormat="1" ht="17.25" customHeight="1">
      <c r="A203" s="48">
        <v>193</v>
      </c>
      <c r="B203" s="49">
        <f t="shared" si="175"/>
        <v>45777</v>
      </c>
      <c r="C203" s="220">
        <f t="shared" si="176"/>
        <v>1069</v>
      </c>
      <c r="D203" s="220">
        <f t="shared" si="237"/>
        <v>2270</v>
      </c>
      <c r="E203" s="220">
        <f t="shared" si="178"/>
        <v>3339</v>
      </c>
      <c r="F203" s="220">
        <f t="shared" si="170"/>
        <v>936</v>
      </c>
      <c r="G203" s="220">
        <f t="shared" si="171"/>
        <v>1282</v>
      </c>
      <c r="H203" s="220">
        <f t="shared" si="172"/>
        <v>1286</v>
      </c>
      <c r="I203" s="220">
        <f t="shared" si="173"/>
        <v>1317</v>
      </c>
      <c r="J203" s="220">
        <f t="shared" si="174"/>
        <v>995</v>
      </c>
      <c r="K203" s="220">
        <f t="shared" si="210"/>
        <v>2403</v>
      </c>
      <c r="L203" s="220">
        <f t="shared" si="210"/>
        <v>2057</v>
      </c>
      <c r="M203" s="220">
        <f t="shared" si="210"/>
        <v>2053</v>
      </c>
      <c r="N203" s="220">
        <f t="shared" si="210"/>
        <v>2022</v>
      </c>
      <c r="O203" s="220">
        <f t="shared" si="210"/>
        <v>2344</v>
      </c>
      <c r="P203" s="220">
        <f t="shared" si="240"/>
        <v>2000</v>
      </c>
      <c r="Q203" s="220">
        <f t="shared" si="240"/>
        <v>2000</v>
      </c>
      <c r="R203" s="220">
        <f t="shared" si="240"/>
        <v>2000</v>
      </c>
      <c r="S203" s="220">
        <f t="shared" si="240"/>
        <v>2000</v>
      </c>
      <c r="T203" s="220">
        <f t="shared" si="240"/>
        <v>2000</v>
      </c>
      <c r="U203" s="220">
        <f t="shared" si="241"/>
        <v>403</v>
      </c>
      <c r="V203" s="220">
        <f t="shared" si="241"/>
        <v>57</v>
      </c>
      <c r="W203" s="220">
        <f t="shared" si="241"/>
        <v>53</v>
      </c>
      <c r="X203" s="220">
        <f t="shared" si="241"/>
        <v>22</v>
      </c>
      <c r="Y203" s="220">
        <f t="shared" si="241"/>
        <v>344</v>
      </c>
      <c r="Z203" s="220">
        <v>0</v>
      </c>
      <c r="AA203" s="220">
        <v>6</v>
      </c>
      <c r="AB203" s="220">
        <v>8</v>
      </c>
      <c r="AC203" s="220">
        <v>7</v>
      </c>
      <c r="AD203" s="220">
        <v>0</v>
      </c>
      <c r="AE203" s="220">
        <f t="shared" si="242"/>
        <v>-246</v>
      </c>
      <c r="AF203" s="220">
        <f t="shared" si="231"/>
        <v>-724</v>
      </c>
      <c r="AG203" s="220">
        <f t="shared" si="232"/>
        <v>-891</v>
      </c>
      <c r="AH203" s="220">
        <f t="shared" si="233"/>
        <v>-823</v>
      </c>
      <c r="AI203" s="220">
        <f t="shared" si="234"/>
        <v>-218</v>
      </c>
      <c r="AJ203" s="50">
        <f t="shared" si="235"/>
        <v>0.77600000000000535</v>
      </c>
      <c r="AK203" s="257"/>
      <c r="AL203" s="257">
        <f t="shared" si="183"/>
        <v>1.2</v>
      </c>
      <c r="AM203" s="52"/>
      <c r="AN203" s="88"/>
    </row>
    <row r="204" spans="1:40" s="29" customFormat="1" ht="17.25" customHeight="1">
      <c r="A204" s="48">
        <v>194</v>
      </c>
      <c r="B204" s="49">
        <f t="shared" si="175"/>
        <v>45778</v>
      </c>
      <c r="C204" s="220">
        <f t="shared" si="176"/>
        <v>1069</v>
      </c>
      <c r="D204" s="220">
        <f t="shared" si="238"/>
        <v>2252</v>
      </c>
      <c r="E204" s="220">
        <f t="shared" si="178"/>
        <v>3321</v>
      </c>
      <c r="F204" s="220">
        <f t="shared" ref="F204:F216" si="245">E204-K204</f>
        <v>918</v>
      </c>
      <c r="G204" s="220">
        <f t="shared" ref="G204:G216" si="246">E204-L204</f>
        <v>1271</v>
      </c>
      <c r="H204" s="220">
        <f t="shared" ref="H204:H216" si="247">E204-M204</f>
        <v>1275</v>
      </c>
      <c r="I204" s="220">
        <f t="shared" ref="I204:I216" si="248">E204-N204</f>
        <v>1306</v>
      </c>
      <c r="J204" s="220">
        <f t="shared" ref="J204:J216" si="249">E204-O204</f>
        <v>977</v>
      </c>
      <c r="K204" s="220">
        <f t="shared" si="210"/>
        <v>2403</v>
      </c>
      <c r="L204" s="220">
        <f t="shared" si="210"/>
        <v>2050</v>
      </c>
      <c r="M204" s="220">
        <f t="shared" si="210"/>
        <v>2046</v>
      </c>
      <c r="N204" s="220">
        <f t="shared" si="210"/>
        <v>2015</v>
      </c>
      <c r="O204" s="220">
        <f t="shared" si="210"/>
        <v>2344</v>
      </c>
      <c r="P204" s="220">
        <f t="shared" si="240"/>
        <v>2000</v>
      </c>
      <c r="Q204" s="220">
        <f t="shared" si="240"/>
        <v>2000</v>
      </c>
      <c r="R204" s="220">
        <f t="shared" si="240"/>
        <v>2000</v>
      </c>
      <c r="S204" s="220">
        <f t="shared" si="240"/>
        <v>2000</v>
      </c>
      <c r="T204" s="220">
        <f t="shared" si="240"/>
        <v>2000</v>
      </c>
      <c r="U204" s="220">
        <f t="shared" si="241"/>
        <v>403</v>
      </c>
      <c r="V204" s="220">
        <f t="shared" si="241"/>
        <v>50</v>
      </c>
      <c r="W204" s="220">
        <f t="shared" si="241"/>
        <v>46</v>
      </c>
      <c r="X204" s="220">
        <f t="shared" si="241"/>
        <v>15</v>
      </c>
      <c r="Y204" s="220">
        <f t="shared" si="241"/>
        <v>344</v>
      </c>
      <c r="Z204" s="220">
        <v>0</v>
      </c>
      <c r="AA204" s="220">
        <v>7</v>
      </c>
      <c r="AB204" s="220">
        <v>7</v>
      </c>
      <c r="AC204" s="220">
        <v>7</v>
      </c>
      <c r="AD204" s="220">
        <v>0</v>
      </c>
      <c r="AE204" s="220">
        <f t="shared" si="242"/>
        <v>-246</v>
      </c>
      <c r="AF204" s="220">
        <f t="shared" si="231"/>
        <v>-731</v>
      </c>
      <c r="AG204" s="220">
        <f t="shared" si="232"/>
        <v>-898</v>
      </c>
      <c r="AH204" s="220">
        <f t="shared" si="233"/>
        <v>-830</v>
      </c>
      <c r="AI204" s="220">
        <f t="shared" si="234"/>
        <v>-218</v>
      </c>
      <c r="AJ204" s="50">
        <f t="shared" si="235"/>
        <v>0.76900000000000535</v>
      </c>
      <c r="AK204" s="257"/>
      <c r="AL204" s="257">
        <f t="shared" si="183"/>
        <v>1.2</v>
      </c>
      <c r="AM204" s="52"/>
      <c r="AN204" s="88"/>
    </row>
    <row r="205" spans="1:40" s="29" customFormat="1" ht="17.25" customHeight="1">
      <c r="A205" s="48">
        <v>195</v>
      </c>
      <c r="B205" s="49">
        <f t="shared" ref="B205:B234" si="250">B204+1</f>
        <v>45779</v>
      </c>
      <c r="C205" s="220">
        <f t="shared" ref="C205:C234" si="251">+C204</f>
        <v>1069</v>
      </c>
      <c r="D205" s="220">
        <f t="shared" si="239"/>
        <v>2226</v>
      </c>
      <c r="E205" s="220">
        <f t="shared" ref="E205:E216" si="252">+C205+D205</f>
        <v>3295</v>
      </c>
      <c r="F205" s="220">
        <f t="shared" si="245"/>
        <v>893</v>
      </c>
      <c r="G205" s="220">
        <f t="shared" si="246"/>
        <v>1252</v>
      </c>
      <c r="H205" s="220">
        <f t="shared" si="247"/>
        <v>1255</v>
      </c>
      <c r="I205" s="220">
        <f t="shared" si="248"/>
        <v>1286</v>
      </c>
      <c r="J205" s="220">
        <f t="shared" si="249"/>
        <v>951</v>
      </c>
      <c r="K205" s="220">
        <f t="shared" si="210"/>
        <v>2402</v>
      </c>
      <c r="L205" s="220">
        <f t="shared" si="210"/>
        <v>2043</v>
      </c>
      <c r="M205" s="220">
        <f t="shared" si="210"/>
        <v>2040</v>
      </c>
      <c r="N205" s="220">
        <f t="shared" si="210"/>
        <v>2009</v>
      </c>
      <c r="O205" s="220">
        <f t="shared" si="210"/>
        <v>2344</v>
      </c>
      <c r="P205" s="220">
        <f t="shared" ref="P205:T216" si="253">+P204</f>
        <v>2000</v>
      </c>
      <c r="Q205" s="220">
        <f t="shared" si="253"/>
        <v>2000</v>
      </c>
      <c r="R205" s="220">
        <f t="shared" si="253"/>
        <v>2000</v>
      </c>
      <c r="S205" s="220">
        <f t="shared" si="253"/>
        <v>2000</v>
      </c>
      <c r="T205" s="220">
        <f t="shared" si="253"/>
        <v>2000</v>
      </c>
      <c r="U205" s="220">
        <f t="shared" ref="U205:Y216" si="254">U204-Z205</f>
        <v>402</v>
      </c>
      <c r="V205" s="220">
        <f t="shared" si="254"/>
        <v>43</v>
      </c>
      <c r="W205" s="220">
        <f t="shared" si="254"/>
        <v>40</v>
      </c>
      <c r="X205" s="220">
        <f t="shared" si="254"/>
        <v>9</v>
      </c>
      <c r="Y205" s="220">
        <f t="shared" si="254"/>
        <v>344</v>
      </c>
      <c r="Z205" s="220">
        <v>1</v>
      </c>
      <c r="AA205" s="220">
        <v>7</v>
      </c>
      <c r="AB205" s="220">
        <v>6</v>
      </c>
      <c r="AC205" s="220">
        <v>6</v>
      </c>
      <c r="AD205" s="220">
        <v>0</v>
      </c>
      <c r="AE205" s="220">
        <f t="shared" ref="AE205:AE216" si="255">AE204-Z205</f>
        <v>-247</v>
      </c>
      <c r="AF205" s="220">
        <f t="shared" si="231"/>
        <v>-738</v>
      </c>
      <c r="AG205" s="220">
        <f t="shared" si="232"/>
        <v>-904</v>
      </c>
      <c r="AH205" s="220">
        <f t="shared" si="233"/>
        <v>-836</v>
      </c>
      <c r="AI205" s="220">
        <f t="shared" si="234"/>
        <v>-218</v>
      </c>
      <c r="AJ205" s="50">
        <f t="shared" si="235"/>
        <v>0.76300000000000534</v>
      </c>
      <c r="AK205" s="257"/>
      <c r="AL205" s="257">
        <f t="shared" ref="AL205:AL216" si="256">AL204+AK205</f>
        <v>1.2</v>
      </c>
      <c r="AM205" s="52"/>
      <c r="AN205" s="88"/>
    </row>
    <row r="206" spans="1:40" s="29" customFormat="1" ht="17.25" customHeight="1">
      <c r="A206" s="48">
        <v>196</v>
      </c>
      <c r="B206" s="49">
        <f t="shared" si="250"/>
        <v>45780</v>
      </c>
      <c r="C206" s="220">
        <f t="shared" si="251"/>
        <v>1069</v>
      </c>
      <c r="D206" s="220">
        <f t="shared" si="243"/>
        <v>2241</v>
      </c>
      <c r="E206" s="220">
        <f t="shared" si="252"/>
        <v>3310</v>
      </c>
      <c r="F206" s="220">
        <f t="shared" si="245"/>
        <v>908</v>
      </c>
      <c r="G206" s="220">
        <f t="shared" si="246"/>
        <v>1275</v>
      </c>
      <c r="H206" s="220">
        <f t="shared" si="247"/>
        <v>1277</v>
      </c>
      <c r="I206" s="220">
        <f t="shared" si="248"/>
        <v>1308</v>
      </c>
      <c r="J206" s="220">
        <f t="shared" si="249"/>
        <v>966</v>
      </c>
      <c r="K206" s="220">
        <f t="shared" si="210"/>
        <v>2402</v>
      </c>
      <c r="L206" s="220">
        <f t="shared" si="210"/>
        <v>2035</v>
      </c>
      <c r="M206" s="220">
        <f t="shared" si="210"/>
        <v>2033</v>
      </c>
      <c r="N206" s="220">
        <f t="shared" si="210"/>
        <v>2002</v>
      </c>
      <c r="O206" s="220">
        <f t="shared" si="210"/>
        <v>2344</v>
      </c>
      <c r="P206" s="220">
        <f t="shared" si="253"/>
        <v>2000</v>
      </c>
      <c r="Q206" s="220">
        <f t="shared" si="253"/>
        <v>2000</v>
      </c>
      <c r="R206" s="220">
        <f t="shared" si="253"/>
        <v>2000</v>
      </c>
      <c r="S206" s="220">
        <f t="shared" si="253"/>
        <v>2000</v>
      </c>
      <c r="T206" s="220">
        <f t="shared" si="253"/>
        <v>2000</v>
      </c>
      <c r="U206" s="220">
        <f t="shared" si="254"/>
        <v>402</v>
      </c>
      <c r="V206" s="220">
        <f t="shared" si="254"/>
        <v>35</v>
      </c>
      <c r="W206" s="220">
        <f t="shared" si="254"/>
        <v>33</v>
      </c>
      <c r="X206" s="220">
        <f t="shared" si="254"/>
        <v>2</v>
      </c>
      <c r="Y206" s="220">
        <f t="shared" si="254"/>
        <v>344</v>
      </c>
      <c r="Z206" s="220">
        <v>0</v>
      </c>
      <c r="AA206" s="220">
        <v>8</v>
      </c>
      <c r="AB206" s="220">
        <v>7</v>
      </c>
      <c r="AC206" s="220">
        <v>7</v>
      </c>
      <c r="AD206" s="220">
        <v>0</v>
      </c>
      <c r="AE206" s="220">
        <f t="shared" si="255"/>
        <v>-247</v>
      </c>
      <c r="AF206" s="220">
        <f t="shared" si="231"/>
        <v>-746</v>
      </c>
      <c r="AG206" s="220">
        <f t="shared" si="232"/>
        <v>-911</v>
      </c>
      <c r="AH206" s="220">
        <f t="shared" si="233"/>
        <v>-843</v>
      </c>
      <c r="AI206" s="220">
        <f t="shared" si="234"/>
        <v>-218</v>
      </c>
      <c r="AJ206" s="50">
        <f t="shared" si="235"/>
        <v>0.75600000000000533</v>
      </c>
      <c r="AK206" s="257"/>
      <c r="AL206" s="257">
        <f t="shared" si="256"/>
        <v>1.2</v>
      </c>
      <c r="AM206" s="52"/>
      <c r="AN206" s="88"/>
    </row>
    <row r="207" spans="1:40" s="29" customFormat="1" ht="17.25" customHeight="1">
      <c r="A207" s="48">
        <v>197</v>
      </c>
      <c r="B207" s="49">
        <f t="shared" si="250"/>
        <v>45781</v>
      </c>
      <c r="C207" s="220">
        <f t="shared" si="251"/>
        <v>1069</v>
      </c>
      <c r="D207" s="220">
        <f t="shared" si="244"/>
        <v>2267</v>
      </c>
      <c r="E207" s="220">
        <f t="shared" si="252"/>
        <v>3336</v>
      </c>
      <c r="F207" s="220">
        <f t="shared" si="245"/>
        <v>935</v>
      </c>
      <c r="G207" s="220">
        <f t="shared" si="246"/>
        <v>1307</v>
      </c>
      <c r="H207" s="220">
        <f t="shared" si="247"/>
        <v>1310</v>
      </c>
      <c r="I207" s="220">
        <f t="shared" si="248"/>
        <v>1341</v>
      </c>
      <c r="J207" s="220">
        <f t="shared" si="249"/>
        <v>993</v>
      </c>
      <c r="K207" s="220">
        <f t="shared" si="210"/>
        <v>2401</v>
      </c>
      <c r="L207" s="220">
        <f t="shared" si="210"/>
        <v>2029</v>
      </c>
      <c r="M207" s="220">
        <f t="shared" si="210"/>
        <v>2026</v>
      </c>
      <c r="N207" s="220">
        <f t="shared" si="210"/>
        <v>1995</v>
      </c>
      <c r="O207" s="220">
        <f t="shared" si="210"/>
        <v>2343</v>
      </c>
      <c r="P207" s="220">
        <f t="shared" si="253"/>
        <v>2000</v>
      </c>
      <c r="Q207" s="220">
        <f t="shared" si="253"/>
        <v>2000</v>
      </c>
      <c r="R207" s="220">
        <f t="shared" si="253"/>
        <v>2000</v>
      </c>
      <c r="S207" s="220">
        <f t="shared" si="253"/>
        <v>2000</v>
      </c>
      <c r="T207" s="220">
        <f t="shared" si="253"/>
        <v>2000</v>
      </c>
      <c r="U207" s="220">
        <f t="shared" si="254"/>
        <v>401</v>
      </c>
      <c r="V207" s="220">
        <f t="shared" si="254"/>
        <v>29</v>
      </c>
      <c r="W207" s="220">
        <f t="shared" si="254"/>
        <v>26</v>
      </c>
      <c r="X207" s="220">
        <f t="shared" si="254"/>
        <v>-5</v>
      </c>
      <c r="Y207" s="220">
        <f t="shared" si="254"/>
        <v>343</v>
      </c>
      <c r="Z207" s="220">
        <v>1</v>
      </c>
      <c r="AA207" s="220">
        <v>6</v>
      </c>
      <c r="AB207" s="220">
        <v>7</v>
      </c>
      <c r="AC207" s="220">
        <v>7</v>
      </c>
      <c r="AD207" s="220">
        <v>1</v>
      </c>
      <c r="AE207" s="220">
        <f t="shared" si="255"/>
        <v>-248</v>
      </c>
      <c r="AF207" s="220">
        <f t="shared" si="231"/>
        <v>-752</v>
      </c>
      <c r="AG207" s="220">
        <f t="shared" si="232"/>
        <v>-918</v>
      </c>
      <c r="AH207" s="220">
        <f t="shared" si="233"/>
        <v>-850</v>
      </c>
      <c r="AI207" s="220">
        <f t="shared" si="234"/>
        <v>-219</v>
      </c>
      <c r="AJ207" s="50">
        <f t="shared" si="235"/>
        <v>0.74900000000000533</v>
      </c>
      <c r="AK207" s="257"/>
      <c r="AL207" s="257">
        <f t="shared" si="256"/>
        <v>1.2</v>
      </c>
      <c r="AM207" s="52"/>
      <c r="AN207" s="88"/>
    </row>
    <row r="208" spans="1:40" s="29" customFormat="1" ht="17.25" customHeight="1">
      <c r="A208" s="48">
        <v>198</v>
      </c>
      <c r="B208" s="49">
        <f t="shared" si="250"/>
        <v>45782</v>
      </c>
      <c r="C208" s="220">
        <f t="shared" si="251"/>
        <v>1069</v>
      </c>
      <c r="D208" s="220">
        <f t="shared" si="224"/>
        <v>2241</v>
      </c>
      <c r="E208" s="220">
        <f t="shared" si="252"/>
        <v>3310</v>
      </c>
      <c r="F208" s="220">
        <f t="shared" si="245"/>
        <v>909</v>
      </c>
      <c r="G208" s="220">
        <f t="shared" si="246"/>
        <v>1289</v>
      </c>
      <c r="H208" s="220">
        <f t="shared" si="247"/>
        <v>1292</v>
      </c>
      <c r="I208" s="220">
        <f t="shared" si="248"/>
        <v>1321</v>
      </c>
      <c r="J208" s="220">
        <f t="shared" si="249"/>
        <v>967</v>
      </c>
      <c r="K208" s="220">
        <f t="shared" si="210"/>
        <v>2401</v>
      </c>
      <c r="L208" s="220">
        <f t="shared" si="210"/>
        <v>2021</v>
      </c>
      <c r="M208" s="220">
        <f t="shared" si="210"/>
        <v>2018</v>
      </c>
      <c r="N208" s="220">
        <f t="shared" si="210"/>
        <v>1989</v>
      </c>
      <c r="O208" s="220">
        <f t="shared" si="210"/>
        <v>2343</v>
      </c>
      <c r="P208" s="220">
        <f t="shared" si="253"/>
        <v>2000</v>
      </c>
      <c r="Q208" s="220">
        <f t="shared" si="253"/>
        <v>2000</v>
      </c>
      <c r="R208" s="220">
        <f t="shared" si="253"/>
        <v>2000</v>
      </c>
      <c r="S208" s="220">
        <f t="shared" si="253"/>
        <v>2000</v>
      </c>
      <c r="T208" s="220">
        <f t="shared" si="253"/>
        <v>2000</v>
      </c>
      <c r="U208" s="220">
        <f t="shared" si="254"/>
        <v>401</v>
      </c>
      <c r="V208" s="220">
        <f t="shared" si="254"/>
        <v>21</v>
      </c>
      <c r="W208" s="220">
        <f t="shared" si="254"/>
        <v>18</v>
      </c>
      <c r="X208" s="220">
        <f t="shared" si="254"/>
        <v>-11</v>
      </c>
      <c r="Y208" s="220">
        <f t="shared" si="254"/>
        <v>343</v>
      </c>
      <c r="Z208" s="220">
        <v>0</v>
      </c>
      <c r="AA208" s="220">
        <v>8</v>
      </c>
      <c r="AB208" s="220">
        <v>8</v>
      </c>
      <c r="AC208" s="220">
        <v>6</v>
      </c>
      <c r="AD208" s="220">
        <v>0</v>
      </c>
      <c r="AE208" s="220">
        <f t="shared" si="255"/>
        <v>-248</v>
      </c>
      <c r="AF208" s="220">
        <f t="shared" si="231"/>
        <v>-760</v>
      </c>
      <c r="AG208" s="220">
        <f t="shared" si="232"/>
        <v>-926</v>
      </c>
      <c r="AH208" s="220">
        <f t="shared" si="233"/>
        <v>-856</v>
      </c>
      <c r="AI208" s="220">
        <f t="shared" si="234"/>
        <v>-219</v>
      </c>
      <c r="AJ208" s="50">
        <f t="shared" si="235"/>
        <v>0.74100000000000532</v>
      </c>
      <c r="AK208" s="257"/>
      <c r="AL208" s="257">
        <f t="shared" si="256"/>
        <v>1.2</v>
      </c>
      <c r="AM208" s="52"/>
      <c r="AN208" s="88"/>
    </row>
    <row r="209" spans="1:41" s="29" customFormat="1" ht="17.25" customHeight="1">
      <c r="A209" s="48">
        <v>199</v>
      </c>
      <c r="B209" s="49">
        <f t="shared" si="250"/>
        <v>45783</v>
      </c>
      <c r="C209" s="220">
        <f t="shared" si="251"/>
        <v>1069</v>
      </c>
      <c r="D209" s="220">
        <f t="shared" si="225"/>
        <v>2256</v>
      </c>
      <c r="E209" s="220">
        <f t="shared" si="252"/>
        <v>3325</v>
      </c>
      <c r="F209" s="220">
        <f t="shared" si="245"/>
        <v>925</v>
      </c>
      <c r="G209" s="220">
        <f t="shared" si="246"/>
        <v>1311</v>
      </c>
      <c r="H209" s="220">
        <f t="shared" si="247"/>
        <v>1315</v>
      </c>
      <c r="I209" s="220">
        <f t="shared" si="248"/>
        <v>1342</v>
      </c>
      <c r="J209" s="220">
        <f t="shared" si="249"/>
        <v>982</v>
      </c>
      <c r="K209" s="220">
        <f t="shared" si="210"/>
        <v>2400</v>
      </c>
      <c r="L209" s="220">
        <f t="shared" si="210"/>
        <v>2014</v>
      </c>
      <c r="M209" s="220">
        <f t="shared" si="210"/>
        <v>2010</v>
      </c>
      <c r="N209" s="220">
        <f t="shared" si="210"/>
        <v>1983</v>
      </c>
      <c r="O209" s="220">
        <f t="shared" si="210"/>
        <v>2343</v>
      </c>
      <c r="P209" s="220">
        <f t="shared" si="253"/>
        <v>2000</v>
      </c>
      <c r="Q209" s="220">
        <f t="shared" si="253"/>
        <v>2000</v>
      </c>
      <c r="R209" s="220">
        <f t="shared" si="253"/>
        <v>2000</v>
      </c>
      <c r="S209" s="220">
        <f t="shared" si="253"/>
        <v>2000</v>
      </c>
      <c r="T209" s="220">
        <f t="shared" si="253"/>
        <v>2000</v>
      </c>
      <c r="U209" s="220">
        <f t="shared" si="254"/>
        <v>400</v>
      </c>
      <c r="V209" s="220">
        <f t="shared" si="254"/>
        <v>14</v>
      </c>
      <c r="W209" s="220">
        <f t="shared" si="254"/>
        <v>10</v>
      </c>
      <c r="X209" s="220">
        <f t="shared" si="254"/>
        <v>-17</v>
      </c>
      <c r="Y209" s="220">
        <f t="shared" si="254"/>
        <v>343</v>
      </c>
      <c r="Z209" s="220">
        <v>1</v>
      </c>
      <c r="AA209" s="220">
        <v>7</v>
      </c>
      <c r="AB209" s="220">
        <v>8</v>
      </c>
      <c r="AC209" s="220">
        <v>6</v>
      </c>
      <c r="AD209" s="220">
        <v>0</v>
      </c>
      <c r="AE209" s="220">
        <f t="shared" si="255"/>
        <v>-249</v>
      </c>
      <c r="AF209" s="220">
        <f t="shared" si="231"/>
        <v>-767</v>
      </c>
      <c r="AG209" s="220">
        <f t="shared" si="232"/>
        <v>-934</v>
      </c>
      <c r="AH209" s="220">
        <f t="shared" si="233"/>
        <v>-862</v>
      </c>
      <c r="AI209" s="220">
        <f t="shared" si="234"/>
        <v>-219</v>
      </c>
      <c r="AJ209" s="50">
        <f t="shared" si="235"/>
        <v>0.73300000000000531</v>
      </c>
      <c r="AK209" s="257"/>
      <c r="AL209" s="257">
        <f t="shared" si="256"/>
        <v>1.2</v>
      </c>
      <c r="AM209" s="52"/>
      <c r="AN209" s="88"/>
    </row>
    <row r="210" spans="1:41" s="29" customFormat="1" ht="17.25" customHeight="1">
      <c r="A210" s="48">
        <v>200</v>
      </c>
      <c r="B210" s="49">
        <f t="shared" si="250"/>
        <v>45784</v>
      </c>
      <c r="C210" s="220">
        <f t="shared" si="251"/>
        <v>1069</v>
      </c>
      <c r="D210" s="220">
        <f t="shared" si="236"/>
        <v>2282</v>
      </c>
      <c r="E210" s="220">
        <f t="shared" si="252"/>
        <v>3351</v>
      </c>
      <c r="F210" s="220">
        <f t="shared" si="245"/>
        <v>952</v>
      </c>
      <c r="G210" s="220">
        <f t="shared" si="246"/>
        <v>1342</v>
      </c>
      <c r="H210" s="220">
        <f t="shared" si="247"/>
        <v>1349</v>
      </c>
      <c r="I210" s="220">
        <f t="shared" si="248"/>
        <v>1376</v>
      </c>
      <c r="J210" s="220">
        <f t="shared" si="249"/>
        <v>1009</v>
      </c>
      <c r="K210" s="220">
        <f t="shared" si="210"/>
        <v>2399</v>
      </c>
      <c r="L210" s="220">
        <f t="shared" si="210"/>
        <v>2009</v>
      </c>
      <c r="M210" s="220">
        <f t="shared" si="210"/>
        <v>2002</v>
      </c>
      <c r="N210" s="220">
        <f t="shared" si="210"/>
        <v>1975</v>
      </c>
      <c r="O210" s="220">
        <f t="shared" si="210"/>
        <v>2342</v>
      </c>
      <c r="P210" s="220">
        <f t="shared" si="253"/>
        <v>2000</v>
      </c>
      <c r="Q210" s="220">
        <f t="shared" si="253"/>
        <v>2000</v>
      </c>
      <c r="R210" s="220">
        <f t="shared" si="253"/>
        <v>2000</v>
      </c>
      <c r="S210" s="220">
        <f t="shared" si="253"/>
        <v>2000</v>
      </c>
      <c r="T210" s="220">
        <f t="shared" si="253"/>
        <v>2000</v>
      </c>
      <c r="U210" s="220">
        <f t="shared" si="254"/>
        <v>399</v>
      </c>
      <c r="V210" s="220">
        <f t="shared" si="254"/>
        <v>9</v>
      </c>
      <c r="W210" s="220">
        <f t="shared" si="254"/>
        <v>2</v>
      </c>
      <c r="X210" s="220">
        <f t="shared" si="254"/>
        <v>-25</v>
      </c>
      <c r="Y210" s="220">
        <f t="shared" si="254"/>
        <v>342</v>
      </c>
      <c r="Z210" s="220">
        <v>1</v>
      </c>
      <c r="AA210" s="220">
        <v>5</v>
      </c>
      <c r="AB210" s="220">
        <v>8</v>
      </c>
      <c r="AC210" s="220">
        <v>8</v>
      </c>
      <c r="AD210" s="220">
        <v>1</v>
      </c>
      <c r="AE210" s="220">
        <f t="shared" si="255"/>
        <v>-250</v>
      </c>
      <c r="AF210" s="220">
        <f t="shared" si="231"/>
        <v>-772</v>
      </c>
      <c r="AG210" s="220">
        <f t="shared" si="232"/>
        <v>-942</v>
      </c>
      <c r="AH210" s="220">
        <f t="shared" si="233"/>
        <v>-870</v>
      </c>
      <c r="AI210" s="220">
        <f t="shared" si="234"/>
        <v>-220</v>
      </c>
      <c r="AJ210" s="50">
        <f t="shared" si="235"/>
        <v>0.72500000000000531</v>
      </c>
      <c r="AK210" s="257"/>
      <c r="AL210" s="257">
        <f t="shared" si="256"/>
        <v>1.2</v>
      </c>
      <c r="AM210" s="52"/>
      <c r="AN210" s="88"/>
    </row>
    <row r="211" spans="1:41" s="29" customFormat="1" ht="17.25" customHeight="1">
      <c r="A211" s="48">
        <v>201</v>
      </c>
      <c r="B211" s="49">
        <f t="shared" si="250"/>
        <v>45785</v>
      </c>
      <c r="C211" s="220">
        <f t="shared" si="251"/>
        <v>1069</v>
      </c>
      <c r="D211" s="220">
        <f t="shared" si="237"/>
        <v>2314</v>
      </c>
      <c r="E211" s="220">
        <f t="shared" si="252"/>
        <v>3383</v>
      </c>
      <c r="F211" s="220">
        <f t="shared" si="245"/>
        <v>984</v>
      </c>
      <c r="G211" s="220">
        <f t="shared" si="246"/>
        <v>1381</v>
      </c>
      <c r="H211" s="220">
        <f t="shared" si="247"/>
        <v>1388</v>
      </c>
      <c r="I211" s="220">
        <f t="shared" si="248"/>
        <v>1415</v>
      </c>
      <c r="J211" s="220">
        <f t="shared" si="249"/>
        <v>1041</v>
      </c>
      <c r="K211" s="220">
        <f t="shared" si="210"/>
        <v>2399</v>
      </c>
      <c r="L211" s="220">
        <f t="shared" si="210"/>
        <v>2002</v>
      </c>
      <c r="M211" s="220">
        <f t="shared" si="210"/>
        <v>1995</v>
      </c>
      <c r="N211" s="220">
        <f t="shared" si="210"/>
        <v>1968</v>
      </c>
      <c r="O211" s="220">
        <f t="shared" si="210"/>
        <v>2342</v>
      </c>
      <c r="P211" s="220">
        <f t="shared" si="253"/>
        <v>2000</v>
      </c>
      <c r="Q211" s="220">
        <f t="shared" si="253"/>
        <v>2000</v>
      </c>
      <c r="R211" s="220">
        <f t="shared" si="253"/>
        <v>2000</v>
      </c>
      <c r="S211" s="220">
        <f t="shared" si="253"/>
        <v>2000</v>
      </c>
      <c r="T211" s="220">
        <f t="shared" si="253"/>
        <v>2000</v>
      </c>
      <c r="U211" s="220">
        <f t="shared" si="254"/>
        <v>399</v>
      </c>
      <c r="V211" s="220">
        <f t="shared" si="254"/>
        <v>2</v>
      </c>
      <c r="W211" s="220">
        <f t="shared" si="254"/>
        <v>-5</v>
      </c>
      <c r="X211" s="220">
        <f t="shared" si="254"/>
        <v>-32</v>
      </c>
      <c r="Y211" s="220">
        <f t="shared" si="254"/>
        <v>342</v>
      </c>
      <c r="Z211" s="220">
        <v>0</v>
      </c>
      <c r="AA211" s="220">
        <v>7</v>
      </c>
      <c r="AB211" s="220">
        <v>7</v>
      </c>
      <c r="AC211" s="220">
        <v>7</v>
      </c>
      <c r="AD211" s="220">
        <v>0</v>
      </c>
      <c r="AE211" s="220">
        <f t="shared" si="255"/>
        <v>-250</v>
      </c>
      <c r="AF211" s="220">
        <f t="shared" si="231"/>
        <v>-779</v>
      </c>
      <c r="AG211" s="220">
        <f t="shared" si="232"/>
        <v>-949</v>
      </c>
      <c r="AH211" s="220">
        <f t="shared" si="233"/>
        <v>-877</v>
      </c>
      <c r="AI211" s="220">
        <f t="shared" si="234"/>
        <v>-220</v>
      </c>
      <c r="AJ211" s="50">
        <f t="shared" si="235"/>
        <v>0.7180000000000053</v>
      </c>
      <c r="AK211" s="257"/>
      <c r="AL211" s="257">
        <f t="shared" si="256"/>
        <v>1.2</v>
      </c>
      <c r="AM211" s="52"/>
      <c r="AN211" s="88"/>
    </row>
    <row r="212" spans="1:41" s="68" customFormat="1" ht="17.25" customHeight="1">
      <c r="A212" s="105">
        <v>202</v>
      </c>
      <c r="B212" s="49">
        <f t="shared" si="250"/>
        <v>45786</v>
      </c>
      <c r="C212" s="192">
        <f t="shared" si="251"/>
        <v>1069</v>
      </c>
      <c r="D212" s="192">
        <f t="shared" si="238"/>
        <v>2296</v>
      </c>
      <c r="E212" s="192">
        <f t="shared" si="252"/>
        <v>3365</v>
      </c>
      <c r="F212" s="192">
        <f t="shared" si="245"/>
        <v>974</v>
      </c>
      <c r="G212" s="192">
        <f t="shared" si="246"/>
        <v>1368</v>
      </c>
      <c r="H212" s="192">
        <f t="shared" si="247"/>
        <v>1378</v>
      </c>
      <c r="I212" s="192">
        <f t="shared" si="248"/>
        <v>1404</v>
      </c>
      <c r="J212" s="192">
        <f t="shared" si="249"/>
        <v>1031</v>
      </c>
      <c r="K212" s="192">
        <f t="shared" si="210"/>
        <v>2391</v>
      </c>
      <c r="L212" s="192">
        <f t="shared" si="210"/>
        <v>1997</v>
      </c>
      <c r="M212" s="192">
        <f t="shared" si="210"/>
        <v>1987</v>
      </c>
      <c r="N212" s="192">
        <f t="shared" si="210"/>
        <v>1961</v>
      </c>
      <c r="O212" s="192">
        <f t="shared" si="210"/>
        <v>2334</v>
      </c>
      <c r="P212" s="192">
        <f t="shared" si="253"/>
        <v>2000</v>
      </c>
      <c r="Q212" s="192">
        <f t="shared" si="253"/>
        <v>2000</v>
      </c>
      <c r="R212" s="192">
        <f t="shared" si="253"/>
        <v>2000</v>
      </c>
      <c r="S212" s="192">
        <f t="shared" si="253"/>
        <v>2000</v>
      </c>
      <c r="T212" s="192">
        <f t="shared" si="253"/>
        <v>2000</v>
      </c>
      <c r="U212" s="192">
        <f t="shared" si="254"/>
        <v>391</v>
      </c>
      <c r="V212" s="192">
        <f t="shared" si="254"/>
        <v>-3</v>
      </c>
      <c r="W212" s="192">
        <f t="shared" si="254"/>
        <v>-13</v>
      </c>
      <c r="X212" s="192">
        <f t="shared" si="254"/>
        <v>-39</v>
      </c>
      <c r="Y212" s="192">
        <f t="shared" si="254"/>
        <v>334</v>
      </c>
      <c r="Z212" s="192">
        <v>8</v>
      </c>
      <c r="AA212" s="220">
        <v>5</v>
      </c>
      <c r="AB212" s="192">
        <v>8</v>
      </c>
      <c r="AC212" s="192">
        <v>7</v>
      </c>
      <c r="AD212" s="192">
        <v>8</v>
      </c>
      <c r="AE212" s="192">
        <f t="shared" si="255"/>
        <v>-258</v>
      </c>
      <c r="AF212" s="220">
        <f t="shared" si="231"/>
        <v>-784</v>
      </c>
      <c r="AG212" s="220">
        <f t="shared" si="232"/>
        <v>-957</v>
      </c>
      <c r="AH212" s="220">
        <f t="shared" si="233"/>
        <v>-884</v>
      </c>
      <c r="AI212" s="220">
        <f t="shared" si="234"/>
        <v>-228</v>
      </c>
      <c r="AJ212" s="50">
        <f t="shared" si="235"/>
        <v>0.71000000000000529</v>
      </c>
      <c r="AK212" s="203"/>
      <c r="AL212" s="203">
        <f t="shared" si="256"/>
        <v>1.2</v>
      </c>
      <c r="AM212" s="262"/>
      <c r="AN212" s="263"/>
      <c r="AO212" s="68" t="s">
        <v>152</v>
      </c>
    </row>
    <row r="213" spans="1:41" s="29" customFormat="1" ht="17.25" customHeight="1">
      <c r="A213" s="48">
        <v>203</v>
      </c>
      <c r="B213" s="49">
        <f t="shared" si="250"/>
        <v>45787</v>
      </c>
      <c r="C213" s="220">
        <f t="shared" si="251"/>
        <v>1069</v>
      </c>
      <c r="D213" s="220">
        <f t="shared" si="239"/>
        <v>2270</v>
      </c>
      <c r="E213" s="220">
        <f t="shared" si="252"/>
        <v>3339</v>
      </c>
      <c r="F213" s="220">
        <f t="shared" si="245"/>
        <v>956</v>
      </c>
      <c r="G213" s="220">
        <f t="shared" si="246"/>
        <v>1349</v>
      </c>
      <c r="H213" s="220">
        <f t="shared" si="247"/>
        <v>1360</v>
      </c>
      <c r="I213" s="220">
        <f t="shared" si="248"/>
        <v>1386</v>
      </c>
      <c r="J213" s="220">
        <f t="shared" si="249"/>
        <v>1013</v>
      </c>
      <c r="K213" s="220">
        <f t="shared" si="210"/>
        <v>2383</v>
      </c>
      <c r="L213" s="220">
        <f t="shared" si="210"/>
        <v>1990</v>
      </c>
      <c r="M213" s="220">
        <f t="shared" si="210"/>
        <v>1979</v>
      </c>
      <c r="N213" s="220">
        <f t="shared" si="210"/>
        <v>1953</v>
      </c>
      <c r="O213" s="220">
        <f t="shared" si="210"/>
        <v>2326</v>
      </c>
      <c r="P213" s="220">
        <f t="shared" si="253"/>
        <v>2000</v>
      </c>
      <c r="Q213" s="220">
        <f t="shared" si="253"/>
        <v>2000</v>
      </c>
      <c r="R213" s="220">
        <f t="shared" si="253"/>
        <v>2000</v>
      </c>
      <c r="S213" s="220">
        <f t="shared" si="253"/>
        <v>2000</v>
      </c>
      <c r="T213" s="220">
        <f t="shared" si="253"/>
        <v>2000</v>
      </c>
      <c r="U213" s="220">
        <f t="shared" si="254"/>
        <v>383</v>
      </c>
      <c r="V213" s="220">
        <f t="shared" si="254"/>
        <v>-10</v>
      </c>
      <c r="W213" s="220">
        <f t="shared" si="254"/>
        <v>-21</v>
      </c>
      <c r="X213" s="220">
        <f t="shared" si="254"/>
        <v>-47</v>
      </c>
      <c r="Y213" s="220">
        <f t="shared" si="254"/>
        <v>326</v>
      </c>
      <c r="Z213" s="220">
        <v>8</v>
      </c>
      <c r="AA213" s="220">
        <v>7</v>
      </c>
      <c r="AB213" s="192">
        <v>8</v>
      </c>
      <c r="AC213" s="220">
        <v>8</v>
      </c>
      <c r="AD213" s="220">
        <v>8</v>
      </c>
      <c r="AE213" s="220">
        <f t="shared" si="255"/>
        <v>-266</v>
      </c>
      <c r="AF213" s="220">
        <f t="shared" si="231"/>
        <v>-791</v>
      </c>
      <c r="AG213" s="220">
        <f t="shared" si="232"/>
        <v>-965</v>
      </c>
      <c r="AH213" s="220">
        <f t="shared" si="233"/>
        <v>-892</v>
      </c>
      <c r="AI213" s="220">
        <f t="shared" si="234"/>
        <v>-236</v>
      </c>
      <c r="AJ213" s="50">
        <f t="shared" si="235"/>
        <v>0.70200000000000529</v>
      </c>
      <c r="AK213" s="257"/>
      <c r="AL213" s="257">
        <f t="shared" si="256"/>
        <v>1.2</v>
      </c>
      <c r="AM213" s="52"/>
      <c r="AN213" s="88"/>
    </row>
    <row r="214" spans="1:41" s="29" customFormat="1" ht="17.25" customHeight="1">
      <c r="A214" s="48">
        <v>204</v>
      </c>
      <c r="B214" s="49">
        <f t="shared" si="250"/>
        <v>45788</v>
      </c>
      <c r="C214" s="220">
        <f t="shared" si="251"/>
        <v>1069</v>
      </c>
      <c r="D214" s="220">
        <f t="shared" si="243"/>
        <v>2285</v>
      </c>
      <c r="E214" s="220">
        <f t="shared" si="252"/>
        <v>3354</v>
      </c>
      <c r="F214" s="220">
        <f t="shared" si="245"/>
        <v>979</v>
      </c>
      <c r="G214" s="220">
        <f t="shared" si="246"/>
        <v>1369</v>
      </c>
      <c r="H214" s="220">
        <f t="shared" si="247"/>
        <v>1382</v>
      </c>
      <c r="I214" s="220">
        <f t="shared" si="248"/>
        <v>1408</v>
      </c>
      <c r="J214" s="220">
        <f t="shared" si="249"/>
        <v>1036</v>
      </c>
      <c r="K214" s="220">
        <f t="shared" si="210"/>
        <v>2375</v>
      </c>
      <c r="L214" s="220">
        <f t="shared" si="210"/>
        <v>1985</v>
      </c>
      <c r="M214" s="220">
        <f t="shared" si="210"/>
        <v>1972</v>
      </c>
      <c r="N214" s="220">
        <f t="shared" si="210"/>
        <v>1946</v>
      </c>
      <c r="O214" s="220">
        <f t="shared" si="210"/>
        <v>2318</v>
      </c>
      <c r="P214" s="220">
        <f t="shared" si="253"/>
        <v>2000</v>
      </c>
      <c r="Q214" s="220">
        <f t="shared" si="253"/>
        <v>2000</v>
      </c>
      <c r="R214" s="220">
        <f t="shared" si="253"/>
        <v>2000</v>
      </c>
      <c r="S214" s="220">
        <f t="shared" si="253"/>
        <v>2000</v>
      </c>
      <c r="T214" s="220">
        <f t="shared" si="253"/>
        <v>2000</v>
      </c>
      <c r="U214" s="220">
        <f t="shared" si="254"/>
        <v>375</v>
      </c>
      <c r="V214" s="220">
        <f t="shared" si="254"/>
        <v>-15</v>
      </c>
      <c r="W214" s="220">
        <f t="shared" si="254"/>
        <v>-28</v>
      </c>
      <c r="X214" s="220">
        <f t="shared" si="254"/>
        <v>-54</v>
      </c>
      <c r="Y214" s="220">
        <f t="shared" si="254"/>
        <v>318</v>
      </c>
      <c r="Z214" s="220">
        <v>8</v>
      </c>
      <c r="AA214" s="220">
        <v>5</v>
      </c>
      <c r="AB214" s="220">
        <v>7</v>
      </c>
      <c r="AC214" s="220">
        <v>7</v>
      </c>
      <c r="AD214" s="220">
        <v>8</v>
      </c>
      <c r="AE214" s="220">
        <f t="shared" si="255"/>
        <v>-274</v>
      </c>
      <c r="AF214" s="220">
        <f t="shared" si="231"/>
        <v>-796</v>
      </c>
      <c r="AG214" s="220">
        <f t="shared" si="232"/>
        <v>-972</v>
      </c>
      <c r="AH214" s="220">
        <f t="shared" si="233"/>
        <v>-899</v>
      </c>
      <c r="AI214" s="220">
        <f t="shared" si="234"/>
        <v>-244</v>
      </c>
      <c r="AJ214" s="50">
        <f t="shared" si="235"/>
        <v>0.69500000000000528</v>
      </c>
      <c r="AK214" s="257"/>
      <c r="AL214" s="257">
        <f t="shared" si="256"/>
        <v>1.2</v>
      </c>
      <c r="AM214" s="52"/>
      <c r="AN214" s="88"/>
    </row>
    <row r="215" spans="1:41" s="29" customFormat="1" ht="17.25" customHeight="1">
      <c r="A215" s="48">
        <v>205</v>
      </c>
      <c r="B215" s="49">
        <f t="shared" si="250"/>
        <v>45789</v>
      </c>
      <c r="C215" s="220">
        <f t="shared" si="251"/>
        <v>1069</v>
      </c>
      <c r="D215" s="220">
        <f t="shared" si="244"/>
        <v>2311</v>
      </c>
      <c r="E215" s="220">
        <f t="shared" si="252"/>
        <v>3380</v>
      </c>
      <c r="F215" s="220">
        <f t="shared" si="245"/>
        <v>1012</v>
      </c>
      <c r="G215" s="220">
        <f t="shared" si="246"/>
        <v>1400</v>
      </c>
      <c r="H215" s="220">
        <f t="shared" si="247"/>
        <v>1415</v>
      </c>
      <c r="I215" s="220">
        <f t="shared" si="248"/>
        <v>1442</v>
      </c>
      <c r="J215" s="220">
        <f t="shared" si="249"/>
        <v>1069</v>
      </c>
      <c r="K215" s="220">
        <f t="shared" si="210"/>
        <v>2368</v>
      </c>
      <c r="L215" s="220">
        <f t="shared" si="210"/>
        <v>1980</v>
      </c>
      <c r="M215" s="220">
        <f t="shared" si="210"/>
        <v>1965</v>
      </c>
      <c r="N215" s="220">
        <f t="shared" si="210"/>
        <v>1938</v>
      </c>
      <c r="O215" s="220">
        <f t="shared" si="210"/>
        <v>2311</v>
      </c>
      <c r="P215" s="220">
        <f t="shared" si="253"/>
        <v>2000</v>
      </c>
      <c r="Q215" s="220">
        <f t="shared" si="253"/>
        <v>2000</v>
      </c>
      <c r="R215" s="220">
        <f t="shared" si="253"/>
        <v>2000</v>
      </c>
      <c r="S215" s="220">
        <f t="shared" si="253"/>
        <v>2000</v>
      </c>
      <c r="T215" s="220">
        <f t="shared" si="253"/>
        <v>2000</v>
      </c>
      <c r="U215" s="220">
        <f t="shared" si="254"/>
        <v>368</v>
      </c>
      <c r="V215" s="220">
        <f t="shared" si="254"/>
        <v>-20</v>
      </c>
      <c r="W215" s="220">
        <f t="shared" si="254"/>
        <v>-35</v>
      </c>
      <c r="X215" s="220">
        <f t="shared" si="254"/>
        <v>-62</v>
      </c>
      <c r="Y215" s="220">
        <f t="shared" si="254"/>
        <v>311</v>
      </c>
      <c r="Z215" s="220">
        <v>7</v>
      </c>
      <c r="AA215" s="220">
        <v>5</v>
      </c>
      <c r="AB215" s="220">
        <v>7</v>
      </c>
      <c r="AC215" s="220">
        <v>8</v>
      </c>
      <c r="AD215" s="220">
        <v>7</v>
      </c>
      <c r="AE215" s="220">
        <f t="shared" si="255"/>
        <v>-281</v>
      </c>
      <c r="AF215" s="220">
        <f t="shared" si="231"/>
        <v>-801</v>
      </c>
      <c r="AG215" s="220">
        <f t="shared" si="232"/>
        <v>-979</v>
      </c>
      <c r="AH215" s="220">
        <f t="shared" si="233"/>
        <v>-907</v>
      </c>
      <c r="AI215" s="220">
        <f t="shared" si="234"/>
        <v>-251</v>
      </c>
      <c r="AJ215" s="50">
        <f t="shared" si="235"/>
        <v>0.68800000000000527</v>
      </c>
      <c r="AK215" s="257"/>
      <c r="AL215" s="257">
        <f t="shared" si="256"/>
        <v>1.2</v>
      </c>
      <c r="AM215" s="52"/>
      <c r="AN215" s="88"/>
    </row>
    <row r="216" spans="1:41" s="29" customFormat="1" ht="17.25" customHeight="1">
      <c r="A216" s="48">
        <v>206</v>
      </c>
      <c r="B216" s="49">
        <f t="shared" si="250"/>
        <v>45790</v>
      </c>
      <c r="C216" s="220">
        <f t="shared" si="251"/>
        <v>1069</v>
      </c>
      <c r="D216" s="220">
        <f t="shared" si="224"/>
        <v>2285</v>
      </c>
      <c r="E216" s="220">
        <f t="shared" si="252"/>
        <v>3354</v>
      </c>
      <c r="F216" s="220">
        <f t="shared" si="245"/>
        <v>993</v>
      </c>
      <c r="G216" s="220">
        <f t="shared" si="246"/>
        <v>1379</v>
      </c>
      <c r="H216" s="220">
        <f t="shared" si="247"/>
        <v>1395</v>
      </c>
      <c r="I216" s="220">
        <f t="shared" si="248"/>
        <v>1423</v>
      </c>
      <c r="J216" s="220">
        <f t="shared" si="249"/>
        <v>1050</v>
      </c>
      <c r="K216" s="220">
        <f t="shared" ref="K216:O216" si="257">P216+U216</f>
        <v>2361</v>
      </c>
      <c r="L216" s="220">
        <f t="shared" si="257"/>
        <v>1975</v>
      </c>
      <c r="M216" s="220">
        <f t="shared" si="257"/>
        <v>1959</v>
      </c>
      <c r="N216" s="220">
        <f t="shared" si="257"/>
        <v>1931</v>
      </c>
      <c r="O216" s="220">
        <f t="shared" si="257"/>
        <v>2304</v>
      </c>
      <c r="P216" s="220">
        <f t="shared" si="253"/>
        <v>2000</v>
      </c>
      <c r="Q216" s="220">
        <f t="shared" si="253"/>
        <v>2000</v>
      </c>
      <c r="R216" s="220">
        <f t="shared" si="253"/>
        <v>2000</v>
      </c>
      <c r="S216" s="220">
        <f t="shared" si="253"/>
        <v>2000</v>
      </c>
      <c r="T216" s="220">
        <f t="shared" si="253"/>
        <v>2000</v>
      </c>
      <c r="U216" s="220">
        <f t="shared" si="254"/>
        <v>361</v>
      </c>
      <c r="V216" s="220">
        <f t="shared" si="254"/>
        <v>-25</v>
      </c>
      <c r="W216" s="220">
        <f t="shared" si="254"/>
        <v>-41</v>
      </c>
      <c r="X216" s="220">
        <f t="shared" si="254"/>
        <v>-69</v>
      </c>
      <c r="Y216" s="220">
        <f t="shared" si="254"/>
        <v>304</v>
      </c>
      <c r="Z216" s="220">
        <v>7</v>
      </c>
      <c r="AA216" s="220">
        <v>5</v>
      </c>
      <c r="AB216" s="220">
        <v>6</v>
      </c>
      <c r="AC216" s="220">
        <v>7</v>
      </c>
      <c r="AD216" s="220">
        <v>7</v>
      </c>
      <c r="AE216" s="220">
        <f t="shared" si="255"/>
        <v>-288</v>
      </c>
      <c r="AF216" s="220">
        <f t="shared" si="231"/>
        <v>-806</v>
      </c>
      <c r="AG216" s="220">
        <f t="shared" si="232"/>
        <v>-985</v>
      </c>
      <c r="AH216" s="220">
        <f t="shared" si="233"/>
        <v>-914</v>
      </c>
      <c r="AI216" s="220">
        <f t="shared" si="234"/>
        <v>-258</v>
      </c>
      <c r="AJ216" s="50">
        <f t="shared" si="235"/>
        <v>0.68200000000000527</v>
      </c>
      <c r="AK216" s="257"/>
      <c r="AL216" s="257">
        <f t="shared" si="256"/>
        <v>1.2</v>
      </c>
      <c r="AM216" s="52"/>
      <c r="AN216" s="88"/>
    </row>
    <row r="217" spans="1:41" s="29" customFormat="1" ht="17.25" customHeight="1">
      <c r="A217" s="48">
        <v>207</v>
      </c>
      <c r="B217" s="49">
        <f t="shared" si="250"/>
        <v>45791</v>
      </c>
      <c r="C217" s="220">
        <f t="shared" si="251"/>
        <v>1069</v>
      </c>
      <c r="D217" s="220">
        <f t="shared" si="224"/>
        <v>2259</v>
      </c>
      <c r="E217" s="220">
        <f t="shared" ref="E217:E228" si="258">+C217+D217</f>
        <v>3328</v>
      </c>
      <c r="F217" s="220">
        <f t="shared" ref="F217:F228" si="259">E217-K217</f>
        <v>974</v>
      </c>
      <c r="G217" s="220">
        <f t="shared" ref="G217:G228" si="260">E217-L217</f>
        <v>1357</v>
      </c>
      <c r="H217" s="220">
        <f t="shared" ref="H217:H228" si="261">E217-M217</f>
        <v>1376</v>
      </c>
      <c r="I217" s="220">
        <f t="shared" ref="I217:I228" si="262">E217-N217</f>
        <v>1404</v>
      </c>
      <c r="J217" s="220">
        <f t="shared" ref="J217:J228" si="263">E217-O217</f>
        <v>1031</v>
      </c>
      <c r="K217" s="220">
        <f t="shared" ref="K217:K228" si="264">P217+U217</f>
        <v>2354</v>
      </c>
      <c r="L217" s="220">
        <f t="shared" ref="L217:L228" si="265">Q217+V217</f>
        <v>1971</v>
      </c>
      <c r="M217" s="220">
        <f t="shared" ref="M217:M228" si="266">R217+W217</f>
        <v>1952</v>
      </c>
      <c r="N217" s="220">
        <f t="shared" ref="N217:N228" si="267">S217+X217</f>
        <v>1924</v>
      </c>
      <c r="O217" s="220">
        <f t="shared" ref="O217:O228" si="268">T217+Y217</f>
        <v>2297</v>
      </c>
      <c r="P217" s="220">
        <f t="shared" ref="P217:T217" si="269">+P216</f>
        <v>2000</v>
      </c>
      <c r="Q217" s="220">
        <f t="shared" si="269"/>
        <v>2000</v>
      </c>
      <c r="R217" s="220">
        <f t="shared" si="269"/>
        <v>2000</v>
      </c>
      <c r="S217" s="220">
        <f t="shared" si="269"/>
        <v>2000</v>
      </c>
      <c r="T217" s="220">
        <f t="shared" si="269"/>
        <v>2000</v>
      </c>
      <c r="U217" s="220">
        <f t="shared" ref="U217:U228" si="270">U216-Z217</f>
        <v>354</v>
      </c>
      <c r="V217" s="220">
        <f t="shared" ref="V217:V228" si="271">V216-AA217</f>
        <v>-29</v>
      </c>
      <c r="W217" s="220">
        <f t="shared" ref="W217:W228" si="272">W216-AB217</f>
        <v>-48</v>
      </c>
      <c r="X217" s="220">
        <f t="shared" ref="X217:X228" si="273">X216-AC217</f>
        <v>-76</v>
      </c>
      <c r="Y217" s="220">
        <f t="shared" ref="Y217:Y228" si="274">Y216-AD217</f>
        <v>297</v>
      </c>
      <c r="Z217" s="220">
        <v>7</v>
      </c>
      <c r="AA217" s="220">
        <v>4</v>
      </c>
      <c r="AB217" s="220">
        <v>7</v>
      </c>
      <c r="AC217" s="220">
        <v>7</v>
      </c>
      <c r="AD217" s="220">
        <v>7</v>
      </c>
      <c r="AE217" s="220">
        <f t="shared" ref="AE217:AE228" si="275">AE216-Z217</f>
        <v>-295</v>
      </c>
      <c r="AF217" s="220">
        <f t="shared" ref="AF217:AF228" si="276">AF216-AA217</f>
        <v>-810</v>
      </c>
      <c r="AG217" s="220">
        <f t="shared" ref="AG217:AG228" si="277">AG216-AB217</f>
        <v>-992</v>
      </c>
      <c r="AH217" s="220">
        <f t="shared" ref="AH217:AH228" si="278">AH216-AC217</f>
        <v>-921</v>
      </c>
      <c r="AI217" s="220">
        <f t="shared" ref="AI217:AI228" si="279">AI216-AD217</f>
        <v>-265</v>
      </c>
      <c r="AJ217" s="50">
        <f t="shared" ref="AJ217:AJ228" si="280">AJ216-AB217/1000+AK217</f>
        <v>0.67500000000000526</v>
      </c>
      <c r="AK217" s="257"/>
      <c r="AL217" s="257">
        <f t="shared" ref="AL217:AL228" si="281">AL216+AK217</f>
        <v>1.2</v>
      </c>
      <c r="AM217" s="52"/>
      <c r="AN217" s="88"/>
    </row>
    <row r="218" spans="1:41" s="29" customFormat="1" ht="17.25" customHeight="1">
      <c r="A218" s="48">
        <v>208</v>
      </c>
      <c r="B218" s="49">
        <f t="shared" si="250"/>
        <v>45792</v>
      </c>
      <c r="C218" s="220">
        <f t="shared" si="251"/>
        <v>1069</v>
      </c>
      <c r="D218" s="220">
        <f t="shared" si="224"/>
        <v>2233</v>
      </c>
      <c r="E218" s="220">
        <f t="shared" si="258"/>
        <v>3302</v>
      </c>
      <c r="F218" s="220">
        <f t="shared" si="259"/>
        <v>955</v>
      </c>
      <c r="G218" s="220">
        <f t="shared" si="260"/>
        <v>1335</v>
      </c>
      <c r="H218" s="220">
        <f t="shared" si="261"/>
        <v>1356</v>
      </c>
      <c r="I218" s="220">
        <f t="shared" si="262"/>
        <v>1385</v>
      </c>
      <c r="J218" s="220">
        <f t="shared" si="263"/>
        <v>1012</v>
      </c>
      <c r="K218" s="220">
        <f t="shared" si="264"/>
        <v>2347</v>
      </c>
      <c r="L218" s="220">
        <f t="shared" si="265"/>
        <v>1967</v>
      </c>
      <c r="M218" s="220">
        <f t="shared" si="266"/>
        <v>1946</v>
      </c>
      <c r="N218" s="220">
        <f t="shared" si="267"/>
        <v>1917</v>
      </c>
      <c r="O218" s="220">
        <f t="shared" si="268"/>
        <v>2290</v>
      </c>
      <c r="P218" s="220">
        <f t="shared" ref="P218:T218" si="282">+P217</f>
        <v>2000</v>
      </c>
      <c r="Q218" s="220">
        <f t="shared" si="282"/>
        <v>2000</v>
      </c>
      <c r="R218" s="220">
        <f t="shared" si="282"/>
        <v>2000</v>
      </c>
      <c r="S218" s="220">
        <f t="shared" si="282"/>
        <v>2000</v>
      </c>
      <c r="T218" s="220">
        <f t="shared" si="282"/>
        <v>2000</v>
      </c>
      <c r="U218" s="220">
        <f t="shared" si="270"/>
        <v>347</v>
      </c>
      <c r="V218" s="220">
        <f t="shared" si="271"/>
        <v>-33</v>
      </c>
      <c r="W218" s="220">
        <f t="shared" si="272"/>
        <v>-54</v>
      </c>
      <c r="X218" s="220">
        <f t="shared" si="273"/>
        <v>-83</v>
      </c>
      <c r="Y218" s="220">
        <f t="shared" si="274"/>
        <v>290</v>
      </c>
      <c r="Z218" s="220">
        <v>7</v>
      </c>
      <c r="AA218" s="220">
        <v>4</v>
      </c>
      <c r="AB218" s="220">
        <v>6</v>
      </c>
      <c r="AC218" s="220">
        <v>7</v>
      </c>
      <c r="AD218" s="220">
        <v>7</v>
      </c>
      <c r="AE218" s="220">
        <f t="shared" si="275"/>
        <v>-302</v>
      </c>
      <c r="AF218" s="220">
        <f t="shared" si="276"/>
        <v>-814</v>
      </c>
      <c r="AG218" s="220">
        <f t="shared" si="277"/>
        <v>-998</v>
      </c>
      <c r="AH218" s="220">
        <f t="shared" si="278"/>
        <v>-928</v>
      </c>
      <c r="AI218" s="220">
        <f t="shared" si="279"/>
        <v>-272</v>
      </c>
      <c r="AJ218" s="50">
        <f t="shared" si="280"/>
        <v>0.66900000000000526</v>
      </c>
      <c r="AK218" s="257"/>
      <c r="AL218" s="257">
        <f t="shared" si="281"/>
        <v>1.2</v>
      </c>
      <c r="AM218" s="52"/>
      <c r="AN218" s="88"/>
    </row>
    <row r="219" spans="1:41" s="29" customFormat="1" ht="17.25" customHeight="1">
      <c r="A219" s="48">
        <v>209</v>
      </c>
      <c r="B219" s="49">
        <f t="shared" si="250"/>
        <v>45793</v>
      </c>
      <c r="C219" s="220">
        <f t="shared" si="251"/>
        <v>1069</v>
      </c>
      <c r="D219" s="220">
        <f t="shared" si="224"/>
        <v>2207</v>
      </c>
      <c r="E219" s="220">
        <f t="shared" si="258"/>
        <v>3276</v>
      </c>
      <c r="F219" s="220">
        <f t="shared" si="259"/>
        <v>936</v>
      </c>
      <c r="G219" s="220">
        <f t="shared" si="260"/>
        <v>1314</v>
      </c>
      <c r="H219" s="220">
        <f t="shared" si="261"/>
        <v>1336</v>
      </c>
      <c r="I219" s="220">
        <f t="shared" si="262"/>
        <v>1365</v>
      </c>
      <c r="J219" s="220">
        <f t="shared" si="263"/>
        <v>993</v>
      </c>
      <c r="K219" s="220">
        <f t="shared" si="264"/>
        <v>2340</v>
      </c>
      <c r="L219" s="220">
        <f t="shared" si="265"/>
        <v>1962</v>
      </c>
      <c r="M219" s="220">
        <f t="shared" si="266"/>
        <v>1940</v>
      </c>
      <c r="N219" s="220">
        <f t="shared" si="267"/>
        <v>1911</v>
      </c>
      <c r="O219" s="220">
        <f t="shared" si="268"/>
        <v>2283</v>
      </c>
      <c r="P219" s="220">
        <f t="shared" ref="P219:T219" si="283">+P218</f>
        <v>2000</v>
      </c>
      <c r="Q219" s="220">
        <f t="shared" si="283"/>
        <v>2000</v>
      </c>
      <c r="R219" s="220">
        <f t="shared" si="283"/>
        <v>2000</v>
      </c>
      <c r="S219" s="220">
        <f t="shared" si="283"/>
        <v>2000</v>
      </c>
      <c r="T219" s="220">
        <f t="shared" si="283"/>
        <v>2000</v>
      </c>
      <c r="U219" s="220">
        <f t="shared" si="270"/>
        <v>340</v>
      </c>
      <c r="V219" s="220">
        <f t="shared" si="271"/>
        <v>-38</v>
      </c>
      <c r="W219" s="220">
        <f t="shared" si="272"/>
        <v>-60</v>
      </c>
      <c r="X219" s="220">
        <f t="shared" si="273"/>
        <v>-89</v>
      </c>
      <c r="Y219" s="220">
        <f t="shared" si="274"/>
        <v>283</v>
      </c>
      <c r="Z219" s="220">
        <v>7</v>
      </c>
      <c r="AA219" s="220">
        <v>5</v>
      </c>
      <c r="AB219" s="220">
        <v>6</v>
      </c>
      <c r="AC219" s="220">
        <v>6</v>
      </c>
      <c r="AD219" s="220">
        <v>7</v>
      </c>
      <c r="AE219" s="220">
        <f t="shared" si="275"/>
        <v>-309</v>
      </c>
      <c r="AF219" s="220">
        <f t="shared" si="276"/>
        <v>-819</v>
      </c>
      <c r="AG219" s="220">
        <f t="shared" si="277"/>
        <v>-1004</v>
      </c>
      <c r="AH219" s="220">
        <f t="shared" si="278"/>
        <v>-934</v>
      </c>
      <c r="AI219" s="220">
        <f t="shared" si="279"/>
        <v>-279</v>
      </c>
      <c r="AJ219" s="50">
        <f t="shared" si="280"/>
        <v>0.66300000000000525</v>
      </c>
      <c r="AK219" s="257"/>
      <c r="AL219" s="257">
        <f t="shared" si="281"/>
        <v>1.2</v>
      </c>
      <c r="AM219" s="52"/>
      <c r="AN219" s="88"/>
    </row>
    <row r="220" spans="1:41" s="29" customFormat="1" ht="17.25" customHeight="1">
      <c r="A220" s="48">
        <v>210</v>
      </c>
      <c r="B220" s="49">
        <f t="shared" si="250"/>
        <v>45794</v>
      </c>
      <c r="C220" s="220">
        <f t="shared" si="251"/>
        <v>1069</v>
      </c>
      <c r="D220" s="220">
        <f t="shared" si="224"/>
        <v>2181</v>
      </c>
      <c r="E220" s="220">
        <f t="shared" si="258"/>
        <v>3250</v>
      </c>
      <c r="F220" s="220">
        <f t="shared" si="259"/>
        <v>917</v>
      </c>
      <c r="G220" s="220">
        <f t="shared" si="260"/>
        <v>1293</v>
      </c>
      <c r="H220" s="220">
        <f t="shared" si="261"/>
        <v>1316</v>
      </c>
      <c r="I220" s="220">
        <f t="shared" si="262"/>
        <v>1344</v>
      </c>
      <c r="J220" s="220">
        <f t="shared" si="263"/>
        <v>974</v>
      </c>
      <c r="K220" s="220">
        <f t="shared" si="264"/>
        <v>2333</v>
      </c>
      <c r="L220" s="220">
        <f t="shared" si="265"/>
        <v>1957</v>
      </c>
      <c r="M220" s="220">
        <f t="shared" si="266"/>
        <v>1934</v>
      </c>
      <c r="N220" s="220">
        <f t="shared" si="267"/>
        <v>1906</v>
      </c>
      <c r="O220" s="220">
        <f t="shared" si="268"/>
        <v>2276</v>
      </c>
      <c r="P220" s="220">
        <f t="shared" ref="P220:T220" si="284">+P219</f>
        <v>2000</v>
      </c>
      <c r="Q220" s="220">
        <f t="shared" si="284"/>
        <v>2000</v>
      </c>
      <c r="R220" s="220">
        <f t="shared" si="284"/>
        <v>2000</v>
      </c>
      <c r="S220" s="220">
        <f t="shared" si="284"/>
        <v>2000</v>
      </c>
      <c r="T220" s="220">
        <f t="shared" si="284"/>
        <v>2000</v>
      </c>
      <c r="U220" s="220">
        <f t="shared" si="270"/>
        <v>333</v>
      </c>
      <c r="V220" s="220">
        <f t="shared" si="271"/>
        <v>-43</v>
      </c>
      <c r="W220" s="220">
        <f t="shared" si="272"/>
        <v>-66</v>
      </c>
      <c r="X220" s="220">
        <f t="shared" si="273"/>
        <v>-94</v>
      </c>
      <c r="Y220" s="220">
        <f t="shared" si="274"/>
        <v>276</v>
      </c>
      <c r="Z220" s="220">
        <v>7</v>
      </c>
      <c r="AA220" s="220">
        <v>5</v>
      </c>
      <c r="AB220" s="220">
        <v>6</v>
      </c>
      <c r="AC220" s="220">
        <v>5</v>
      </c>
      <c r="AD220" s="220">
        <v>7</v>
      </c>
      <c r="AE220" s="220">
        <f t="shared" si="275"/>
        <v>-316</v>
      </c>
      <c r="AF220" s="220">
        <f t="shared" si="276"/>
        <v>-824</v>
      </c>
      <c r="AG220" s="220">
        <f t="shared" si="277"/>
        <v>-1010</v>
      </c>
      <c r="AH220" s="220">
        <f t="shared" si="278"/>
        <v>-939</v>
      </c>
      <c r="AI220" s="220">
        <f t="shared" si="279"/>
        <v>-286</v>
      </c>
      <c r="AJ220" s="50">
        <f t="shared" si="280"/>
        <v>0.65700000000000525</v>
      </c>
      <c r="AK220" s="257"/>
      <c r="AL220" s="257">
        <f t="shared" si="281"/>
        <v>1.2</v>
      </c>
      <c r="AM220" s="52"/>
      <c r="AN220" s="88"/>
    </row>
    <row r="221" spans="1:41" s="29" customFormat="1" ht="17.25" customHeight="1">
      <c r="A221" s="48">
        <v>211</v>
      </c>
      <c r="B221" s="49">
        <f t="shared" si="250"/>
        <v>45795</v>
      </c>
      <c r="C221" s="220">
        <f t="shared" si="251"/>
        <v>1069</v>
      </c>
      <c r="D221" s="220">
        <f t="shared" si="224"/>
        <v>2155</v>
      </c>
      <c r="E221" s="220">
        <f t="shared" si="258"/>
        <v>3224</v>
      </c>
      <c r="F221" s="220">
        <f t="shared" si="259"/>
        <v>898</v>
      </c>
      <c r="G221" s="220">
        <f t="shared" si="260"/>
        <v>1271</v>
      </c>
      <c r="H221" s="220">
        <f t="shared" si="261"/>
        <v>1295</v>
      </c>
      <c r="I221" s="220">
        <f t="shared" si="262"/>
        <v>1323</v>
      </c>
      <c r="J221" s="220">
        <f t="shared" si="263"/>
        <v>955</v>
      </c>
      <c r="K221" s="220">
        <f t="shared" si="264"/>
        <v>2326</v>
      </c>
      <c r="L221" s="220">
        <f t="shared" si="265"/>
        <v>1953</v>
      </c>
      <c r="M221" s="220">
        <f t="shared" si="266"/>
        <v>1929</v>
      </c>
      <c r="N221" s="220">
        <f t="shared" si="267"/>
        <v>1901</v>
      </c>
      <c r="O221" s="220">
        <f t="shared" si="268"/>
        <v>2269</v>
      </c>
      <c r="P221" s="220">
        <f t="shared" ref="P221:T221" si="285">+P220</f>
        <v>2000</v>
      </c>
      <c r="Q221" s="220">
        <f t="shared" si="285"/>
        <v>2000</v>
      </c>
      <c r="R221" s="220">
        <f t="shared" si="285"/>
        <v>2000</v>
      </c>
      <c r="S221" s="220">
        <f t="shared" si="285"/>
        <v>2000</v>
      </c>
      <c r="T221" s="220">
        <f t="shared" si="285"/>
        <v>2000</v>
      </c>
      <c r="U221" s="220">
        <f t="shared" si="270"/>
        <v>326</v>
      </c>
      <c r="V221" s="220">
        <f t="shared" si="271"/>
        <v>-47</v>
      </c>
      <c r="W221" s="220">
        <f t="shared" si="272"/>
        <v>-71</v>
      </c>
      <c r="X221" s="220">
        <f t="shared" si="273"/>
        <v>-99</v>
      </c>
      <c r="Y221" s="220">
        <f t="shared" si="274"/>
        <v>269</v>
      </c>
      <c r="Z221" s="220">
        <v>7</v>
      </c>
      <c r="AA221" s="220">
        <v>4</v>
      </c>
      <c r="AB221" s="220">
        <v>5</v>
      </c>
      <c r="AC221" s="220">
        <v>5</v>
      </c>
      <c r="AD221" s="220">
        <v>7</v>
      </c>
      <c r="AE221" s="220">
        <f t="shared" si="275"/>
        <v>-323</v>
      </c>
      <c r="AF221" s="220">
        <f t="shared" si="276"/>
        <v>-828</v>
      </c>
      <c r="AG221" s="220">
        <f t="shared" si="277"/>
        <v>-1015</v>
      </c>
      <c r="AH221" s="220">
        <f t="shared" si="278"/>
        <v>-944</v>
      </c>
      <c r="AI221" s="220">
        <f t="shared" si="279"/>
        <v>-293</v>
      </c>
      <c r="AJ221" s="50">
        <f t="shared" si="280"/>
        <v>0.65200000000000524</v>
      </c>
      <c r="AK221" s="257"/>
      <c r="AL221" s="257">
        <f t="shared" si="281"/>
        <v>1.2</v>
      </c>
      <c r="AM221" s="52"/>
      <c r="AN221" s="88"/>
    </row>
    <row r="222" spans="1:41" s="29" customFormat="1" ht="17.25" customHeight="1">
      <c r="A222" s="48">
        <v>212</v>
      </c>
      <c r="B222" s="49">
        <f t="shared" si="250"/>
        <v>45796</v>
      </c>
      <c r="C222" s="220">
        <f t="shared" si="251"/>
        <v>1069</v>
      </c>
      <c r="D222" s="220">
        <f t="shared" si="224"/>
        <v>2129</v>
      </c>
      <c r="E222" s="220">
        <f t="shared" si="258"/>
        <v>3198</v>
      </c>
      <c r="F222" s="220">
        <f t="shared" si="259"/>
        <v>879</v>
      </c>
      <c r="G222" s="220">
        <f t="shared" si="260"/>
        <v>1250</v>
      </c>
      <c r="H222" s="220">
        <f t="shared" si="261"/>
        <v>1275</v>
      </c>
      <c r="I222" s="220">
        <f t="shared" si="262"/>
        <v>1301</v>
      </c>
      <c r="J222" s="220">
        <f t="shared" si="263"/>
        <v>936</v>
      </c>
      <c r="K222" s="220">
        <f t="shared" si="264"/>
        <v>2319</v>
      </c>
      <c r="L222" s="220">
        <f t="shared" si="265"/>
        <v>1948</v>
      </c>
      <c r="M222" s="220">
        <f t="shared" si="266"/>
        <v>1923</v>
      </c>
      <c r="N222" s="220">
        <f t="shared" si="267"/>
        <v>1897</v>
      </c>
      <c r="O222" s="220">
        <f t="shared" si="268"/>
        <v>2262</v>
      </c>
      <c r="P222" s="220">
        <f t="shared" ref="P222:T222" si="286">+P221</f>
        <v>2000</v>
      </c>
      <c r="Q222" s="220">
        <f t="shared" si="286"/>
        <v>2000</v>
      </c>
      <c r="R222" s="220">
        <f t="shared" si="286"/>
        <v>2000</v>
      </c>
      <c r="S222" s="220">
        <f t="shared" si="286"/>
        <v>2000</v>
      </c>
      <c r="T222" s="220">
        <f t="shared" si="286"/>
        <v>2000</v>
      </c>
      <c r="U222" s="220">
        <f t="shared" si="270"/>
        <v>319</v>
      </c>
      <c r="V222" s="220">
        <f t="shared" si="271"/>
        <v>-52</v>
      </c>
      <c r="W222" s="220">
        <f t="shared" si="272"/>
        <v>-77</v>
      </c>
      <c r="X222" s="220">
        <f t="shared" si="273"/>
        <v>-103</v>
      </c>
      <c r="Y222" s="220">
        <f t="shared" si="274"/>
        <v>262</v>
      </c>
      <c r="Z222" s="220">
        <v>7</v>
      </c>
      <c r="AA222" s="220">
        <v>5</v>
      </c>
      <c r="AB222" s="220">
        <v>6</v>
      </c>
      <c r="AC222" s="220">
        <v>4</v>
      </c>
      <c r="AD222" s="220">
        <v>7</v>
      </c>
      <c r="AE222" s="220">
        <f t="shared" si="275"/>
        <v>-330</v>
      </c>
      <c r="AF222" s="220">
        <f t="shared" si="276"/>
        <v>-833</v>
      </c>
      <c r="AG222" s="220">
        <f t="shared" si="277"/>
        <v>-1021</v>
      </c>
      <c r="AH222" s="220">
        <f t="shared" si="278"/>
        <v>-948</v>
      </c>
      <c r="AI222" s="220">
        <f t="shared" si="279"/>
        <v>-300</v>
      </c>
      <c r="AJ222" s="50">
        <f t="shared" si="280"/>
        <v>0.64600000000000524</v>
      </c>
      <c r="AK222" s="257"/>
      <c r="AL222" s="257">
        <f t="shared" si="281"/>
        <v>1.2</v>
      </c>
      <c r="AM222" s="52"/>
      <c r="AN222" s="88"/>
    </row>
    <row r="223" spans="1:41" s="29" customFormat="1" ht="17.25" customHeight="1">
      <c r="A223" s="48">
        <v>213</v>
      </c>
      <c r="B223" s="49">
        <f t="shared" si="250"/>
        <v>45797</v>
      </c>
      <c r="C223" s="220">
        <f t="shared" si="251"/>
        <v>1069</v>
      </c>
      <c r="D223" s="220">
        <f t="shared" si="224"/>
        <v>2103</v>
      </c>
      <c r="E223" s="220">
        <f t="shared" si="258"/>
        <v>3172</v>
      </c>
      <c r="F223" s="220">
        <f t="shared" si="259"/>
        <v>860</v>
      </c>
      <c r="G223" s="220">
        <f t="shared" si="260"/>
        <v>1228</v>
      </c>
      <c r="H223" s="220">
        <f t="shared" si="261"/>
        <v>1254</v>
      </c>
      <c r="I223" s="220">
        <f t="shared" si="262"/>
        <v>1281</v>
      </c>
      <c r="J223" s="220">
        <f t="shared" si="263"/>
        <v>917</v>
      </c>
      <c r="K223" s="220">
        <f t="shared" si="264"/>
        <v>2312</v>
      </c>
      <c r="L223" s="220">
        <f t="shared" si="265"/>
        <v>1944</v>
      </c>
      <c r="M223" s="220">
        <f t="shared" si="266"/>
        <v>1918</v>
      </c>
      <c r="N223" s="220">
        <f t="shared" si="267"/>
        <v>1891</v>
      </c>
      <c r="O223" s="220">
        <f t="shared" si="268"/>
        <v>2255</v>
      </c>
      <c r="P223" s="220">
        <f t="shared" ref="P223:T223" si="287">+P222</f>
        <v>2000</v>
      </c>
      <c r="Q223" s="220">
        <f t="shared" si="287"/>
        <v>2000</v>
      </c>
      <c r="R223" s="220">
        <f t="shared" si="287"/>
        <v>2000</v>
      </c>
      <c r="S223" s="220">
        <f t="shared" si="287"/>
        <v>2000</v>
      </c>
      <c r="T223" s="220">
        <f t="shared" si="287"/>
        <v>2000</v>
      </c>
      <c r="U223" s="220">
        <f t="shared" si="270"/>
        <v>312</v>
      </c>
      <c r="V223" s="220">
        <f t="shared" si="271"/>
        <v>-56</v>
      </c>
      <c r="W223" s="220">
        <f t="shared" si="272"/>
        <v>-82</v>
      </c>
      <c r="X223" s="220">
        <f t="shared" si="273"/>
        <v>-109</v>
      </c>
      <c r="Y223" s="220">
        <f t="shared" si="274"/>
        <v>255</v>
      </c>
      <c r="Z223" s="220">
        <v>7</v>
      </c>
      <c r="AA223" s="220">
        <v>4</v>
      </c>
      <c r="AB223" s="220">
        <v>5</v>
      </c>
      <c r="AC223" s="220">
        <v>6</v>
      </c>
      <c r="AD223" s="220">
        <v>7</v>
      </c>
      <c r="AE223" s="220">
        <f t="shared" si="275"/>
        <v>-337</v>
      </c>
      <c r="AF223" s="220">
        <f t="shared" si="276"/>
        <v>-837</v>
      </c>
      <c r="AG223" s="220">
        <f t="shared" si="277"/>
        <v>-1026</v>
      </c>
      <c r="AH223" s="220">
        <f t="shared" si="278"/>
        <v>-954</v>
      </c>
      <c r="AI223" s="220">
        <f t="shared" si="279"/>
        <v>-307</v>
      </c>
      <c r="AJ223" s="50">
        <f t="shared" si="280"/>
        <v>0.64100000000000523</v>
      </c>
      <c r="AK223" s="257"/>
      <c r="AL223" s="257">
        <f t="shared" si="281"/>
        <v>1.2</v>
      </c>
      <c r="AM223" s="52"/>
      <c r="AN223" s="88"/>
    </row>
    <row r="224" spans="1:41" s="29" customFormat="1" ht="17.25" customHeight="1">
      <c r="A224" s="48">
        <v>214</v>
      </c>
      <c r="B224" s="49">
        <f t="shared" si="250"/>
        <v>45798</v>
      </c>
      <c r="C224" s="220">
        <f t="shared" si="251"/>
        <v>1069</v>
      </c>
      <c r="D224" s="220">
        <f t="shared" si="224"/>
        <v>2077</v>
      </c>
      <c r="E224" s="220">
        <f t="shared" si="258"/>
        <v>3146</v>
      </c>
      <c r="F224" s="220">
        <f t="shared" si="259"/>
        <v>841</v>
      </c>
      <c r="G224" s="220">
        <f t="shared" si="260"/>
        <v>1205</v>
      </c>
      <c r="H224" s="220">
        <f t="shared" si="261"/>
        <v>1234</v>
      </c>
      <c r="I224" s="220">
        <f t="shared" si="262"/>
        <v>1260</v>
      </c>
      <c r="J224" s="220">
        <f t="shared" si="263"/>
        <v>898</v>
      </c>
      <c r="K224" s="220">
        <f t="shared" si="264"/>
        <v>2305</v>
      </c>
      <c r="L224" s="220">
        <f t="shared" si="265"/>
        <v>1941</v>
      </c>
      <c r="M224" s="220">
        <f t="shared" si="266"/>
        <v>1912</v>
      </c>
      <c r="N224" s="220">
        <f t="shared" si="267"/>
        <v>1886</v>
      </c>
      <c r="O224" s="220">
        <f t="shared" si="268"/>
        <v>2248</v>
      </c>
      <c r="P224" s="220">
        <f t="shared" ref="P224:T224" si="288">+P223</f>
        <v>2000</v>
      </c>
      <c r="Q224" s="220">
        <f t="shared" si="288"/>
        <v>2000</v>
      </c>
      <c r="R224" s="220">
        <f t="shared" si="288"/>
        <v>2000</v>
      </c>
      <c r="S224" s="220">
        <f t="shared" si="288"/>
        <v>2000</v>
      </c>
      <c r="T224" s="220">
        <f t="shared" si="288"/>
        <v>2000</v>
      </c>
      <c r="U224" s="220">
        <f t="shared" si="270"/>
        <v>305</v>
      </c>
      <c r="V224" s="220">
        <f t="shared" si="271"/>
        <v>-59</v>
      </c>
      <c r="W224" s="220">
        <f t="shared" si="272"/>
        <v>-88</v>
      </c>
      <c r="X224" s="220">
        <f t="shared" si="273"/>
        <v>-114</v>
      </c>
      <c r="Y224" s="220">
        <f t="shared" si="274"/>
        <v>248</v>
      </c>
      <c r="Z224" s="220">
        <v>7</v>
      </c>
      <c r="AA224" s="220">
        <v>3</v>
      </c>
      <c r="AB224" s="220">
        <v>6</v>
      </c>
      <c r="AC224" s="220">
        <v>5</v>
      </c>
      <c r="AD224" s="220">
        <v>7</v>
      </c>
      <c r="AE224" s="220">
        <f t="shared" si="275"/>
        <v>-344</v>
      </c>
      <c r="AF224" s="220">
        <f t="shared" si="276"/>
        <v>-840</v>
      </c>
      <c r="AG224" s="220">
        <f t="shared" si="277"/>
        <v>-1032</v>
      </c>
      <c r="AH224" s="220">
        <f t="shared" si="278"/>
        <v>-959</v>
      </c>
      <c r="AI224" s="220">
        <f t="shared" si="279"/>
        <v>-314</v>
      </c>
      <c r="AJ224" s="50">
        <f t="shared" si="280"/>
        <v>0.63500000000000523</v>
      </c>
      <c r="AK224" s="257"/>
      <c r="AL224" s="257">
        <f t="shared" si="281"/>
        <v>1.2</v>
      </c>
      <c r="AM224" s="52"/>
      <c r="AN224" s="88"/>
    </row>
    <row r="225" spans="1:40" s="29" customFormat="1" ht="17.25" customHeight="1">
      <c r="A225" s="48">
        <v>215</v>
      </c>
      <c r="B225" s="49">
        <f t="shared" si="250"/>
        <v>45799</v>
      </c>
      <c r="C225" s="220">
        <f t="shared" si="251"/>
        <v>1069</v>
      </c>
      <c r="D225" s="220">
        <f t="shared" si="224"/>
        <v>2051</v>
      </c>
      <c r="E225" s="220">
        <f t="shared" si="258"/>
        <v>3120</v>
      </c>
      <c r="F225" s="220">
        <f t="shared" si="259"/>
        <v>822</v>
      </c>
      <c r="G225" s="220">
        <f t="shared" si="260"/>
        <v>1184</v>
      </c>
      <c r="H225" s="220">
        <f t="shared" si="261"/>
        <v>1213</v>
      </c>
      <c r="I225" s="220">
        <f t="shared" si="262"/>
        <v>1237</v>
      </c>
      <c r="J225" s="220">
        <f t="shared" si="263"/>
        <v>879</v>
      </c>
      <c r="K225" s="220">
        <f t="shared" si="264"/>
        <v>2298</v>
      </c>
      <c r="L225" s="220">
        <f t="shared" si="265"/>
        <v>1936</v>
      </c>
      <c r="M225" s="220">
        <f t="shared" si="266"/>
        <v>1907</v>
      </c>
      <c r="N225" s="220">
        <f t="shared" si="267"/>
        <v>1883</v>
      </c>
      <c r="O225" s="220">
        <f t="shared" si="268"/>
        <v>2241</v>
      </c>
      <c r="P225" s="220">
        <f t="shared" ref="P225:T225" si="289">+P224</f>
        <v>2000</v>
      </c>
      <c r="Q225" s="220">
        <f t="shared" si="289"/>
        <v>2000</v>
      </c>
      <c r="R225" s="220">
        <f t="shared" si="289"/>
        <v>2000</v>
      </c>
      <c r="S225" s="220">
        <f t="shared" si="289"/>
        <v>2000</v>
      </c>
      <c r="T225" s="220">
        <f t="shared" si="289"/>
        <v>2000</v>
      </c>
      <c r="U225" s="220">
        <f t="shared" si="270"/>
        <v>298</v>
      </c>
      <c r="V225" s="220">
        <f t="shared" si="271"/>
        <v>-64</v>
      </c>
      <c r="W225" s="220">
        <f t="shared" si="272"/>
        <v>-93</v>
      </c>
      <c r="X225" s="220">
        <f t="shared" si="273"/>
        <v>-117</v>
      </c>
      <c r="Y225" s="220">
        <f t="shared" si="274"/>
        <v>241</v>
      </c>
      <c r="Z225" s="220">
        <v>7</v>
      </c>
      <c r="AA225" s="220">
        <v>5</v>
      </c>
      <c r="AB225" s="220">
        <v>5</v>
      </c>
      <c r="AC225" s="220">
        <v>3</v>
      </c>
      <c r="AD225" s="220">
        <v>7</v>
      </c>
      <c r="AE225" s="220">
        <f t="shared" si="275"/>
        <v>-351</v>
      </c>
      <c r="AF225" s="220">
        <f t="shared" si="276"/>
        <v>-845</v>
      </c>
      <c r="AG225" s="220">
        <f t="shared" si="277"/>
        <v>-1037</v>
      </c>
      <c r="AH225" s="220">
        <f t="shared" si="278"/>
        <v>-962</v>
      </c>
      <c r="AI225" s="220">
        <f t="shared" si="279"/>
        <v>-321</v>
      </c>
      <c r="AJ225" s="50">
        <f t="shared" si="280"/>
        <v>0.63000000000000522</v>
      </c>
      <c r="AK225" s="257"/>
      <c r="AL225" s="257">
        <f t="shared" si="281"/>
        <v>1.2</v>
      </c>
      <c r="AM225" s="52"/>
      <c r="AN225" s="88"/>
    </row>
    <row r="226" spans="1:40" s="29" customFormat="1" ht="17.25" customHeight="1">
      <c r="A226" s="48">
        <v>216</v>
      </c>
      <c r="B226" s="49">
        <f t="shared" si="250"/>
        <v>45800</v>
      </c>
      <c r="C226" s="220">
        <f t="shared" si="251"/>
        <v>1069</v>
      </c>
      <c r="D226" s="220">
        <f t="shared" si="224"/>
        <v>2025</v>
      </c>
      <c r="E226" s="220">
        <f t="shared" si="258"/>
        <v>3094</v>
      </c>
      <c r="F226" s="220">
        <f t="shared" si="259"/>
        <v>803</v>
      </c>
      <c r="G226" s="220">
        <f t="shared" si="260"/>
        <v>1162</v>
      </c>
      <c r="H226" s="220">
        <f t="shared" si="261"/>
        <v>1193</v>
      </c>
      <c r="I226" s="220">
        <f t="shared" si="262"/>
        <v>1215</v>
      </c>
      <c r="J226" s="220">
        <f t="shared" si="263"/>
        <v>860</v>
      </c>
      <c r="K226" s="220">
        <f t="shared" si="264"/>
        <v>2291</v>
      </c>
      <c r="L226" s="220">
        <f t="shared" si="265"/>
        <v>1932</v>
      </c>
      <c r="M226" s="220">
        <f t="shared" si="266"/>
        <v>1901</v>
      </c>
      <c r="N226" s="220">
        <f t="shared" si="267"/>
        <v>1879</v>
      </c>
      <c r="O226" s="220">
        <f t="shared" si="268"/>
        <v>2234</v>
      </c>
      <c r="P226" s="220">
        <f t="shared" ref="P226:T226" si="290">+P225</f>
        <v>2000</v>
      </c>
      <c r="Q226" s="220">
        <f t="shared" si="290"/>
        <v>2000</v>
      </c>
      <c r="R226" s="220">
        <f t="shared" si="290"/>
        <v>2000</v>
      </c>
      <c r="S226" s="220">
        <f t="shared" si="290"/>
        <v>2000</v>
      </c>
      <c r="T226" s="220">
        <f t="shared" si="290"/>
        <v>2000</v>
      </c>
      <c r="U226" s="220">
        <f t="shared" si="270"/>
        <v>291</v>
      </c>
      <c r="V226" s="220">
        <f t="shared" si="271"/>
        <v>-68</v>
      </c>
      <c r="W226" s="220">
        <f t="shared" si="272"/>
        <v>-99</v>
      </c>
      <c r="X226" s="220">
        <f t="shared" si="273"/>
        <v>-121</v>
      </c>
      <c r="Y226" s="220">
        <f t="shared" si="274"/>
        <v>234</v>
      </c>
      <c r="Z226" s="220">
        <v>7</v>
      </c>
      <c r="AA226" s="220">
        <v>4</v>
      </c>
      <c r="AB226" s="220">
        <v>6</v>
      </c>
      <c r="AC226" s="220">
        <v>4</v>
      </c>
      <c r="AD226" s="220">
        <v>7</v>
      </c>
      <c r="AE226" s="220">
        <f t="shared" si="275"/>
        <v>-358</v>
      </c>
      <c r="AF226" s="220">
        <f t="shared" si="276"/>
        <v>-849</v>
      </c>
      <c r="AG226" s="220">
        <f t="shared" si="277"/>
        <v>-1043</v>
      </c>
      <c r="AH226" s="220">
        <f t="shared" si="278"/>
        <v>-966</v>
      </c>
      <c r="AI226" s="220">
        <f t="shared" si="279"/>
        <v>-328</v>
      </c>
      <c r="AJ226" s="50">
        <f t="shared" si="280"/>
        <v>0.62400000000000522</v>
      </c>
      <c r="AK226" s="257"/>
      <c r="AL226" s="257">
        <f t="shared" si="281"/>
        <v>1.2</v>
      </c>
      <c r="AM226" s="52"/>
      <c r="AN226" s="88"/>
    </row>
    <row r="227" spans="1:40" s="29" customFormat="1" ht="17.25" customHeight="1">
      <c r="A227" s="48">
        <v>217</v>
      </c>
      <c r="B227" s="49">
        <f t="shared" si="250"/>
        <v>45801</v>
      </c>
      <c r="C227" s="220">
        <f t="shared" si="251"/>
        <v>1069</v>
      </c>
      <c r="D227" s="220">
        <f t="shared" si="224"/>
        <v>1999</v>
      </c>
      <c r="E227" s="220">
        <f t="shared" si="258"/>
        <v>3068</v>
      </c>
      <c r="F227" s="220">
        <f t="shared" si="259"/>
        <v>784</v>
      </c>
      <c r="G227" s="220">
        <f t="shared" si="260"/>
        <v>1141</v>
      </c>
      <c r="H227" s="220">
        <f t="shared" si="261"/>
        <v>1173</v>
      </c>
      <c r="I227" s="220">
        <f t="shared" si="262"/>
        <v>1194</v>
      </c>
      <c r="J227" s="220">
        <f t="shared" si="263"/>
        <v>841</v>
      </c>
      <c r="K227" s="220">
        <f t="shared" si="264"/>
        <v>2284</v>
      </c>
      <c r="L227" s="220">
        <f t="shared" si="265"/>
        <v>1927</v>
      </c>
      <c r="M227" s="220">
        <f t="shared" si="266"/>
        <v>1895</v>
      </c>
      <c r="N227" s="220">
        <f t="shared" si="267"/>
        <v>1874</v>
      </c>
      <c r="O227" s="220">
        <f t="shared" si="268"/>
        <v>2227</v>
      </c>
      <c r="P227" s="220">
        <f t="shared" ref="P227:T227" si="291">+P226</f>
        <v>2000</v>
      </c>
      <c r="Q227" s="220">
        <f t="shared" si="291"/>
        <v>2000</v>
      </c>
      <c r="R227" s="220">
        <f t="shared" si="291"/>
        <v>2000</v>
      </c>
      <c r="S227" s="220">
        <f t="shared" si="291"/>
        <v>2000</v>
      </c>
      <c r="T227" s="220">
        <f t="shared" si="291"/>
        <v>2000</v>
      </c>
      <c r="U227" s="220">
        <f t="shared" si="270"/>
        <v>284</v>
      </c>
      <c r="V227" s="220">
        <f t="shared" si="271"/>
        <v>-73</v>
      </c>
      <c r="W227" s="220">
        <f t="shared" si="272"/>
        <v>-105</v>
      </c>
      <c r="X227" s="220">
        <f t="shared" si="273"/>
        <v>-126</v>
      </c>
      <c r="Y227" s="220">
        <f t="shared" si="274"/>
        <v>227</v>
      </c>
      <c r="Z227" s="220">
        <v>7</v>
      </c>
      <c r="AA227" s="220">
        <v>5</v>
      </c>
      <c r="AB227" s="220">
        <v>6</v>
      </c>
      <c r="AC227" s="220">
        <v>5</v>
      </c>
      <c r="AD227" s="220">
        <v>7</v>
      </c>
      <c r="AE227" s="220">
        <f t="shared" si="275"/>
        <v>-365</v>
      </c>
      <c r="AF227" s="220">
        <f t="shared" si="276"/>
        <v>-854</v>
      </c>
      <c r="AG227" s="220">
        <f t="shared" si="277"/>
        <v>-1049</v>
      </c>
      <c r="AH227" s="220">
        <f t="shared" si="278"/>
        <v>-971</v>
      </c>
      <c r="AI227" s="220">
        <f t="shared" si="279"/>
        <v>-335</v>
      </c>
      <c r="AJ227" s="50">
        <f t="shared" si="280"/>
        <v>0.61800000000000521</v>
      </c>
      <c r="AK227" s="257"/>
      <c r="AL227" s="257">
        <f t="shared" si="281"/>
        <v>1.2</v>
      </c>
      <c r="AM227" s="52"/>
      <c r="AN227" s="88"/>
    </row>
    <row r="228" spans="1:40" s="29" customFormat="1" ht="17.25" customHeight="1">
      <c r="A228" s="48">
        <v>218</v>
      </c>
      <c r="B228" s="49">
        <f t="shared" si="250"/>
        <v>45802</v>
      </c>
      <c r="C228" s="220">
        <f t="shared" si="251"/>
        <v>1069</v>
      </c>
      <c r="D228" s="220">
        <f t="shared" si="224"/>
        <v>1973</v>
      </c>
      <c r="E228" s="220">
        <f t="shared" si="258"/>
        <v>3042</v>
      </c>
      <c r="F228" s="220">
        <f t="shared" si="259"/>
        <v>765</v>
      </c>
      <c r="G228" s="220">
        <f t="shared" si="260"/>
        <v>1118</v>
      </c>
      <c r="H228" s="220">
        <f t="shared" si="261"/>
        <v>1151</v>
      </c>
      <c r="I228" s="220">
        <f t="shared" si="262"/>
        <v>1172</v>
      </c>
      <c r="J228" s="220">
        <f t="shared" si="263"/>
        <v>822</v>
      </c>
      <c r="K228" s="220">
        <f t="shared" si="264"/>
        <v>2277</v>
      </c>
      <c r="L228" s="220">
        <f t="shared" si="265"/>
        <v>1924</v>
      </c>
      <c r="M228" s="220">
        <f t="shared" si="266"/>
        <v>1891</v>
      </c>
      <c r="N228" s="220">
        <f t="shared" si="267"/>
        <v>1870</v>
      </c>
      <c r="O228" s="220">
        <f t="shared" si="268"/>
        <v>2220</v>
      </c>
      <c r="P228" s="220">
        <f t="shared" ref="P228:T228" si="292">+P227</f>
        <v>2000</v>
      </c>
      <c r="Q228" s="220">
        <f t="shared" si="292"/>
        <v>2000</v>
      </c>
      <c r="R228" s="220">
        <f t="shared" si="292"/>
        <v>2000</v>
      </c>
      <c r="S228" s="220">
        <f t="shared" si="292"/>
        <v>2000</v>
      </c>
      <c r="T228" s="220">
        <f t="shared" si="292"/>
        <v>2000</v>
      </c>
      <c r="U228" s="220">
        <f t="shared" si="270"/>
        <v>277</v>
      </c>
      <c r="V228" s="220">
        <f t="shared" si="271"/>
        <v>-76</v>
      </c>
      <c r="W228" s="220">
        <f t="shared" si="272"/>
        <v>-109</v>
      </c>
      <c r="X228" s="220">
        <f t="shared" si="273"/>
        <v>-130</v>
      </c>
      <c r="Y228" s="220">
        <f t="shared" si="274"/>
        <v>220</v>
      </c>
      <c r="Z228" s="220">
        <v>7</v>
      </c>
      <c r="AA228" s="220">
        <v>3</v>
      </c>
      <c r="AB228" s="220">
        <v>4</v>
      </c>
      <c r="AC228" s="220">
        <v>4</v>
      </c>
      <c r="AD228" s="220">
        <v>7</v>
      </c>
      <c r="AE228" s="220">
        <f t="shared" si="275"/>
        <v>-372</v>
      </c>
      <c r="AF228" s="220">
        <f t="shared" si="276"/>
        <v>-857</v>
      </c>
      <c r="AG228" s="220">
        <f t="shared" si="277"/>
        <v>-1053</v>
      </c>
      <c r="AH228" s="220">
        <f t="shared" si="278"/>
        <v>-975</v>
      </c>
      <c r="AI228" s="220">
        <f t="shared" si="279"/>
        <v>-342</v>
      </c>
      <c r="AJ228" s="50">
        <f t="shared" si="280"/>
        <v>0.61400000000000521</v>
      </c>
      <c r="AK228" s="257"/>
      <c r="AL228" s="257">
        <f t="shared" si="281"/>
        <v>1.2</v>
      </c>
      <c r="AM228" s="52"/>
      <c r="AN228" s="88"/>
    </row>
    <row r="229" spans="1:40" s="29" customFormat="1" ht="17.25" customHeight="1">
      <c r="A229" s="48">
        <v>219</v>
      </c>
      <c r="B229" s="49">
        <f t="shared" si="250"/>
        <v>45803</v>
      </c>
      <c r="C229" s="220">
        <f t="shared" si="251"/>
        <v>1069</v>
      </c>
      <c r="D229" s="220">
        <f t="shared" si="224"/>
        <v>1947</v>
      </c>
      <c r="E229" s="220">
        <f t="shared" ref="E229:E234" si="293">+C229+D229</f>
        <v>3016</v>
      </c>
      <c r="F229" s="220">
        <f t="shared" ref="F229:F234" si="294">E229-K229</f>
        <v>746</v>
      </c>
      <c r="G229" s="220">
        <f t="shared" ref="G229:G234" si="295">E229-L229</f>
        <v>1095</v>
      </c>
      <c r="H229" s="220">
        <f t="shared" ref="H229:H234" si="296">E229-M229</f>
        <v>1131</v>
      </c>
      <c r="I229" s="220">
        <f t="shared" ref="I229:I234" si="297">E229-N229</f>
        <v>1151</v>
      </c>
      <c r="J229" s="220">
        <f t="shared" ref="J229:J234" si="298">E229-O229</f>
        <v>803</v>
      </c>
      <c r="K229" s="220">
        <f t="shared" ref="K229:K234" si="299">P229+U229</f>
        <v>2270</v>
      </c>
      <c r="L229" s="220">
        <f t="shared" ref="L229:L234" si="300">Q229+V229</f>
        <v>1921</v>
      </c>
      <c r="M229" s="220">
        <f t="shared" ref="M229:M234" si="301">R229+W229</f>
        <v>1885</v>
      </c>
      <c r="N229" s="220">
        <f t="shared" ref="N229:N234" si="302">S229+X229</f>
        <v>1865</v>
      </c>
      <c r="O229" s="220">
        <f t="shared" ref="O229:O234" si="303">T229+Y229</f>
        <v>2213</v>
      </c>
      <c r="P229" s="220">
        <f t="shared" ref="P229:T229" si="304">+P228</f>
        <v>2000</v>
      </c>
      <c r="Q229" s="220">
        <f t="shared" si="304"/>
        <v>2000</v>
      </c>
      <c r="R229" s="220">
        <f t="shared" si="304"/>
        <v>2000</v>
      </c>
      <c r="S229" s="220">
        <f t="shared" si="304"/>
        <v>2000</v>
      </c>
      <c r="T229" s="220">
        <f t="shared" si="304"/>
        <v>2000</v>
      </c>
      <c r="U229" s="220">
        <f t="shared" ref="U229:U234" si="305">U228-Z229</f>
        <v>270</v>
      </c>
      <c r="V229" s="220">
        <f t="shared" ref="V229:V234" si="306">V228-AA229</f>
        <v>-79</v>
      </c>
      <c r="W229" s="220">
        <f t="shared" ref="W229:W234" si="307">W228-AB229</f>
        <v>-115</v>
      </c>
      <c r="X229" s="220">
        <f t="shared" ref="X229:X234" si="308">X228-AC229</f>
        <v>-135</v>
      </c>
      <c r="Y229" s="220">
        <f t="shared" ref="Y229:Y234" si="309">Y228-AD229</f>
        <v>213</v>
      </c>
      <c r="Z229" s="220">
        <v>7</v>
      </c>
      <c r="AA229" s="220">
        <v>3</v>
      </c>
      <c r="AB229" s="220">
        <v>6</v>
      </c>
      <c r="AC229" s="220">
        <v>5</v>
      </c>
      <c r="AD229" s="220">
        <v>7</v>
      </c>
      <c r="AE229" s="220">
        <f t="shared" ref="AE229:AE234" si="310">AE228-Z229</f>
        <v>-379</v>
      </c>
      <c r="AF229" s="220">
        <f t="shared" ref="AF229:AF234" si="311">AF228-AA229</f>
        <v>-860</v>
      </c>
      <c r="AG229" s="220">
        <f t="shared" ref="AG229:AG234" si="312">AG228-AB229</f>
        <v>-1059</v>
      </c>
      <c r="AH229" s="220">
        <f t="shared" ref="AH229:AH234" si="313">AH228-AC229</f>
        <v>-980</v>
      </c>
      <c r="AI229" s="220">
        <f t="shared" ref="AI229:AI234" si="314">AI228-AD229</f>
        <v>-349</v>
      </c>
      <c r="AJ229" s="50">
        <f t="shared" ref="AJ229:AJ234" si="315">AJ228-AB229/1000+AK229</f>
        <v>0.6080000000000052</v>
      </c>
      <c r="AK229" s="257"/>
      <c r="AL229" s="257">
        <f t="shared" ref="AL229:AL234" si="316">AL228+AK229</f>
        <v>1.2</v>
      </c>
      <c r="AM229" s="52"/>
      <c r="AN229" s="88"/>
    </row>
    <row r="230" spans="1:40" s="29" customFormat="1" ht="17.25" customHeight="1">
      <c r="A230" s="48">
        <v>220</v>
      </c>
      <c r="B230" s="49">
        <f t="shared" si="250"/>
        <v>45804</v>
      </c>
      <c r="C230" s="220">
        <f t="shared" si="251"/>
        <v>1069</v>
      </c>
      <c r="D230" s="220">
        <f t="shared" si="224"/>
        <v>1921</v>
      </c>
      <c r="E230" s="220">
        <f t="shared" si="293"/>
        <v>2990</v>
      </c>
      <c r="F230" s="220">
        <f t="shared" si="294"/>
        <v>727</v>
      </c>
      <c r="G230" s="220">
        <f t="shared" si="295"/>
        <v>1073</v>
      </c>
      <c r="H230" s="220">
        <f t="shared" si="296"/>
        <v>1109</v>
      </c>
      <c r="I230" s="220">
        <f t="shared" si="297"/>
        <v>1130</v>
      </c>
      <c r="J230" s="220">
        <f t="shared" si="298"/>
        <v>784</v>
      </c>
      <c r="K230" s="220">
        <f t="shared" si="299"/>
        <v>2263</v>
      </c>
      <c r="L230" s="220">
        <f t="shared" si="300"/>
        <v>1917</v>
      </c>
      <c r="M230" s="220">
        <f t="shared" si="301"/>
        <v>1881</v>
      </c>
      <c r="N230" s="220">
        <f t="shared" si="302"/>
        <v>1860</v>
      </c>
      <c r="O230" s="220">
        <f t="shared" si="303"/>
        <v>2206</v>
      </c>
      <c r="P230" s="220">
        <f t="shared" ref="P230:T230" si="317">+P229</f>
        <v>2000</v>
      </c>
      <c r="Q230" s="220">
        <f t="shared" si="317"/>
        <v>2000</v>
      </c>
      <c r="R230" s="220">
        <f t="shared" si="317"/>
        <v>2000</v>
      </c>
      <c r="S230" s="220">
        <f t="shared" si="317"/>
        <v>2000</v>
      </c>
      <c r="T230" s="220">
        <f t="shared" si="317"/>
        <v>2000</v>
      </c>
      <c r="U230" s="220">
        <f t="shared" si="305"/>
        <v>263</v>
      </c>
      <c r="V230" s="220">
        <f t="shared" si="306"/>
        <v>-83</v>
      </c>
      <c r="W230" s="220">
        <f t="shared" si="307"/>
        <v>-119</v>
      </c>
      <c r="X230" s="220">
        <f t="shared" si="308"/>
        <v>-140</v>
      </c>
      <c r="Y230" s="220">
        <f t="shared" si="309"/>
        <v>206</v>
      </c>
      <c r="Z230" s="220">
        <v>7</v>
      </c>
      <c r="AA230" s="220">
        <v>4</v>
      </c>
      <c r="AB230" s="220">
        <v>4</v>
      </c>
      <c r="AC230" s="220">
        <v>5</v>
      </c>
      <c r="AD230" s="220">
        <v>7</v>
      </c>
      <c r="AE230" s="220">
        <f t="shared" si="310"/>
        <v>-386</v>
      </c>
      <c r="AF230" s="220">
        <f t="shared" si="311"/>
        <v>-864</v>
      </c>
      <c r="AG230" s="220">
        <f t="shared" si="312"/>
        <v>-1063</v>
      </c>
      <c r="AH230" s="220">
        <f t="shared" si="313"/>
        <v>-985</v>
      </c>
      <c r="AI230" s="220">
        <f t="shared" si="314"/>
        <v>-356</v>
      </c>
      <c r="AJ230" s="50">
        <f t="shared" si="315"/>
        <v>0.6040000000000052</v>
      </c>
      <c r="AK230" s="257"/>
      <c r="AL230" s="257">
        <f t="shared" si="316"/>
        <v>1.2</v>
      </c>
      <c r="AM230" s="52"/>
      <c r="AN230" s="88"/>
    </row>
    <row r="231" spans="1:40" s="29" customFormat="1" ht="17.25" customHeight="1">
      <c r="A231" s="48">
        <v>221</v>
      </c>
      <c r="B231" s="49">
        <f t="shared" si="250"/>
        <v>45805</v>
      </c>
      <c r="C231" s="220">
        <f t="shared" si="251"/>
        <v>1069</v>
      </c>
      <c r="D231" s="220">
        <f t="shared" si="224"/>
        <v>1895</v>
      </c>
      <c r="E231" s="220">
        <f t="shared" si="293"/>
        <v>2964</v>
      </c>
      <c r="F231" s="220">
        <f t="shared" si="294"/>
        <v>708</v>
      </c>
      <c r="G231" s="220">
        <f t="shared" si="295"/>
        <v>1050</v>
      </c>
      <c r="H231" s="220">
        <f t="shared" si="296"/>
        <v>1087</v>
      </c>
      <c r="I231" s="220">
        <f t="shared" si="297"/>
        <v>1108</v>
      </c>
      <c r="J231" s="220">
        <f t="shared" si="298"/>
        <v>765</v>
      </c>
      <c r="K231" s="220">
        <f t="shared" si="299"/>
        <v>2256</v>
      </c>
      <c r="L231" s="220">
        <f t="shared" si="300"/>
        <v>1914</v>
      </c>
      <c r="M231" s="220">
        <f t="shared" si="301"/>
        <v>1877</v>
      </c>
      <c r="N231" s="220">
        <f t="shared" si="302"/>
        <v>1856</v>
      </c>
      <c r="O231" s="220">
        <f t="shared" si="303"/>
        <v>2199</v>
      </c>
      <c r="P231" s="220">
        <f t="shared" ref="P231:T231" si="318">+P230</f>
        <v>2000</v>
      </c>
      <c r="Q231" s="220">
        <f t="shared" si="318"/>
        <v>2000</v>
      </c>
      <c r="R231" s="220">
        <f t="shared" si="318"/>
        <v>2000</v>
      </c>
      <c r="S231" s="220">
        <f t="shared" si="318"/>
        <v>2000</v>
      </c>
      <c r="T231" s="220">
        <f t="shared" si="318"/>
        <v>2000</v>
      </c>
      <c r="U231" s="220">
        <f t="shared" si="305"/>
        <v>256</v>
      </c>
      <c r="V231" s="220">
        <f t="shared" si="306"/>
        <v>-86</v>
      </c>
      <c r="W231" s="220">
        <f t="shared" si="307"/>
        <v>-123</v>
      </c>
      <c r="X231" s="220">
        <f t="shared" si="308"/>
        <v>-144</v>
      </c>
      <c r="Y231" s="220">
        <f t="shared" si="309"/>
        <v>199</v>
      </c>
      <c r="Z231" s="220">
        <v>7</v>
      </c>
      <c r="AA231" s="220">
        <v>3</v>
      </c>
      <c r="AB231" s="220">
        <v>4</v>
      </c>
      <c r="AC231" s="220">
        <v>4</v>
      </c>
      <c r="AD231" s="220">
        <v>7</v>
      </c>
      <c r="AE231" s="220">
        <f t="shared" si="310"/>
        <v>-393</v>
      </c>
      <c r="AF231" s="220">
        <f t="shared" si="311"/>
        <v>-867</v>
      </c>
      <c r="AG231" s="220">
        <f t="shared" si="312"/>
        <v>-1067</v>
      </c>
      <c r="AH231" s="220">
        <f t="shared" si="313"/>
        <v>-989</v>
      </c>
      <c r="AI231" s="220">
        <f t="shared" si="314"/>
        <v>-363</v>
      </c>
      <c r="AJ231" s="50">
        <f t="shared" si="315"/>
        <v>0.6000000000000052</v>
      </c>
      <c r="AK231" s="257"/>
      <c r="AL231" s="257">
        <f t="shared" si="316"/>
        <v>1.2</v>
      </c>
      <c r="AM231" s="52"/>
      <c r="AN231" s="88"/>
    </row>
    <row r="232" spans="1:40" s="29" customFormat="1" ht="17.25" customHeight="1">
      <c r="A232" s="48">
        <v>222</v>
      </c>
      <c r="B232" s="49">
        <f t="shared" si="250"/>
        <v>45806</v>
      </c>
      <c r="C232" s="220">
        <f t="shared" si="251"/>
        <v>1069</v>
      </c>
      <c r="D232" s="220">
        <f t="shared" si="224"/>
        <v>1869</v>
      </c>
      <c r="E232" s="220">
        <f t="shared" si="293"/>
        <v>2938</v>
      </c>
      <c r="F232" s="220">
        <f t="shared" si="294"/>
        <v>689</v>
      </c>
      <c r="G232" s="220">
        <f t="shared" si="295"/>
        <v>1028</v>
      </c>
      <c r="H232" s="220">
        <f t="shared" si="296"/>
        <v>1067</v>
      </c>
      <c r="I232" s="220">
        <f t="shared" si="297"/>
        <v>1085</v>
      </c>
      <c r="J232" s="220">
        <f t="shared" si="298"/>
        <v>746</v>
      </c>
      <c r="K232" s="220">
        <f t="shared" si="299"/>
        <v>2249</v>
      </c>
      <c r="L232" s="220">
        <f t="shared" si="300"/>
        <v>1910</v>
      </c>
      <c r="M232" s="220">
        <f t="shared" si="301"/>
        <v>1871</v>
      </c>
      <c r="N232" s="220">
        <f t="shared" si="302"/>
        <v>1853</v>
      </c>
      <c r="O232" s="220">
        <f t="shared" si="303"/>
        <v>2192</v>
      </c>
      <c r="P232" s="220">
        <f t="shared" ref="P232:T232" si="319">+P231</f>
        <v>2000</v>
      </c>
      <c r="Q232" s="220">
        <f t="shared" si="319"/>
        <v>2000</v>
      </c>
      <c r="R232" s="220">
        <f t="shared" si="319"/>
        <v>2000</v>
      </c>
      <c r="S232" s="220">
        <f t="shared" si="319"/>
        <v>2000</v>
      </c>
      <c r="T232" s="220">
        <f t="shared" si="319"/>
        <v>2000</v>
      </c>
      <c r="U232" s="220">
        <f t="shared" si="305"/>
        <v>249</v>
      </c>
      <c r="V232" s="220">
        <f t="shared" si="306"/>
        <v>-90</v>
      </c>
      <c r="W232" s="220">
        <f t="shared" si="307"/>
        <v>-129</v>
      </c>
      <c r="X232" s="220">
        <f t="shared" si="308"/>
        <v>-147</v>
      </c>
      <c r="Y232" s="220">
        <f t="shared" si="309"/>
        <v>192</v>
      </c>
      <c r="Z232" s="220">
        <v>7</v>
      </c>
      <c r="AA232" s="220">
        <v>4</v>
      </c>
      <c r="AB232" s="220">
        <v>6</v>
      </c>
      <c r="AC232" s="220">
        <v>3</v>
      </c>
      <c r="AD232" s="220">
        <v>7</v>
      </c>
      <c r="AE232" s="220">
        <f t="shared" si="310"/>
        <v>-400</v>
      </c>
      <c r="AF232" s="220">
        <f t="shared" si="311"/>
        <v>-871</v>
      </c>
      <c r="AG232" s="220">
        <f t="shared" si="312"/>
        <v>-1073</v>
      </c>
      <c r="AH232" s="220">
        <f t="shared" si="313"/>
        <v>-992</v>
      </c>
      <c r="AI232" s="220">
        <f t="shared" si="314"/>
        <v>-370</v>
      </c>
      <c r="AJ232" s="50">
        <f t="shared" si="315"/>
        <v>0.59400000000000519</v>
      </c>
      <c r="AK232" s="257"/>
      <c r="AL232" s="257">
        <f t="shared" si="316"/>
        <v>1.2</v>
      </c>
      <c r="AM232" s="52"/>
      <c r="AN232" s="88"/>
    </row>
    <row r="233" spans="1:40" s="29" customFormat="1" ht="17.25" customHeight="1">
      <c r="A233" s="48">
        <v>223</v>
      </c>
      <c r="B233" s="49">
        <f t="shared" si="250"/>
        <v>45807</v>
      </c>
      <c r="C233" s="220">
        <f t="shared" si="251"/>
        <v>1069</v>
      </c>
      <c r="D233" s="220">
        <f t="shared" si="224"/>
        <v>1843</v>
      </c>
      <c r="E233" s="220">
        <f t="shared" si="293"/>
        <v>2912</v>
      </c>
      <c r="F233" s="220">
        <f t="shared" si="294"/>
        <v>670</v>
      </c>
      <c r="G233" s="220">
        <f t="shared" si="295"/>
        <v>1006</v>
      </c>
      <c r="H233" s="220">
        <f t="shared" si="296"/>
        <v>1045</v>
      </c>
      <c r="I233" s="220">
        <f t="shared" si="297"/>
        <v>1062</v>
      </c>
      <c r="J233" s="220">
        <f t="shared" si="298"/>
        <v>727</v>
      </c>
      <c r="K233" s="220">
        <f t="shared" si="299"/>
        <v>2242</v>
      </c>
      <c r="L233" s="220">
        <f t="shared" si="300"/>
        <v>1906</v>
      </c>
      <c r="M233" s="220">
        <f t="shared" si="301"/>
        <v>1867</v>
      </c>
      <c r="N233" s="220">
        <f t="shared" si="302"/>
        <v>1850</v>
      </c>
      <c r="O233" s="220">
        <f t="shared" si="303"/>
        <v>2185</v>
      </c>
      <c r="P233" s="220">
        <f t="shared" ref="P233:T233" si="320">+P232</f>
        <v>2000</v>
      </c>
      <c r="Q233" s="220">
        <f t="shared" si="320"/>
        <v>2000</v>
      </c>
      <c r="R233" s="220">
        <f t="shared" si="320"/>
        <v>2000</v>
      </c>
      <c r="S233" s="220">
        <f t="shared" si="320"/>
        <v>2000</v>
      </c>
      <c r="T233" s="220">
        <f t="shared" si="320"/>
        <v>2000</v>
      </c>
      <c r="U233" s="220">
        <f t="shared" si="305"/>
        <v>242</v>
      </c>
      <c r="V233" s="220">
        <f t="shared" si="306"/>
        <v>-94</v>
      </c>
      <c r="W233" s="220">
        <f t="shared" si="307"/>
        <v>-133</v>
      </c>
      <c r="X233" s="220">
        <f t="shared" si="308"/>
        <v>-150</v>
      </c>
      <c r="Y233" s="220">
        <f t="shared" si="309"/>
        <v>185</v>
      </c>
      <c r="Z233" s="220">
        <v>7</v>
      </c>
      <c r="AA233" s="220">
        <v>4</v>
      </c>
      <c r="AB233" s="220">
        <v>4</v>
      </c>
      <c r="AC233" s="220">
        <v>3</v>
      </c>
      <c r="AD233" s="220">
        <v>7</v>
      </c>
      <c r="AE233" s="220">
        <f t="shared" si="310"/>
        <v>-407</v>
      </c>
      <c r="AF233" s="220">
        <f t="shared" si="311"/>
        <v>-875</v>
      </c>
      <c r="AG233" s="220">
        <f t="shared" si="312"/>
        <v>-1077</v>
      </c>
      <c r="AH233" s="220">
        <f t="shared" si="313"/>
        <v>-995</v>
      </c>
      <c r="AI233" s="220">
        <f t="shared" si="314"/>
        <v>-377</v>
      </c>
      <c r="AJ233" s="50">
        <f t="shared" si="315"/>
        <v>0.59000000000000519</v>
      </c>
      <c r="AK233" s="257"/>
      <c r="AL233" s="257">
        <f t="shared" si="316"/>
        <v>1.2</v>
      </c>
      <c r="AM233" s="52"/>
      <c r="AN233" s="88"/>
    </row>
    <row r="234" spans="1:40" s="29" customFormat="1" ht="17.25" customHeight="1">
      <c r="A234" s="48">
        <v>224</v>
      </c>
      <c r="B234" s="49">
        <f t="shared" si="250"/>
        <v>45808</v>
      </c>
      <c r="C234" s="220">
        <f t="shared" si="251"/>
        <v>1069</v>
      </c>
      <c r="D234" s="220">
        <f t="shared" si="224"/>
        <v>1817</v>
      </c>
      <c r="E234" s="220">
        <f t="shared" si="293"/>
        <v>2886</v>
      </c>
      <c r="F234" s="220">
        <f t="shared" si="294"/>
        <v>651</v>
      </c>
      <c r="G234" s="220">
        <f t="shared" si="295"/>
        <v>983</v>
      </c>
      <c r="H234" s="220">
        <f t="shared" si="296"/>
        <v>1023</v>
      </c>
      <c r="I234" s="220">
        <f t="shared" si="297"/>
        <v>1039</v>
      </c>
      <c r="J234" s="220">
        <f t="shared" si="298"/>
        <v>708</v>
      </c>
      <c r="K234" s="220">
        <f t="shared" si="299"/>
        <v>2235</v>
      </c>
      <c r="L234" s="220">
        <f t="shared" si="300"/>
        <v>1903</v>
      </c>
      <c r="M234" s="220">
        <f t="shared" si="301"/>
        <v>1863</v>
      </c>
      <c r="N234" s="220">
        <f t="shared" si="302"/>
        <v>1847</v>
      </c>
      <c r="O234" s="220">
        <f t="shared" si="303"/>
        <v>2178</v>
      </c>
      <c r="P234" s="220">
        <f t="shared" ref="P234:T234" si="321">+P233</f>
        <v>2000</v>
      </c>
      <c r="Q234" s="220">
        <f t="shared" si="321"/>
        <v>2000</v>
      </c>
      <c r="R234" s="220">
        <f t="shared" si="321"/>
        <v>2000</v>
      </c>
      <c r="S234" s="220">
        <f t="shared" si="321"/>
        <v>2000</v>
      </c>
      <c r="T234" s="220">
        <f t="shared" si="321"/>
        <v>2000</v>
      </c>
      <c r="U234" s="220">
        <f t="shared" si="305"/>
        <v>235</v>
      </c>
      <c r="V234" s="220">
        <f t="shared" si="306"/>
        <v>-97</v>
      </c>
      <c r="W234" s="220">
        <f t="shared" si="307"/>
        <v>-137</v>
      </c>
      <c r="X234" s="220">
        <f t="shared" si="308"/>
        <v>-153</v>
      </c>
      <c r="Y234" s="220">
        <f t="shared" si="309"/>
        <v>178</v>
      </c>
      <c r="Z234" s="220">
        <v>7</v>
      </c>
      <c r="AA234" s="220">
        <v>3</v>
      </c>
      <c r="AB234" s="220">
        <v>4</v>
      </c>
      <c r="AC234" s="220">
        <v>3</v>
      </c>
      <c r="AD234" s="220">
        <v>7</v>
      </c>
      <c r="AE234" s="220">
        <f t="shared" si="310"/>
        <v>-414</v>
      </c>
      <c r="AF234" s="220">
        <f t="shared" si="311"/>
        <v>-878</v>
      </c>
      <c r="AG234" s="220">
        <f t="shared" si="312"/>
        <v>-1081</v>
      </c>
      <c r="AH234" s="220">
        <f t="shared" si="313"/>
        <v>-998</v>
      </c>
      <c r="AI234" s="220">
        <f t="shared" si="314"/>
        <v>-384</v>
      </c>
      <c r="AJ234" s="50">
        <f t="shared" si="315"/>
        <v>0.58600000000000518</v>
      </c>
      <c r="AK234" s="257"/>
      <c r="AL234" s="257">
        <f t="shared" si="316"/>
        <v>1.2</v>
      </c>
      <c r="AM234" s="52"/>
      <c r="AN234" s="88"/>
    </row>
    <row r="235" spans="1:40" s="29" customFormat="1" ht="17.25" customHeight="1">
      <c r="A235" s="48"/>
      <c r="B235" s="49"/>
      <c r="C235" s="220"/>
      <c r="D235" s="220"/>
      <c r="E235" s="220"/>
      <c r="F235" s="220"/>
      <c r="G235" s="220"/>
      <c r="H235" s="220"/>
      <c r="I235" s="220"/>
      <c r="J235" s="220"/>
      <c r="K235" s="220"/>
      <c r="L235" s="220"/>
      <c r="M235" s="220"/>
      <c r="N235" s="220"/>
      <c r="O235" s="220"/>
      <c r="P235" s="220"/>
      <c r="Q235" s="220"/>
      <c r="R235" s="220"/>
      <c r="S235" s="220"/>
      <c r="T235" s="220"/>
      <c r="U235" s="220"/>
      <c r="V235" s="220"/>
      <c r="W235" s="220"/>
      <c r="X235" s="220"/>
      <c r="Y235" s="220"/>
      <c r="Z235" s="220"/>
      <c r="AA235" s="220"/>
      <c r="AB235" s="220"/>
      <c r="AC235" s="220"/>
      <c r="AD235" s="220"/>
      <c r="AE235" s="220"/>
      <c r="AF235" s="220"/>
      <c r="AG235" s="220"/>
      <c r="AH235" s="220"/>
      <c r="AI235" s="220"/>
      <c r="AJ235" s="50"/>
      <c r="AK235" s="257"/>
      <c r="AL235" s="257"/>
      <c r="AM235" s="52"/>
      <c r="AN235" s="88"/>
    </row>
    <row r="236" spans="1:40" s="29" customFormat="1" ht="17.25" customHeight="1">
      <c r="A236" s="48"/>
      <c r="B236" s="49"/>
      <c r="C236" s="220"/>
      <c r="D236" s="220"/>
      <c r="E236" s="220"/>
      <c r="F236" s="220"/>
      <c r="G236" s="220"/>
      <c r="H236" s="220"/>
      <c r="I236" s="220"/>
      <c r="J236" s="220"/>
      <c r="K236" s="220"/>
      <c r="L236" s="220"/>
      <c r="M236" s="220"/>
      <c r="N236" s="220"/>
      <c r="O236" s="220"/>
      <c r="P236" s="220"/>
      <c r="Q236" s="220"/>
      <c r="R236" s="220"/>
      <c r="S236" s="220"/>
      <c r="T236" s="220"/>
      <c r="U236" s="220"/>
      <c r="V236" s="220"/>
      <c r="W236" s="220"/>
      <c r="X236" s="220"/>
      <c r="Y236" s="220"/>
      <c r="Z236" s="220">
        <f>SUM(Z11:Z235)</f>
        <v>410</v>
      </c>
      <c r="AA236" s="220">
        <f>SUM(AA11:AA235)</f>
        <v>878</v>
      </c>
      <c r="AB236" s="220">
        <f>SUM(AB11:AB235)</f>
        <v>1081</v>
      </c>
      <c r="AC236" s="220">
        <f>SUM(AC11:AC235)</f>
        <v>998</v>
      </c>
      <c r="AD236" s="220">
        <f>SUM(AD11:AD235)</f>
        <v>384</v>
      </c>
      <c r="AE236" s="220"/>
      <c r="AF236" s="220"/>
      <c r="AG236" s="220"/>
      <c r="AH236" s="220"/>
      <c r="AI236" s="220"/>
      <c r="AJ236" s="50"/>
      <c r="AK236" s="257"/>
      <c r="AL236" s="257"/>
      <c r="AM236" s="52"/>
      <c r="AN236" s="88"/>
    </row>
    <row r="237" spans="1:40" s="29" customFormat="1" ht="17.25" customHeight="1">
      <c r="A237" s="48"/>
      <c r="B237" s="49"/>
      <c r="C237" s="220"/>
      <c r="D237" s="220"/>
      <c r="E237" s="220"/>
      <c r="F237" s="220"/>
      <c r="G237" s="220"/>
      <c r="H237" s="220"/>
      <c r="I237" s="220"/>
      <c r="J237" s="220"/>
      <c r="K237" s="220"/>
      <c r="L237" s="220"/>
      <c r="M237" s="220"/>
      <c r="N237" s="220"/>
      <c r="O237" s="220"/>
      <c r="P237" s="220"/>
      <c r="Q237" s="220"/>
      <c r="R237" s="220"/>
      <c r="S237" s="220"/>
      <c r="T237" s="220"/>
      <c r="U237" s="220"/>
      <c r="V237" s="220"/>
      <c r="W237" s="220"/>
      <c r="X237" s="220"/>
      <c r="Y237" s="220"/>
      <c r="Z237" s="220"/>
      <c r="AA237" s="220"/>
      <c r="AB237" s="220"/>
      <c r="AC237" s="220"/>
      <c r="AD237" s="220"/>
      <c r="AE237" s="220"/>
      <c r="AF237" s="220"/>
      <c r="AG237" s="220"/>
      <c r="AH237" s="220"/>
      <c r="AI237" s="220"/>
      <c r="AJ237" s="50"/>
      <c r="AK237" s="257"/>
      <c r="AL237" s="257"/>
      <c r="AM237" s="52"/>
      <c r="AN237" s="88"/>
    </row>
    <row r="238" spans="1:40" s="29" customFormat="1" ht="17.25" customHeight="1">
      <c r="A238" s="48"/>
      <c r="B238" s="49"/>
      <c r="C238" s="220"/>
      <c r="D238" s="220"/>
      <c r="E238" s="220"/>
      <c r="F238" s="220"/>
      <c r="G238" s="220"/>
      <c r="H238" s="220"/>
      <c r="I238" s="220"/>
      <c r="J238" s="220"/>
      <c r="K238" s="220"/>
      <c r="L238" s="220"/>
      <c r="M238" s="220"/>
      <c r="N238" s="220"/>
      <c r="O238" s="220"/>
      <c r="P238" s="220"/>
      <c r="Q238" s="220"/>
      <c r="R238" s="220"/>
      <c r="S238" s="220"/>
      <c r="T238" s="220"/>
      <c r="U238" s="220"/>
      <c r="V238" s="220"/>
      <c r="W238" s="220"/>
      <c r="X238" s="220"/>
      <c r="Y238" s="220"/>
      <c r="Z238" s="220">
        <v>508</v>
      </c>
      <c r="AA238" s="220">
        <v>878</v>
      </c>
      <c r="AB238" s="220">
        <v>1081</v>
      </c>
      <c r="AC238" s="220">
        <v>998</v>
      </c>
      <c r="AD238" s="220">
        <v>456</v>
      </c>
      <c r="AE238" s="220"/>
      <c r="AF238" s="220"/>
      <c r="AG238" s="220"/>
      <c r="AH238" s="220"/>
      <c r="AI238" s="220"/>
      <c r="AJ238" s="50"/>
      <c r="AK238" s="257"/>
      <c r="AL238" s="257"/>
      <c r="AM238" s="52"/>
      <c r="AN238" s="88"/>
    </row>
    <row r="239" spans="1:40" s="29" customFormat="1" ht="17.25" customHeight="1">
      <c r="A239" s="48"/>
      <c r="B239" s="49"/>
      <c r="C239" s="220"/>
      <c r="D239" s="220"/>
      <c r="E239" s="220"/>
      <c r="F239" s="220"/>
      <c r="G239" s="220"/>
      <c r="H239" s="220"/>
      <c r="I239" s="220"/>
      <c r="J239" s="220"/>
      <c r="K239" s="220"/>
      <c r="L239" s="220"/>
      <c r="M239" s="220"/>
      <c r="N239" s="220"/>
      <c r="O239" s="220"/>
      <c r="P239" s="220"/>
      <c r="Q239" s="220"/>
      <c r="R239" s="220"/>
      <c r="S239" s="220"/>
      <c r="T239" s="220"/>
      <c r="U239" s="220"/>
      <c r="V239" s="220"/>
      <c r="W239" s="220"/>
      <c r="X239" s="220"/>
      <c r="Y239" s="220"/>
      <c r="Z239" s="220"/>
      <c r="AA239" s="220"/>
      <c r="AB239" s="220"/>
      <c r="AC239" s="220"/>
      <c r="AD239" s="220"/>
      <c r="AE239" s="220"/>
      <c r="AF239" s="220"/>
      <c r="AG239" s="220"/>
      <c r="AH239" s="220"/>
      <c r="AI239" s="220"/>
      <c r="AJ239" s="50"/>
      <c r="AK239" s="257"/>
      <c r="AL239" s="257"/>
      <c r="AM239" s="52"/>
      <c r="AN239" s="88"/>
    </row>
    <row r="240" spans="1:40" s="29" customFormat="1" ht="17.25" customHeight="1">
      <c r="A240" s="48"/>
      <c r="B240" s="49"/>
      <c r="C240" s="220"/>
      <c r="D240" s="220"/>
      <c r="E240" s="220"/>
      <c r="F240" s="220"/>
      <c r="G240" s="220"/>
      <c r="H240" s="220"/>
      <c r="I240" s="220"/>
      <c r="J240" s="220"/>
      <c r="K240" s="220"/>
      <c r="L240" s="220"/>
      <c r="M240" s="220"/>
      <c r="N240" s="220"/>
      <c r="O240" s="220"/>
      <c r="P240" s="220"/>
      <c r="Q240" s="220"/>
      <c r="R240" s="220"/>
      <c r="S240" s="220"/>
      <c r="T240" s="220"/>
      <c r="U240" s="220"/>
      <c r="V240" s="220"/>
      <c r="W240" s="220"/>
      <c r="X240" s="220"/>
      <c r="Y240" s="220"/>
      <c r="Z240" s="220">
        <f>Z236-Z238</f>
        <v>-98</v>
      </c>
      <c r="AA240" s="220">
        <f t="shared" ref="AA240:AD240" si="322">AA236-AA238</f>
        <v>0</v>
      </c>
      <c r="AB240" s="220">
        <f t="shared" si="322"/>
        <v>0</v>
      </c>
      <c r="AC240" s="220">
        <f t="shared" si="322"/>
        <v>0</v>
      </c>
      <c r="AD240" s="220">
        <f t="shared" si="322"/>
        <v>-72</v>
      </c>
      <c r="AE240" s="220"/>
      <c r="AF240" s="220"/>
      <c r="AG240" s="220"/>
      <c r="AH240" s="220"/>
      <c r="AI240" s="220"/>
      <c r="AJ240" s="50"/>
      <c r="AK240" s="257"/>
      <c r="AL240" s="257"/>
      <c r="AM240" s="52"/>
      <c r="AN240" s="88"/>
    </row>
    <row r="241" spans="1:40" s="29" customFormat="1" ht="17.25" customHeight="1">
      <c r="A241" s="48"/>
      <c r="B241" s="49"/>
      <c r="C241" s="220"/>
      <c r="D241" s="220"/>
      <c r="E241" s="220"/>
      <c r="F241" s="220"/>
      <c r="G241" s="220"/>
      <c r="H241" s="220"/>
      <c r="I241" s="220"/>
      <c r="J241" s="220"/>
      <c r="K241" s="220"/>
      <c r="L241" s="220"/>
      <c r="M241" s="220"/>
      <c r="N241" s="220"/>
      <c r="O241" s="220"/>
      <c r="P241" s="220"/>
      <c r="Q241" s="220"/>
      <c r="R241" s="220"/>
      <c r="S241" s="220"/>
      <c r="T241" s="220"/>
      <c r="U241" s="220"/>
      <c r="V241" s="220"/>
      <c r="W241" s="220"/>
      <c r="X241" s="220"/>
      <c r="Y241" s="220"/>
      <c r="Z241" s="220"/>
      <c r="AA241" s="220"/>
      <c r="AB241" s="220"/>
      <c r="AC241" s="220"/>
      <c r="AD241" s="220"/>
      <c r="AE241" s="220"/>
      <c r="AF241" s="220"/>
      <c r="AG241" s="220"/>
      <c r="AH241" s="220"/>
      <c r="AI241" s="220"/>
      <c r="AJ241" s="50"/>
      <c r="AK241" s="257"/>
      <c r="AL241" s="257"/>
      <c r="AM241" s="52"/>
      <c r="AN241" s="88"/>
    </row>
    <row r="242" spans="1:40" s="29" customFormat="1" ht="17.25" customHeight="1">
      <c r="A242" s="48"/>
      <c r="B242" s="49"/>
      <c r="C242" s="220"/>
      <c r="D242" s="220"/>
      <c r="E242" s="220"/>
      <c r="F242" s="220"/>
      <c r="G242" s="220"/>
      <c r="H242" s="220"/>
      <c r="I242" s="220"/>
      <c r="J242" s="220"/>
      <c r="K242" s="220"/>
      <c r="L242" s="220"/>
      <c r="M242" s="220"/>
      <c r="N242" s="220"/>
      <c r="O242" s="220"/>
      <c r="P242" s="220"/>
      <c r="Q242" s="220"/>
      <c r="R242" s="220"/>
      <c r="S242" s="220"/>
      <c r="T242" s="220"/>
      <c r="U242" s="220"/>
      <c r="V242" s="220"/>
      <c r="W242" s="220"/>
      <c r="X242" s="220"/>
      <c r="Y242" s="220"/>
      <c r="Z242" s="220"/>
      <c r="AA242" s="220"/>
      <c r="AB242" s="220"/>
      <c r="AC242" s="220"/>
      <c r="AD242" s="220"/>
      <c r="AE242" s="220"/>
      <c r="AF242" s="220"/>
      <c r="AG242" s="220"/>
      <c r="AH242" s="220"/>
      <c r="AI242" s="220"/>
      <c r="AJ242" s="50"/>
      <c r="AK242" s="257"/>
      <c r="AL242" s="257"/>
      <c r="AM242" s="52"/>
      <c r="AN242" s="88"/>
    </row>
    <row r="243" spans="1:40" s="29" customFormat="1" ht="17.25" customHeight="1">
      <c r="A243" s="48"/>
      <c r="B243" s="49"/>
      <c r="C243" s="220"/>
      <c r="D243" s="220"/>
      <c r="E243" s="220"/>
      <c r="F243" s="220"/>
      <c r="G243" s="220"/>
      <c r="H243" s="220"/>
      <c r="I243" s="220"/>
      <c r="J243" s="220"/>
      <c r="K243" s="220"/>
      <c r="L243" s="220"/>
      <c r="M243" s="220"/>
      <c r="N243" s="220"/>
      <c r="O243" s="220"/>
      <c r="P243" s="220"/>
      <c r="Q243" s="220"/>
      <c r="R243" s="220"/>
      <c r="S243" s="220"/>
      <c r="T243" s="220"/>
      <c r="U243" s="220"/>
      <c r="V243" s="220"/>
      <c r="W243" s="220"/>
      <c r="X243" s="220"/>
      <c r="Y243" s="220"/>
      <c r="Z243" s="220"/>
      <c r="AA243" s="220"/>
      <c r="AB243" s="220"/>
      <c r="AC243" s="220"/>
      <c r="AD243" s="220"/>
      <c r="AE243" s="220"/>
      <c r="AF243" s="220"/>
      <c r="AG243" s="220"/>
      <c r="AH243" s="220"/>
      <c r="AI243" s="220"/>
      <c r="AJ243" s="50"/>
      <c r="AK243" s="257"/>
      <c r="AL243" s="257"/>
      <c r="AM243" s="52"/>
      <c r="AN243" s="88"/>
    </row>
    <row r="244" spans="1:40" s="29" customFormat="1" ht="17.25" customHeight="1">
      <c r="A244" s="48"/>
      <c r="B244" s="49"/>
      <c r="C244" s="220"/>
      <c r="D244" s="220"/>
      <c r="E244" s="220"/>
      <c r="F244" s="220"/>
      <c r="G244" s="220"/>
      <c r="H244" s="220"/>
      <c r="I244" s="220"/>
      <c r="J244" s="220"/>
      <c r="K244" s="220"/>
      <c r="L244" s="220"/>
      <c r="M244" s="220"/>
      <c r="N244" s="220"/>
      <c r="O244" s="220"/>
      <c r="P244" s="220"/>
      <c r="Q244" s="220"/>
      <c r="R244" s="220"/>
      <c r="S244" s="220"/>
      <c r="T244" s="220"/>
      <c r="U244" s="220"/>
      <c r="V244" s="220"/>
      <c r="W244" s="220"/>
      <c r="X244" s="220"/>
      <c r="Y244" s="220"/>
      <c r="Z244" s="220"/>
      <c r="AA244" s="220"/>
      <c r="AB244" s="220"/>
      <c r="AC244" s="220"/>
      <c r="AD244" s="220"/>
      <c r="AE244" s="220"/>
      <c r="AF244" s="220"/>
      <c r="AG244" s="220"/>
      <c r="AH244" s="220"/>
      <c r="AI244" s="220"/>
      <c r="AJ244" s="50"/>
      <c r="AK244" s="257"/>
      <c r="AL244" s="257"/>
      <c r="AM244" s="52"/>
      <c r="AN244" s="88"/>
    </row>
    <row r="245" spans="1:40" s="29" customFormat="1" ht="17.25" customHeight="1">
      <c r="A245" s="48"/>
      <c r="B245" s="49"/>
      <c r="C245" s="220"/>
      <c r="D245" s="220"/>
      <c r="E245" s="220"/>
      <c r="F245" s="220"/>
      <c r="G245" s="220"/>
      <c r="H245" s="220"/>
      <c r="I245" s="220"/>
      <c r="J245" s="220"/>
      <c r="K245" s="220"/>
      <c r="L245" s="220"/>
      <c r="M245" s="220"/>
      <c r="N245" s="220"/>
      <c r="O245" s="220"/>
      <c r="P245" s="220"/>
      <c r="Q245" s="220"/>
      <c r="R245" s="220"/>
      <c r="S245" s="220"/>
      <c r="T245" s="220"/>
      <c r="U245" s="220"/>
      <c r="V245" s="220"/>
      <c r="W245" s="220"/>
      <c r="X245" s="220"/>
      <c r="Y245" s="220"/>
      <c r="Z245" s="220"/>
      <c r="AA245" s="220"/>
      <c r="AB245" s="220"/>
      <c r="AC245" s="220"/>
      <c r="AD245" s="220"/>
      <c r="AE245" s="220"/>
      <c r="AF245" s="220"/>
      <c r="AG245" s="220"/>
      <c r="AH245" s="220"/>
      <c r="AI245" s="220"/>
      <c r="AJ245" s="50"/>
      <c r="AK245" s="257"/>
      <c r="AL245" s="257"/>
      <c r="AM245" s="52"/>
      <c r="AN245" s="88"/>
    </row>
    <row r="246" spans="1:40" s="29" customFormat="1" ht="17.25" customHeight="1">
      <c r="A246" s="48"/>
      <c r="B246" s="49"/>
      <c r="C246" s="220"/>
      <c r="D246" s="220"/>
      <c r="E246" s="220"/>
      <c r="F246" s="220"/>
      <c r="G246" s="220"/>
      <c r="H246" s="220"/>
      <c r="I246" s="220"/>
      <c r="J246" s="220"/>
      <c r="K246" s="220"/>
      <c r="L246" s="220"/>
      <c r="M246" s="220"/>
      <c r="N246" s="220"/>
      <c r="O246" s="220"/>
      <c r="P246" s="220"/>
      <c r="Q246" s="220"/>
      <c r="R246" s="220"/>
      <c r="S246" s="220"/>
      <c r="T246" s="220"/>
      <c r="U246" s="220"/>
      <c r="V246" s="220"/>
      <c r="W246" s="220"/>
      <c r="X246" s="220"/>
      <c r="Y246" s="220"/>
      <c r="Z246" s="220"/>
      <c r="AA246" s="220"/>
      <c r="AB246" s="220"/>
      <c r="AC246" s="220"/>
      <c r="AD246" s="220"/>
      <c r="AE246" s="220"/>
      <c r="AF246" s="220"/>
      <c r="AG246" s="220"/>
      <c r="AH246" s="220"/>
      <c r="AI246" s="220"/>
      <c r="AJ246" s="50"/>
      <c r="AK246" s="257"/>
      <c r="AL246" s="257"/>
      <c r="AM246" s="52"/>
      <c r="AN246" s="88"/>
    </row>
    <row r="247" spans="1:40" s="29" customFormat="1" ht="17.25" customHeight="1">
      <c r="A247" s="48"/>
      <c r="B247" s="49"/>
      <c r="C247" s="220"/>
      <c r="D247" s="220"/>
      <c r="E247" s="220"/>
      <c r="F247" s="220"/>
      <c r="G247" s="220"/>
      <c r="H247" s="220"/>
      <c r="I247" s="220"/>
      <c r="J247" s="220"/>
      <c r="K247" s="220"/>
      <c r="L247" s="220"/>
      <c r="M247" s="220"/>
      <c r="N247" s="220"/>
      <c r="O247" s="220"/>
      <c r="P247" s="220"/>
      <c r="Q247" s="220"/>
      <c r="R247" s="220"/>
      <c r="S247" s="220"/>
      <c r="T247" s="220"/>
      <c r="U247" s="220"/>
      <c r="V247" s="220"/>
      <c r="W247" s="220"/>
      <c r="X247" s="220"/>
      <c r="Y247" s="220"/>
      <c r="Z247" s="220"/>
      <c r="AA247" s="220"/>
      <c r="AB247" s="220"/>
      <c r="AC247" s="220"/>
      <c r="AD247" s="220"/>
      <c r="AE247" s="220"/>
      <c r="AF247" s="220"/>
      <c r="AG247" s="220"/>
      <c r="AH247" s="220"/>
      <c r="AI247" s="220"/>
      <c r="AJ247" s="50"/>
      <c r="AK247" s="257"/>
      <c r="AL247" s="257"/>
      <c r="AM247" s="52"/>
      <c r="AN247" s="88"/>
    </row>
    <row r="248" spans="1:40" s="29" customFormat="1" ht="17.25" customHeight="1">
      <c r="A248" s="48"/>
      <c r="B248" s="49"/>
      <c r="C248" s="220"/>
      <c r="D248" s="220"/>
      <c r="E248" s="220"/>
      <c r="F248" s="220"/>
      <c r="G248" s="220"/>
      <c r="H248" s="220"/>
      <c r="I248" s="220"/>
      <c r="J248" s="220"/>
      <c r="K248" s="220"/>
      <c r="L248" s="220"/>
      <c r="M248" s="220"/>
      <c r="N248" s="220"/>
      <c r="O248" s="220"/>
      <c r="P248" s="220"/>
      <c r="Q248" s="220"/>
      <c r="R248" s="220"/>
      <c r="S248" s="220"/>
      <c r="T248" s="220"/>
      <c r="U248" s="220"/>
      <c r="V248" s="220"/>
      <c r="W248" s="220"/>
      <c r="X248" s="220"/>
      <c r="Y248" s="220"/>
      <c r="Z248" s="220"/>
      <c r="AA248" s="220"/>
      <c r="AB248" s="220"/>
      <c r="AC248" s="220"/>
      <c r="AD248" s="220"/>
      <c r="AE248" s="220"/>
      <c r="AF248" s="220"/>
      <c r="AG248" s="220"/>
      <c r="AH248" s="220"/>
      <c r="AI248" s="220"/>
      <c r="AJ248" s="50"/>
      <c r="AK248" s="257"/>
      <c r="AL248" s="257"/>
      <c r="AM248" s="52"/>
      <c r="AN248" s="88"/>
    </row>
    <row r="249" spans="1:40" s="29" customFormat="1" ht="17.25" customHeight="1">
      <c r="A249" s="48"/>
      <c r="B249" s="49"/>
      <c r="C249" s="220"/>
      <c r="D249" s="220"/>
      <c r="E249" s="220"/>
      <c r="F249" s="220"/>
      <c r="G249" s="220"/>
      <c r="H249" s="220"/>
      <c r="I249" s="220"/>
      <c r="J249" s="220"/>
      <c r="K249" s="220"/>
      <c r="L249" s="220"/>
      <c r="M249" s="220"/>
      <c r="N249" s="220"/>
      <c r="O249" s="220"/>
      <c r="P249" s="220"/>
      <c r="Q249" s="220"/>
      <c r="R249" s="220"/>
      <c r="S249" s="220"/>
      <c r="T249" s="220"/>
      <c r="U249" s="220"/>
      <c r="V249" s="220"/>
      <c r="W249" s="220"/>
      <c r="X249" s="220"/>
      <c r="Y249" s="220"/>
      <c r="Z249" s="220"/>
      <c r="AA249" s="220"/>
      <c r="AB249" s="220"/>
      <c r="AC249" s="220"/>
      <c r="AD249" s="220"/>
      <c r="AE249" s="220"/>
      <c r="AF249" s="220"/>
      <c r="AG249" s="220"/>
      <c r="AH249" s="220"/>
      <c r="AI249" s="220"/>
      <c r="AJ249" s="50"/>
      <c r="AK249" s="257"/>
      <c r="AL249" s="257"/>
      <c r="AM249" s="52"/>
      <c r="AN249" s="88"/>
    </row>
    <row r="250" spans="1:40" s="29" customFormat="1" ht="17.25" customHeight="1">
      <c r="A250" s="48"/>
      <c r="B250" s="49"/>
      <c r="C250" s="220"/>
      <c r="D250" s="220"/>
      <c r="E250" s="220"/>
      <c r="F250" s="220"/>
      <c r="G250" s="220"/>
      <c r="H250" s="220"/>
      <c r="I250" s="220"/>
      <c r="J250" s="220"/>
      <c r="K250" s="220"/>
      <c r="L250" s="220"/>
      <c r="M250" s="220"/>
      <c r="N250" s="220"/>
      <c r="O250" s="220"/>
      <c r="P250" s="220"/>
      <c r="Q250" s="220"/>
      <c r="R250" s="220"/>
      <c r="S250" s="220"/>
      <c r="T250" s="220"/>
      <c r="U250" s="220"/>
      <c r="V250" s="220"/>
      <c r="W250" s="220"/>
      <c r="X250" s="220"/>
      <c r="Y250" s="220"/>
      <c r="Z250" s="220"/>
      <c r="AA250" s="220"/>
      <c r="AB250" s="220"/>
      <c r="AC250" s="220"/>
      <c r="AD250" s="220"/>
      <c r="AE250" s="220"/>
      <c r="AF250" s="220"/>
      <c r="AG250" s="220"/>
      <c r="AH250" s="220"/>
      <c r="AI250" s="220"/>
      <c r="AJ250" s="50"/>
      <c r="AK250" s="257"/>
      <c r="AL250" s="257"/>
      <c r="AM250" s="52"/>
      <c r="AN250" s="88"/>
    </row>
    <row r="251" spans="1:40" s="29" customFormat="1" ht="17.25" customHeight="1">
      <c r="A251" s="48"/>
      <c r="B251" s="49"/>
      <c r="C251" s="220"/>
      <c r="D251" s="220"/>
      <c r="E251" s="220"/>
      <c r="F251" s="220"/>
      <c r="G251" s="220"/>
      <c r="H251" s="220"/>
      <c r="I251" s="220"/>
      <c r="J251" s="220"/>
      <c r="K251" s="220"/>
      <c r="L251" s="220"/>
      <c r="M251" s="220"/>
      <c r="N251" s="220"/>
      <c r="O251" s="220"/>
      <c r="P251" s="220"/>
      <c r="Q251" s="220"/>
      <c r="R251" s="220"/>
      <c r="S251" s="220"/>
      <c r="T251" s="220"/>
      <c r="U251" s="220"/>
      <c r="V251" s="220"/>
      <c r="W251" s="220"/>
      <c r="X251" s="220"/>
      <c r="Y251" s="220"/>
      <c r="Z251" s="220"/>
      <c r="AA251" s="220"/>
      <c r="AB251" s="220"/>
      <c r="AC251" s="220"/>
      <c r="AD251" s="220"/>
      <c r="AE251" s="220"/>
      <c r="AF251" s="220"/>
      <c r="AG251" s="220"/>
      <c r="AH251" s="220"/>
      <c r="AI251" s="220"/>
      <c r="AJ251" s="50"/>
      <c r="AK251" s="257"/>
      <c r="AL251" s="257"/>
      <c r="AM251" s="52"/>
      <c r="AN251" s="88"/>
    </row>
    <row r="252" spans="1:40" s="29" customFormat="1" ht="17.25" customHeight="1">
      <c r="A252" s="48"/>
      <c r="B252" s="49"/>
      <c r="C252" s="220"/>
      <c r="D252" s="220"/>
      <c r="E252" s="220"/>
      <c r="F252" s="220"/>
      <c r="G252" s="220"/>
      <c r="H252" s="220"/>
      <c r="I252" s="220"/>
      <c r="J252" s="220"/>
      <c r="K252" s="220"/>
      <c r="L252" s="220"/>
      <c r="M252" s="220"/>
      <c r="N252" s="220"/>
      <c r="O252" s="220"/>
      <c r="P252" s="220"/>
      <c r="Q252" s="220"/>
      <c r="R252" s="220"/>
      <c r="S252" s="220"/>
      <c r="T252" s="220"/>
      <c r="U252" s="220"/>
      <c r="V252" s="220"/>
      <c r="W252" s="220"/>
      <c r="X252" s="220"/>
      <c r="Y252" s="220"/>
      <c r="Z252" s="220"/>
      <c r="AA252" s="220"/>
      <c r="AB252" s="220"/>
      <c r="AC252" s="220"/>
      <c r="AD252" s="220"/>
      <c r="AE252" s="220"/>
      <c r="AF252" s="220"/>
      <c r="AG252" s="220"/>
      <c r="AH252" s="220"/>
      <c r="AI252" s="220"/>
      <c r="AJ252" s="50"/>
      <c r="AK252" s="257"/>
      <c r="AL252" s="257"/>
      <c r="AM252" s="52"/>
      <c r="AN252" s="88"/>
    </row>
    <row r="253" spans="1:40" s="29" customFormat="1" ht="17.25" customHeight="1">
      <c r="A253" s="48"/>
      <c r="B253" s="49"/>
      <c r="C253" s="220"/>
      <c r="D253" s="220"/>
      <c r="E253" s="220"/>
      <c r="F253" s="220"/>
      <c r="G253" s="220"/>
      <c r="H253" s="220"/>
      <c r="I253" s="220"/>
      <c r="J253" s="220"/>
      <c r="K253" s="220"/>
      <c r="L253" s="220"/>
      <c r="M253" s="220"/>
      <c r="N253" s="220"/>
      <c r="O253" s="220"/>
      <c r="P253" s="220"/>
      <c r="Q253" s="220"/>
      <c r="R253" s="220"/>
      <c r="S253" s="220"/>
      <c r="T253" s="220"/>
      <c r="U253" s="220"/>
      <c r="V253" s="220"/>
      <c r="W253" s="220"/>
      <c r="X253" s="220"/>
      <c r="Y253" s="220"/>
      <c r="Z253" s="220"/>
      <c r="AA253" s="220"/>
      <c r="AB253" s="220"/>
      <c r="AC253" s="220"/>
      <c r="AD253" s="220"/>
      <c r="AE253" s="220"/>
      <c r="AF253" s="220"/>
      <c r="AG253" s="220"/>
      <c r="AH253" s="220"/>
      <c r="AI253" s="220"/>
      <c r="AJ253" s="50"/>
      <c r="AK253" s="257"/>
      <c r="AL253" s="257"/>
      <c r="AM253" s="52"/>
      <c r="AN253" s="88"/>
    </row>
    <row r="254" spans="1:40" s="29" customFormat="1" ht="17.25" customHeight="1">
      <c r="A254" s="48"/>
      <c r="B254" s="49"/>
      <c r="C254" s="220"/>
      <c r="D254" s="220"/>
      <c r="E254" s="220"/>
      <c r="F254" s="220"/>
      <c r="G254" s="220"/>
      <c r="H254" s="220"/>
      <c r="I254" s="220"/>
      <c r="J254" s="220"/>
      <c r="K254" s="220"/>
      <c r="L254" s="220"/>
      <c r="M254" s="220"/>
      <c r="N254" s="220"/>
      <c r="O254" s="220"/>
      <c r="P254" s="220"/>
      <c r="Q254" s="220"/>
      <c r="R254" s="220"/>
      <c r="S254" s="220"/>
      <c r="T254" s="220"/>
      <c r="U254" s="220"/>
      <c r="V254" s="220"/>
      <c r="W254" s="220"/>
      <c r="X254" s="220"/>
      <c r="Y254" s="220"/>
      <c r="Z254" s="220"/>
      <c r="AA254" s="220"/>
      <c r="AB254" s="220"/>
      <c r="AC254" s="220"/>
      <c r="AD254" s="220"/>
      <c r="AE254" s="220"/>
      <c r="AF254" s="220"/>
      <c r="AG254" s="220"/>
      <c r="AH254" s="220"/>
      <c r="AI254" s="220"/>
      <c r="AJ254" s="50"/>
      <c r="AK254" s="257"/>
      <c r="AL254" s="257"/>
      <c r="AM254" s="52"/>
      <c r="AN254" s="88"/>
    </row>
    <row r="255" spans="1:40" s="29" customFormat="1" ht="17.25" customHeight="1">
      <c r="A255" s="48"/>
      <c r="B255" s="49"/>
      <c r="C255" s="220"/>
      <c r="D255" s="220"/>
      <c r="E255" s="220"/>
      <c r="F255" s="220"/>
      <c r="G255" s="220"/>
      <c r="H255" s="220"/>
      <c r="I255" s="220"/>
      <c r="J255" s="220"/>
      <c r="K255" s="220"/>
      <c r="L255" s="220"/>
      <c r="M255" s="220"/>
      <c r="N255" s="220"/>
      <c r="O255" s="220"/>
      <c r="P255" s="220"/>
      <c r="Q255" s="220"/>
      <c r="R255" s="220"/>
      <c r="S255" s="220"/>
      <c r="T255" s="220"/>
      <c r="U255" s="220"/>
      <c r="V255" s="220"/>
      <c r="W255" s="220"/>
      <c r="X255" s="220"/>
      <c r="Y255" s="220"/>
      <c r="Z255" s="220"/>
      <c r="AA255" s="220"/>
      <c r="AB255" s="220"/>
      <c r="AC255" s="220"/>
      <c r="AD255" s="220"/>
      <c r="AE255" s="220"/>
      <c r="AF255" s="220"/>
      <c r="AG255" s="220"/>
      <c r="AH255" s="220"/>
      <c r="AI255" s="220"/>
      <c r="AJ255" s="50"/>
      <c r="AK255" s="257"/>
      <c r="AL255" s="257"/>
      <c r="AM255" s="52"/>
      <c r="AN255" s="88"/>
    </row>
    <row r="256" spans="1:40" s="29" customFormat="1" ht="17.25" customHeight="1">
      <c r="A256" s="48"/>
      <c r="B256" s="49"/>
      <c r="C256" s="220"/>
      <c r="D256" s="220"/>
      <c r="E256" s="220"/>
      <c r="F256" s="220"/>
      <c r="G256" s="220"/>
      <c r="H256" s="220"/>
      <c r="I256" s="220"/>
      <c r="J256" s="220"/>
      <c r="K256" s="220"/>
      <c r="L256" s="220"/>
      <c r="M256" s="220"/>
      <c r="N256" s="220"/>
      <c r="O256" s="220"/>
      <c r="P256" s="220"/>
      <c r="Q256" s="220"/>
      <c r="R256" s="220"/>
      <c r="S256" s="220"/>
      <c r="T256" s="220"/>
      <c r="U256" s="220"/>
      <c r="V256" s="220"/>
      <c r="W256" s="220"/>
      <c r="X256" s="220"/>
      <c r="Y256" s="220"/>
      <c r="Z256" s="220"/>
      <c r="AA256" s="220"/>
      <c r="AB256" s="220"/>
      <c r="AC256" s="220"/>
      <c r="AD256" s="220"/>
      <c r="AE256" s="220"/>
      <c r="AF256" s="220"/>
      <c r="AG256" s="220"/>
      <c r="AH256" s="220"/>
      <c r="AI256" s="220"/>
      <c r="AJ256" s="50"/>
      <c r="AK256" s="257"/>
      <c r="AL256" s="257"/>
      <c r="AM256" s="52"/>
      <c r="AN256" s="88"/>
    </row>
    <row r="257" spans="1:40" s="29" customFormat="1" ht="17.25" customHeight="1">
      <c r="A257" s="48"/>
      <c r="B257" s="49"/>
      <c r="C257" s="220"/>
      <c r="D257" s="220"/>
      <c r="E257" s="220"/>
      <c r="F257" s="220"/>
      <c r="G257" s="220"/>
      <c r="H257" s="220"/>
      <c r="I257" s="220"/>
      <c r="J257" s="220"/>
      <c r="K257" s="220"/>
      <c r="L257" s="220"/>
      <c r="M257" s="220"/>
      <c r="N257" s="220"/>
      <c r="O257" s="220"/>
      <c r="P257" s="220"/>
      <c r="Q257" s="220"/>
      <c r="R257" s="220"/>
      <c r="S257" s="220"/>
      <c r="T257" s="220"/>
      <c r="U257" s="220"/>
      <c r="V257" s="220"/>
      <c r="W257" s="220"/>
      <c r="X257" s="220"/>
      <c r="Y257" s="220"/>
      <c r="Z257" s="220"/>
      <c r="AA257" s="220"/>
      <c r="AB257" s="220"/>
      <c r="AC257" s="220"/>
      <c r="AD257" s="220"/>
      <c r="AE257" s="220"/>
      <c r="AF257" s="220"/>
      <c r="AG257" s="220"/>
      <c r="AH257" s="220"/>
      <c r="AI257" s="220"/>
      <c r="AJ257" s="50"/>
      <c r="AK257" s="257"/>
      <c r="AL257" s="257"/>
      <c r="AM257" s="52"/>
      <c r="AN257" s="88"/>
    </row>
    <row r="258" spans="1:40" s="29" customFormat="1" ht="17.25" customHeight="1">
      <c r="A258" s="48"/>
      <c r="B258" s="49"/>
      <c r="C258" s="220"/>
      <c r="D258" s="220"/>
      <c r="E258" s="220"/>
      <c r="F258" s="220"/>
      <c r="G258" s="220"/>
      <c r="H258" s="220"/>
      <c r="I258" s="220"/>
      <c r="J258" s="220"/>
      <c r="K258" s="220"/>
      <c r="L258" s="220"/>
      <c r="M258" s="220"/>
      <c r="N258" s="220"/>
      <c r="O258" s="220"/>
      <c r="P258" s="220"/>
      <c r="Q258" s="220"/>
      <c r="R258" s="220"/>
      <c r="S258" s="220"/>
      <c r="T258" s="220"/>
      <c r="U258" s="220"/>
      <c r="V258" s="220"/>
      <c r="W258" s="220"/>
      <c r="X258" s="220"/>
      <c r="Y258" s="220"/>
      <c r="Z258" s="220"/>
      <c r="AA258" s="220"/>
      <c r="AB258" s="220"/>
      <c r="AC258" s="220"/>
      <c r="AD258" s="220"/>
      <c r="AE258" s="220"/>
      <c r="AF258" s="220"/>
      <c r="AG258" s="220"/>
      <c r="AH258" s="220"/>
      <c r="AI258" s="220"/>
      <c r="AJ258" s="50"/>
      <c r="AK258" s="257"/>
      <c r="AL258" s="257"/>
      <c r="AM258" s="52"/>
      <c r="AN258" s="88"/>
    </row>
    <row r="259" spans="1:40" s="29" customFormat="1" ht="17.25" customHeight="1">
      <c r="A259" s="48"/>
      <c r="B259" s="49"/>
      <c r="C259" s="220"/>
      <c r="D259" s="220"/>
      <c r="E259" s="220"/>
      <c r="F259" s="220"/>
      <c r="G259" s="220"/>
      <c r="H259" s="220"/>
      <c r="I259" s="220"/>
      <c r="J259" s="220"/>
      <c r="K259" s="220"/>
      <c r="L259" s="220"/>
      <c r="M259" s="220"/>
      <c r="N259" s="220"/>
      <c r="O259" s="220"/>
      <c r="P259" s="220"/>
      <c r="Q259" s="220"/>
      <c r="R259" s="220"/>
      <c r="S259" s="220"/>
      <c r="T259" s="220"/>
      <c r="U259" s="220"/>
      <c r="V259" s="220"/>
      <c r="W259" s="220"/>
      <c r="X259" s="220"/>
      <c r="Y259" s="220"/>
      <c r="Z259" s="220"/>
      <c r="AA259" s="220"/>
      <c r="AB259" s="220"/>
      <c r="AC259" s="220"/>
      <c r="AD259" s="220"/>
      <c r="AE259" s="220"/>
      <c r="AF259" s="220"/>
      <c r="AG259" s="220"/>
      <c r="AH259" s="220"/>
      <c r="AI259" s="220"/>
      <c r="AJ259" s="50"/>
      <c r="AK259" s="257"/>
      <c r="AL259" s="257"/>
      <c r="AM259" s="52"/>
      <c r="AN259" s="88"/>
    </row>
    <row r="260" spans="1:40" s="29" customFormat="1" ht="17.25" customHeight="1">
      <c r="A260" s="48"/>
      <c r="B260" s="49"/>
      <c r="C260" s="220"/>
      <c r="D260" s="220"/>
      <c r="E260" s="220"/>
      <c r="F260" s="220"/>
      <c r="G260" s="220"/>
      <c r="H260" s="220"/>
      <c r="I260" s="220"/>
      <c r="J260" s="220"/>
      <c r="K260" s="220"/>
      <c r="L260" s="220"/>
      <c r="M260" s="220"/>
      <c r="N260" s="220"/>
      <c r="O260" s="220"/>
      <c r="P260" s="220"/>
      <c r="Q260" s="220"/>
      <c r="R260" s="220"/>
      <c r="S260" s="220"/>
      <c r="T260" s="220"/>
      <c r="U260" s="220"/>
      <c r="V260" s="220"/>
      <c r="W260" s="220"/>
      <c r="X260" s="220"/>
      <c r="Y260" s="220"/>
      <c r="Z260" s="220"/>
      <c r="AA260" s="220"/>
      <c r="AB260" s="220"/>
      <c r="AC260" s="220"/>
      <c r="AD260" s="220"/>
      <c r="AE260" s="220"/>
      <c r="AF260" s="220"/>
      <c r="AG260" s="220"/>
      <c r="AH260" s="220"/>
      <c r="AI260" s="220"/>
      <c r="AJ260" s="50"/>
      <c r="AK260" s="257"/>
      <c r="AL260" s="257"/>
      <c r="AM260" s="52"/>
      <c r="AN260" s="88"/>
    </row>
    <row r="261" spans="1:40" s="29" customFormat="1" ht="17.25" customHeight="1">
      <c r="A261" s="48"/>
      <c r="B261" s="49"/>
      <c r="C261" s="220"/>
      <c r="D261" s="220"/>
      <c r="E261" s="220"/>
      <c r="F261" s="220"/>
      <c r="G261" s="220"/>
      <c r="H261" s="220"/>
      <c r="I261" s="220"/>
      <c r="J261" s="220"/>
      <c r="K261" s="220"/>
      <c r="L261" s="220"/>
      <c r="M261" s="220"/>
      <c r="N261" s="220"/>
      <c r="O261" s="220"/>
      <c r="P261" s="220"/>
      <c r="Q261" s="220"/>
      <c r="R261" s="220"/>
      <c r="S261" s="220"/>
      <c r="T261" s="220"/>
      <c r="U261" s="220"/>
      <c r="V261" s="220"/>
      <c r="W261" s="220"/>
      <c r="X261" s="220"/>
      <c r="Y261" s="220"/>
      <c r="Z261" s="220"/>
      <c r="AA261" s="220"/>
      <c r="AB261" s="220"/>
      <c r="AC261" s="220"/>
      <c r="AD261" s="220"/>
      <c r="AE261" s="220"/>
      <c r="AF261" s="220"/>
      <c r="AG261" s="220"/>
      <c r="AH261" s="220"/>
      <c r="AI261" s="220"/>
      <c r="AJ261" s="50"/>
      <c r="AK261" s="257"/>
      <c r="AL261" s="257"/>
      <c r="AM261" s="52"/>
      <c r="AN261" s="88"/>
    </row>
    <row r="262" spans="1:40" s="29" customFormat="1" ht="17.25" customHeight="1">
      <c r="A262" s="48"/>
      <c r="B262" s="49"/>
      <c r="C262" s="220"/>
      <c r="D262" s="220"/>
      <c r="E262" s="220"/>
      <c r="F262" s="220"/>
      <c r="G262" s="220"/>
      <c r="H262" s="220"/>
      <c r="I262" s="220"/>
      <c r="J262" s="220"/>
      <c r="K262" s="220"/>
      <c r="L262" s="220"/>
      <c r="M262" s="220"/>
      <c r="N262" s="220"/>
      <c r="O262" s="220"/>
      <c r="P262" s="220"/>
      <c r="Q262" s="220"/>
      <c r="R262" s="220"/>
      <c r="S262" s="220"/>
      <c r="T262" s="220"/>
      <c r="U262" s="220"/>
      <c r="V262" s="220"/>
      <c r="W262" s="220"/>
      <c r="X262" s="220"/>
      <c r="Y262" s="220"/>
      <c r="Z262" s="220"/>
      <c r="AA262" s="220"/>
      <c r="AB262" s="220"/>
      <c r="AC262" s="220"/>
      <c r="AD262" s="220"/>
      <c r="AE262" s="220"/>
      <c r="AF262" s="220"/>
      <c r="AG262" s="220"/>
      <c r="AH262" s="220"/>
      <c r="AI262" s="220"/>
      <c r="AJ262" s="50"/>
      <c r="AK262" s="257"/>
      <c r="AL262" s="257"/>
      <c r="AM262" s="52"/>
      <c r="AN262" s="88"/>
    </row>
    <row r="263" spans="1:40" s="29" customFormat="1" ht="17.25" customHeight="1">
      <c r="A263" s="48"/>
      <c r="B263" s="49"/>
      <c r="C263" s="220"/>
      <c r="D263" s="220"/>
      <c r="E263" s="220"/>
      <c r="F263" s="220"/>
      <c r="G263" s="220"/>
      <c r="H263" s="220"/>
      <c r="I263" s="220"/>
      <c r="J263" s="220"/>
      <c r="K263" s="220"/>
      <c r="L263" s="220"/>
      <c r="M263" s="220"/>
      <c r="N263" s="220"/>
      <c r="O263" s="220"/>
      <c r="P263" s="220"/>
      <c r="Q263" s="220"/>
      <c r="R263" s="220"/>
      <c r="S263" s="220"/>
      <c r="T263" s="220"/>
      <c r="U263" s="220"/>
      <c r="V263" s="220"/>
      <c r="W263" s="220"/>
      <c r="X263" s="220"/>
      <c r="Y263" s="220"/>
      <c r="Z263" s="220"/>
      <c r="AA263" s="220"/>
      <c r="AB263" s="220"/>
      <c r="AC263" s="220"/>
      <c r="AD263" s="220"/>
      <c r="AE263" s="220"/>
      <c r="AF263" s="220"/>
      <c r="AG263" s="220"/>
      <c r="AH263" s="220"/>
      <c r="AI263" s="220"/>
      <c r="AJ263" s="50"/>
      <c r="AK263" s="257"/>
      <c r="AL263" s="257"/>
      <c r="AM263" s="52"/>
      <c r="AN263" s="88"/>
    </row>
    <row r="264" spans="1:40" s="29" customFormat="1" ht="17.25" customHeight="1">
      <c r="A264" s="48"/>
      <c r="B264" s="49"/>
      <c r="C264" s="220"/>
      <c r="D264" s="220"/>
      <c r="E264" s="220"/>
      <c r="F264" s="220"/>
      <c r="G264" s="220"/>
      <c r="H264" s="220"/>
      <c r="I264" s="220"/>
      <c r="J264" s="220"/>
      <c r="K264" s="220"/>
      <c r="L264" s="220"/>
      <c r="M264" s="220"/>
      <c r="N264" s="220"/>
      <c r="O264" s="220"/>
      <c r="P264" s="220"/>
      <c r="Q264" s="220"/>
      <c r="R264" s="220"/>
      <c r="S264" s="220"/>
      <c r="T264" s="220"/>
      <c r="U264" s="220"/>
      <c r="V264" s="220"/>
      <c r="W264" s="220"/>
      <c r="X264" s="220"/>
      <c r="Y264" s="220"/>
      <c r="Z264" s="220"/>
      <c r="AA264" s="220"/>
      <c r="AB264" s="220"/>
      <c r="AC264" s="220"/>
      <c r="AD264" s="220"/>
      <c r="AE264" s="220"/>
      <c r="AF264" s="220"/>
      <c r="AG264" s="220"/>
      <c r="AH264" s="220"/>
      <c r="AI264" s="220"/>
      <c r="AJ264" s="50"/>
      <c r="AK264" s="257"/>
      <c r="AL264" s="257"/>
      <c r="AM264" s="52"/>
      <c r="AN264" s="88"/>
    </row>
    <row r="265" spans="1:40" s="29" customFormat="1" ht="17.25" customHeight="1">
      <c r="A265" s="48"/>
      <c r="B265" s="49"/>
      <c r="C265" s="220"/>
      <c r="D265" s="220"/>
      <c r="E265" s="220"/>
      <c r="F265" s="220"/>
      <c r="G265" s="220"/>
      <c r="H265" s="220"/>
      <c r="I265" s="220"/>
      <c r="J265" s="220"/>
      <c r="K265" s="220"/>
      <c r="L265" s="220"/>
      <c r="M265" s="220"/>
      <c r="N265" s="220"/>
      <c r="O265" s="220"/>
      <c r="P265" s="220"/>
      <c r="Q265" s="220"/>
      <c r="R265" s="220"/>
      <c r="S265" s="220"/>
      <c r="T265" s="220"/>
      <c r="U265" s="220"/>
      <c r="V265" s="220"/>
      <c r="W265" s="220"/>
      <c r="X265" s="220"/>
      <c r="Y265" s="220"/>
      <c r="Z265" s="220"/>
      <c r="AA265" s="220"/>
      <c r="AB265" s="220"/>
      <c r="AC265" s="220"/>
      <c r="AD265" s="220"/>
      <c r="AE265" s="220"/>
      <c r="AF265" s="220"/>
      <c r="AG265" s="220"/>
      <c r="AH265" s="220"/>
      <c r="AI265" s="220"/>
      <c r="AJ265" s="50"/>
      <c r="AK265" s="257"/>
      <c r="AL265" s="257"/>
      <c r="AM265" s="52"/>
      <c r="AN265" s="88"/>
    </row>
    <row r="266" spans="1:40" s="29" customFormat="1" ht="17.25" customHeight="1">
      <c r="A266" s="48"/>
      <c r="B266" s="49"/>
      <c r="C266" s="220"/>
      <c r="D266" s="220"/>
      <c r="E266" s="220"/>
      <c r="F266" s="220"/>
      <c r="G266" s="220"/>
      <c r="H266" s="220"/>
      <c r="I266" s="220"/>
      <c r="J266" s="220"/>
      <c r="K266" s="220"/>
      <c r="L266" s="220"/>
      <c r="M266" s="220"/>
      <c r="N266" s="220"/>
      <c r="O266" s="220"/>
      <c r="P266" s="220"/>
      <c r="Q266" s="220"/>
      <c r="R266" s="220"/>
      <c r="S266" s="220"/>
      <c r="T266" s="220"/>
      <c r="U266" s="220"/>
      <c r="V266" s="220"/>
      <c r="W266" s="220"/>
      <c r="X266" s="220"/>
      <c r="Y266" s="220"/>
      <c r="Z266" s="220"/>
      <c r="AA266" s="220"/>
      <c r="AB266" s="220"/>
      <c r="AC266" s="220"/>
      <c r="AD266" s="220"/>
      <c r="AE266" s="220"/>
      <c r="AF266" s="220"/>
      <c r="AG266" s="220"/>
      <c r="AH266" s="220"/>
      <c r="AI266" s="220"/>
      <c r="AJ266" s="50"/>
      <c r="AK266" s="257"/>
      <c r="AL266" s="257"/>
      <c r="AM266" s="52"/>
      <c r="AN266" s="88"/>
    </row>
    <row r="267" spans="1:40" s="29" customFormat="1" ht="17.25" customHeight="1">
      <c r="A267" s="48"/>
      <c r="B267" s="49"/>
      <c r="C267" s="220"/>
      <c r="D267" s="220"/>
      <c r="E267" s="220"/>
      <c r="F267" s="220"/>
      <c r="G267" s="220"/>
      <c r="H267" s="220"/>
      <c r="I267" s="220"/>
      <c r="J267" s="220"/>
      <c r="K267" s="220"/>
      <c r="L267" s="220"/>
      <c r="M267" s="220"/>
      <c r="N267" s="220"/>
      <c r="O267" s="220"/>
      <c r="P267" s="220"/>
      <c r="Q267" s="220"/>
      <c r="R267" s="220"/>
      <c r="S267" s="220"/>
      <c r="T267" s="220"/>
      <c r="U267" s="220"/>
      <c r="V267" s="220"/>
      <c r="W267" s="220"/>
      <c r="X267" s="220"/>
      <c r="Y267" s="220"/>
      <c r="Z267" s="220"/>
      <c r="AA267" s="220"/>
      <c r="AB267" s="220"/>
      <c r="AC267" s="220"/>
      <c r="AD267" s="220"/>
      <c r="AE267" s="220"/>
      <c r="AF267" s="220"/>
      <c r="AG267" s="220"/>
      <c r="AH267" s="220"/>
      <c r="AI267" s="220"/>
      <c r="AJ267" s="50"/>
      <c r="AK267" s="257"/>
      <c r="AL267" s="257"/>
      <c r="AM267" s="52"/>
      <c r="AN267" s="88"/>
    </row>
    <row r="268" spans="1:40" s="29" customFormat="1" ht="17.25" customHeight="1">
      <c r="A268" s="48"/>
      <c r="B268" s="49"/>
      <c r="C268" s="220"/>
      <c r="D268" s="220"/>
      <c r="E268" s="220"/>
      <c r="F268" s="220"/>
      <c r="G268" s="220"/>
      <c r="H268" s="220"/>
      <c r="I268" s="220"/>
      <c r="J268" s="220"/>
      <c r="K268" s="220"/>
      <c r="L268" s="220"/>
      <c r="M268" s="220"/>
      <c r="N268" s="220"/>
      <c r="O268" s="220"/>
      <c r="P268" s="220"/>
      <c r="Q268" s="220"/>
      <c r="R268" s="220"/>
      <c r="S268" s="220"/>
      <c r="T268" s="220"/>
      <c r="U268" s="220"/>
      <c r="V268" s="220"/>
      <c r="W268" s="220"/>
      <c r="X268" s="220"/>
      <c r="Y268" s="220"/>
      <c r="Z268" s="220"/>
      <c r="AA268" s="220"/>
      <c r="AB268" s="220"/>
      <c r="AC268" s="220"/>
      <c r="AD268" s="220"/>
      <c r="AE268" s="220"/>
      <c r="AF268" s="220"/>
      <c r="AG268" s="220"/>
      <c r="AH268" s="220"/>
      <c r="AI268" s="220"/>
      <c r="AJ268" s="50"/>
      <c r="AK268" s="257"/>
      <c r="AL268" s="257"/>
      <c r="AM268" s="52"/>
      <c r="AN268" s="88"/>
    </row>
    <row r="269" spans="1:40" s="29" customFormat="1" ht="17.25" customHeight="1">
      <c r="A269" s="48"/>
      <c r="B269" s="49"/>
      <c r="C269" s="220"/>
      <c r="D269" s="220"/>
      <c r="E269" s="220"/>
      <c r="F269" s="220"/>
      <c r="G269" s="220"/>
      <c r="H269" s="220"/>
      <c r="I269" s="220"/>
      <c r="J269" s="220"/>
      <c r="K269" s="220"/>
      <c r="L269" s="220"/>
      <c r="M269" s="220"/>
      <c r="N269" s="220"/>
      <c r="O269" s="220"/>
      <c r="P269" s="220"/>
      <c r="Q269" s="220"/>
      <c r="R269" s="220"/>
      <c r="S269" s="220"/>
      <c r="T269" s="220"/>
      <c r="U269" s="220"/>
      <c r="V269" s="220"/>
      <c r="W269" s="220"/>
      <c r="X269" s="220"/>
      <c r="Y269" s="220"/>
      <c r="Z269" s="220"/>
      <c r="AA269" s="220"/>
      <c r="AB269" s="220"/>
      <c r="AC269" s="220"/>
      <c r="AD269" s="220"/>
      <c r="AE269" s="220"/>
      <c r="AF269" s="220"/>
      <c r="AG269" s="220"/>
      <c r="AH269" s="220"/>
      <c r="AI269" s="220"/>
      <c r="AJ269" s="50"/>
      <c r="AK269" s="257"/>
      <c r="AL269" s="257"/>
      <c r="AM269" s="52"/>
      <c r="AN269" s="88"/>
    </row>
    <row r="270" spans="1:40" s="29" customFormat="1" ht="17.25" customHeight="1">
      <c r="A270" s="48"/>
      <c r="B270" s="49"/>
      <c r="C270" s="220"/>
      <c r="D270" s="220"/>
      <c r="E270" s="220"/>
      <c r="F270" s="220"/>
      <c r="G270" s="220"/>
      <c r="H270" s="220"/>
      <c r="I270" s="220"/>
      <c r="J270" s="220"/>
      <c r="K270" s="220"/>
      <c r="L270" s="220"/>
      <c r="M270" s="220"/>
      <c r="N270" s="220"/>
      <c r="O270" s="220"/>
      <c r="P270" s="220"/>
      <c r="Q270" s="220"/>
      <c r="R270" s="220"/>
      <c r="S270" s="220"/>
      <c r="T270" s="220"/>
      <c r="U270" s="220"/>
      <c r="V270" s="220"/>
      <c r="W270" s="220"/>
      <c r="X270" s="220"/>
      <c r="Y270" s="220"/>
      <c r="Z270" s="220"/>
      <c r="AA270" s="220"/>
      <c r="AB270" s="220"/>
      <c r="AC270" s="220"/>
      <c r="AD270" s="220"/>
      <c r="AE270" s="220"/>
      <c r="AF270" s="220"/>
      <c r="AG270" s="220"/>
      <c r="AH270" s="220"/>
      <c r="AI270" s="220"/>
      <c r="AJ270" s="50"/>
      <c r="AK270" s="257"/>
      <c r="AL270" s="257"/>
      <c r="AM270" s="52"/>
      <c r="AN270" s="88"/>
    </row>
    <row r="271" spans="1:40" s="29" customFormat="1" ht="17.25" customHeight="1">
      <c r="A271" s="48"/>
      <c r="B271" s="49"/>
      <c r="C271" s="220"/>
      <c r="D271" s="220"/>
      <c r="E271" s="220"/>
      <c r="F271" s="220"/>
      <c r="G271" s="220"/>
      <c r="H271" s="220"/>
      <c r="I271" s="220"/>
      <c r="J271" s="220"/>
      <c r="K271" s="220"/>
      <c r="L271" s="220"/>
      <c r="M271" s="220"/>
      <c r="N271" s="220"/>
      <c r="O271" s="220"/>
      <c r="P271" s="220"/>
      <c r="Q271" s="220"/>
      <c r="R271" s="220"/>
      <c r="S271" s="220"/>
      <c r="T271" s="220"/>
      <c r="U271" s="220"/>
      <c r="V271" s="220"/>
      <c r="W271" s="220"/>
      <c r="X271" s="220"/>
      <c r="Y271" s="220"/>
      <c r="Z271" s="220"/>
      <c r="AA271" s="220"/>
      <c r="AB271" s="220"/>
      <c r="AC271" s="220"/>
      <c r="AD271" s="220"/>
      <c r="AE271" s="220"/>
      <c r="AF271" s="220"/>
      <c r="AG271" s="220"/>
      <c r="AH271" s="220"/>
      <c r="AI271" s="220"/>
      <c r="AJ271" s="50"/>
      <c r="AK271" s="257"/>
      <c r="AL271" s="257"/>
      <c r="AM271" s="52"/>
      <c r="AN271" s="88"/>
    </row>
    <row r="272" spans="1:40" s="29" customFormat="1" ht="17.25" customHeight="1">
      <c r="A272" s="48"/>
      <c r="B272" s="49"/>
      <c r="C272" s="220"/>
      <c r="D272" s="220"/>
      <c r="E272" s="220"/>
      <c r="F272" s="220"/>
      <c r="G272" s="220"/>
      <c r="H272" s="220"/>
      <c r="I272" s="220"/>
      <c r="J272" s="220"/>
      <c r="K272" s="220"/>
      <c r="L272" s="220"/>
      <c r="M272" s="220"/>
      <c r="N272" s="220"/>
      <c r="O272" s="220"/>
      <c r="P272" s="220"/>
      <c r="Q272" s="220"/>
      <c r="R272" s="220"/>
      <c r="S272" s="220"/>
      <c r="T272" s="220"/>
      <c r="U272" s="220"/>
      <c r="V272" s="220"/>
      <c r="W272" s="220"/>
      <c r="X272" s="220"/>
      <c r="Y272" s="220"/>
      <c r="Z272" s="220"/>
      <c r="AA272" s="220"/>
      <c r="AB272" s="220"/>
      <c r="AC272" s="220"/>
      <c r="AD272" s="220"/>
      <c r="AE272" s="220"/>
      <c r="AF272" s="220"/>
      <c r="AG272" s="220"/>
      <c r="AH272" s="220"/>
      <c r="AI272" s="220"/>
      <c r="AJ272" s="50"/>
      <c r="AK272" s="257"/>
      <c r="AL272" s="257"/>
      <c r="AM272" s="52"/>
      <c r="AN272" s="88"/>
    </row>
    <row r="273" spans="1:40" s="29" customFormat="1" ht="17.25" customHeight="1">
      <c r="A273" s="48"/>
      <c r="B273" s="49"/>
      <c r="C273" s="220"/>
      <c r="D273" s="220"/>
      <c r="E273" s="220"/>
      <c r="F273" s="220"/>
      <c r="G273" s="220"/>
      <c r="H273" s="220"/>
      <c r="I273" s="220"/>
      <c r="J273" s="220"/>
      <c r="K273" s="220"/>
      <c r="L273" s="220"/>
      <c r="M273" s="220"/>
      <c r="N273" s="220"/>
      <c r="O273" s="220"/>
      <c r="P273" s="220"/>
      <c r="Q273" s="220"/>
      <c r="R273" s="220"/>
      <c r="S273" s="220"/>
      <c r="T273" s="220"/>
      <c r="U273" s="220"/>
      <c r="V273" s="220"/>
      <c r="W273" s="220"/>
      <c r="X273" s="220"/>
      <c r="Y273" s="220"/>
      <c r="Z273" s="220"/>
      <c r="AA273" s="220"/>
      <c r="AB273" s="220"/>
      <c r="AC273" s="220"/>
      <c r="AD273" s="220"/>
      <c r="AE273" s="220"/>
      <c r="AF273" s="220"/>
      <c r="AG273" s="220"/>
      <c r="AH273" s="220"/>
      <c r="AI273" s="220"/>
      <c r="AJ273" s="50"/>
      <c r="AK273" s="257"/>
      <c r="AL273" s="257"/>
      <c r="AM273" s="52"/>
      <c r="AN273" s="88"/>
    </row>
    <row r="274" spans="1:40" s="29" customFormat="1" ht="17.25" customHeight="1">
      <c r="A274" s="48"/>
      <c r="B274" s="49"/>
      <c r="C274" s="220"/>
      <c r="D274" s="220"/>
      <c r="E274" s="220"/>
      <c r="F274" s="220"/>
      <c r="G274" s="220"/>
      <c r="H274" s="220"/>
      <c r="I274" s="220"/>
      <c r="J274" s="220"/>
      <c r="K274" s="220"/>
      <c r="L274" s="220"/>
      <c r="M274" s="220"/>
      <c r="N274" s="220"/>
      <c r="O274" s="220"/>
      <c r="P274" s="220"/>
      <c r="Q274" s="220"/>
      <c r="R274" s="220"/>
      <c r="S274" s="220"/>
      <c r="T274" s="220"/>
      <c r="U274" s="220"/>
      <c r="V274" s="220"/>
      <c r="W274" s="220"/>
      <c r="X274" s="220"/>
      <c r="Y274" s="220"/>
      <c r="Z274" s="220"/>
      <c r="AA274" s="220"/>
      <c r="AB274" s="220"/>
      <c r="AC274" s="220"/>
      <c r="AD274" s="220"/>
      <c r="AE274" s="220"/>
      <c r="AF274" s="220"/>
      <c r="AG274" s="220"/>
      <c r="AH274" s="220"/>
      <c r="AI274" s="220"/>
      <c r="AJ274" s="50"/>
      <c r="AK274" s="257"/>
      <c r="AL274" s="257"/>
      <c r="AM274" s="52"/>
      <c r="AN274" s="88"/>
    </row>
    <row r="275" spans="1:40" s="29" customFormat="1" ht="17.25" customHeight="1">
      <c r="A275" s="48"/>
      <c r="B275" s="49"/>
      <c r="C275" s="220"/>
      <c r="D275" s="220"/>
      <c r="E275" s="220"/>
      <c r="F275" s="220"/>
      <c r="G275" s="220"/>
      <c r="H275" s="220"/>
      <c r="I275" s="220"/>
      <c r="J275" s="220"/>
      <c r="K275" s="220"/>
      <c r="L275" s="220"/>
      <c r="M275" s="220"/>
      <c r="N275" s="220"/>
      <c r="O275" s="220"/>
      <c r="P275" s="220"/>
      <c r="Q275" s="220"/>
      <c r="R275" s="220"/>
      <c r="S275" s="220"/>
      <c r="T275" s="220"/>
      <c r="U275" s="220"/>
      <c r="V275" s="220"/>
      <c r="W275" s="220"/>
      <c r="X275" s="220"/>
      <c r="Y275" s="220"/>
      <c r="Z275" s="220"/>
      <c r="AA275" s="220"/>
      <c r="AB275" s="220"/>
      <c r="AC275" s="220"/>
      <c r="AD275" s="220"/>
      <c r="AE275" s="220"/>
      <c r="AF275" s="220"/>
      <c r="AG275" s="220"/>
      <c r="AH275" s="220"/>
      <c r="AI275" s="220"/>
      <c r="AJ275" s="50"/>
      <c r="AK275" s="257"/>
      <c r="AL275" s="257"/>
      <c r="AM275" s="52"/>
      <c r="AN275" s="88"/>
    </row>
    <row r="276" spans="1:40" s="29" customFormat="1" ht="17.25" customHeight="1">
      <c r="A276" s="48"/>
      <c r="B276" s="49"/>
      <c r="C276" s="220"/>
      <c r="D276" s="220"/>
      <c r="E276" s="220"/>
      <c r="F276" s="220"/>
      <c r="G276" s="220"/>
      <c r="H276" s="220"/>
      <c r="I276" s="220"/>
      <c r="J276" s="220"/>
      <c r="K276" s="220"/>
      <c r="L276" s="220"/>
      <c r="M276" s="220"/>
      <c r="N276" s="220"/>
      <c r="O276" s="220"/>
      <c r="P276" s="220"/>
      <c r="Q276" s="220"/>
      <c r="R276" s="220"/>
      <c r="S276" s="220"/>
      <c r="T276" s="220"/>
      <c r="U276" s="220"/>
      <c r="V276" s="220"/>
      <c r="W276" s="220"/>
      <c r="X276" s="220"/>
      <c r="Y276" s="220"/>
      <c r="Z276" s="220"/>
      <c r="AA276" s="220"/>
      <c r="AB276" s="220"/>
      <c r="AC276" s="220"/>
      <c r="AD276" s="220"/>
      <c r="AE276" s="220"/>
      <c r="AF276" s="220"/>
      <c r="AG276" s="220"/>
      <c r="AH276" s="220"/>
      <c r="AI276" s="220"/>
      <c r="AJ276" s="50"/>
      <c r="AK276" s="257"/>
      <c r="AL276" s="257"/>
      <c r="AM276" s="52"/>
      <c r="AN276" s="88"/>
    </row>
    <row r="277" spans="1:40" s="29" customFormat="1" ht="17.25" customHeight="1">
      <c r="A277" s="48"/>
      <c r="B277" s="49"/>
      <c r="C277" s="220"/>
      <c r="D277" s="220"/>
      <c r="E277" s="220"/>
      <c r="F277" s="220"/>
      <c r="G277" s="220"/>
      <c r="H277" s="220"/>
      <c r="I277" s="220"/>
      <c r="J277" s="220"/>
      <c r="K277" s="220"/>
      <c r="L277" s="220"/>
      <c r="M277" s="220"/>
      <c r="N277" s="220"/>
      <c r="O277" s="220"/>
      <c r="P277" s="220"/>
      <c r="Q277" s="220"/>
      <c r="R277" s="220"/>
      <c r="S277" s="220"/>
      <c r="T277" s="220"/>
      <c r="U277" s="220"/>
      <c r="V277" s="220"/>
      <c r="W277" s="220"/>
      <c r="X277" s="220"/>
      <c r="Y277" s="220"/>
      <c r="Z277" s="220"/>
      <c r="AA277" s="220"/>
      <c r="AB277" s="220"/>
      <c r="AC277" s="220"/>
      <c r="AD277" s="220"/>
      <c r="AE277" s="220"/>
      <c r="AF277" s="220"/>
      <c r="AG277" s="220"/>
      <c r="AH277" s="220"/>
      <c r="AI277" s="220"/>
      <c r="AJ277" s="50"/>
      <c r="AK277" s="257"/>
      <c r="AL277" s="257"/>
      <c r="AM277" s="52"/>
      <c r="AN277" s="88"/>
    </row>
    <row r="278" spans="1:40" s="29" customFormat="1" ht="17.25" customHeight="1">
      <c r="A278" s="48"/>
      <c r="B278" s="49"/>
      <c r="C278" s="220"/>
      <c r="D278" s="220"/>
      <c r="E278" s="220"/>
      <c r="F278" s="220"/>
      <c r="G278" s="220"/>
      <c r="H278" s="220"/>
      <c r="I278" s="220"/>
      <c r="J278" s="220"/>
      <c r="K278" s="220"/>
      <c r="L278" s="220"/>
      <c r="M278" s="220"/>
      <c r="N278" s="220"/>
      <c r="O278" s="220"/>
      <c r="P278" s="220"/>
      <c r="Q278" s="220"/>
      <c r="R278" s="220"/>
      <c r="S278" s="220"/>
      <c r="T278" s="220"/>
      <c r="U278" s="220"/>
      <c r="V278" s="220"/>
      <c r="W278" s="220"/>
      <c r="X278" s="220"/>
      <c r="Y278" s="220"/>
      <c r="Z278" s="220"/>
      <c r="AA278" s="220"/>
      <c r="AB278" s="220"/>
      <c r="AC278" s="220"/>
      <c r="AD278" s="220"/>
      <c r="AE278" s="220"/>
      <c r="AF278" s="220"/>
      <c r="AG278" s="220"/>
      <c r="AH278" s="220"/>
      <c r="AI278" s="220"/>
      <c r="AJ278" s="50"/>
      <c r="AK278" s="257"/>
      <c r="AL278" s="257"/>
      <c r="AM278" s="52"/>
      <c r="AN278" s="88"/>
    </row>
    <row r="279" spans="1:40" s="29" customFormat="1" ht="17.25" customHeight="1">
      <c r="A279" s="48"/>
      <c r="B279" s="49"/>
      <c r="C279" s="220"/>
      <c r="D279" s="220"/>
      <c r="E279" s="220"/>
      <c r="F279" s="220"/>
      <c r="G279" s="220"/>
      <c r="H279" s="220"/>
      <c r="I279" s="220"/>
      <c r="J279" s="220"/>
      <c r="K279" s="220"/>
      <c r="L279" s="220"/>
      <c r="M279" s="220"/>
      <c r="N279" s="220"/>
      <c r="O279" s="220"/>
      <c r="P279" s="220"/>
      <c r="Q279" s="220"/>
      <c r="R279" s="220"/>
      <c r="S279" s="220"/>
      <c r="T279" s="220"/>
      <c r="U279" s="220"/>
      <c r="V279" s="220"/>
      <c r="W279" s="220"/>
      <c r="X279" s="220"/>
      <c r="Y279" s="220"/>
      <c r="Z279" s="220"/>
      <c r="AA279" s="220"/>
      <c r="AB279" s="220"/>
      <c r="AC279" s="220"/>
      <c r="AD279" s="220"/>
      <c r="AE279" s="220"/>
      <c r="AF279" s="220"/>
      <c r="AG279" s="220"/>
      <c r="AH279" s="220"/>
      <c r="AI279" s="220"/>
      <c r="AJ279" s="50"/>
      <c r="AK279" s="257"/>
      <c r="AL279" s="257"/>
      <c r="AM279" s="52"/>
      <c r="AN279" s="88"/>
    </row>
    <row r="280" spans="1:40" s="29" customFormat="1" ht="17.25" customHeight="1">
      <c r="A280" s="48"/>
      <c r="B280" s="49"/>
      <c r="C280" s="220"/>
      <c r="D280" s="220"/>
      <c r="E280" s="220"/>
      <c r="F280" s="220"/>
      <c r="G280" s="220"/>
      <c r="H280" s="220"/>
      <c r="I280" s="220"/>
      <c r="J280" s="220"/>
      <c r="K280" s="220"/>
      <c r="L280" s="220"/>
      <c r="M280" s="220"/>
      <c r="N280" s="220"/>
      <c r="O280" s="220"/>
      <c r="P280" s="220"/>
      <c r="Q280" s="220"/>
      <c r="R280" s="220"/>
      <c r="S280" s="220"/>
      <c r="T280" s="220"/>
      <c r="U280" s="220"/>
      <c r="V280" s="220"/>
      <c r="W280" s="220"/>
      <c r="X280" s="220"/>
      <c r="Y280" s="220"/>
      <c r="Z280" s="220"/>
      <c r="AA280" s="220"/>
      <c r="AB280" s="220"/>
      <c r="AC280" s="220"/>
      <c r="AD280" s="220"/>
      <c r="AE280" s="220"/>
      <c r="AF280" s="220"/>
      <c r="AG280" s="220"/>
      <c r="AH280" s="220"/>
      <c r="AI280" s="220"/>
      <c r="AJ280" s="50"/>
      <c r="AK280" s="257"/>
      <c r="AL280" s="257"/>
      <c r="AM280" s="52"/>
      <c r="AN280" s="88"/>
    </row>
    <row r="281" spans="1:40" s="29" customFormat="1" ht="17.25" customHeight="1">
      <c r="A281" s="48"/>
      <c r="B281" s="49"/>
      <c r="C281" s="220"/>
      <c r="D281" s="220"/>
      <c r="E281" s="220"/>
      <c r="F281" s="220"/>
      <c r="G281" s="220"/>
      <c r="H281" s="220"/>
      <c r="I281" s="220"/>
      <c r="J281" s="220"/>
      <c r="K281" s="220"/>
      <c r="L281" s="220"/>
      <c r="M281" s="220"/>
      <c r="N281" s="220"/>
      <c r="O281" s="220"/>
      <c r="P281" s="220"/>
      <c r="Q281" s="220"/>
      <c r="R281" s="220"/>
      <c r="S281" s="220"/>
      <c r="T281" s="220"/>
      <c r="U281" s="220"/>
      <c r="V281" s="220"/>
      <c r="W281" s="220"/>
      <c r="X281" s="220"/>
      <c r="Y281" s="220"/>
      <c r="Z281" s="220"/>
      <c r="AA281" s="220"/>
      <c r="AB281" s="220"/>
      <c r="AC281" s="220"/>
      <c r="AD281" s="220"/>
      <c r="AE281" s="220"/>
      <c r="AF281" s="220"/>
      <c r="AG281" s="220"/>
      <c r="AH281" s="220"/>
      <c r="AI281" s="220"/>
      <c r="AJ281" s="50"/>
      <c r="AK281" s="257"/>
      <c r="AL281" s="257"/>
      <c r="AM281" s="52"/>
      <c r="AN281" s="88"/>
    </row>
    <row r="282" spans="1:40" s="29" customFormat="1" ht="17.25" customHeight="1">
      <c r="A282" s="48"/>
      <c r="B282" s="49"/>
      <c r="C282" s="220"/>
      <c r="D282" s="220"/>
      <c r="E282" s="220"/>
      <c r="F282" s="220"/>
      <c r="G282" s="220"/>
      <c r="H282" s="220"/>
      <c r="I282" s="220"/>
      <c r="J282" s="220"/>
      <c r="K282" s="220"/>
      <c r="L282" s="220"/>
      <c r="M282" s="220"/>
      <c r="N282" s="220"/>
      <c r="O282" s="220"/>
      <c r="P282" s="220"/>
      <c r="Q282" s="220"/>
      <c r="R282" s="220"/>
      <c r="S282" s="220"/>
      <c r="T282" s="220"/>
      <c r="U282" s="220"/>
      <c r="V282" s="220"/>
      <c r="W282" s="220"/>
      <c r="X282" s="220"/>
      <c r="Y282" s="220"/>
      <c r="Z282" s="220"/>
      <c r="AA282" s="220"/>
      <c r="AB282" s="220"/>
      <c r="AC282" s="220"/>
      <c r="AD282" s="220"/>
      <c r="AE282" s="220"/>
      <c r="AF282" s="220"/>
      <c r="AG282" s="220"/>
      <c r="AH282" s="220"/>
      <c r="AI282" s="220"/>
      <c r="AJ282" s="50"/>
      <c r="AK282" s="257"/>
      <c r="AL282" s="257"/>
      <c r="AM282" s="52"/>
      <c r="AN282" s="88"/>
    </row>
    <row r="283" spans="1:40" s="29" customFormat="1" ht="17.25" customHeight="1">
      <c r="A283" s="48"/>
      <c r="B283" s="49"/>
      <c r="C283" s="220"/>
      <c r="D283" s="220"/>
      <c r="E283" s="220"/>
      <c r="F283" s="220"/>
      <c r="G283" s="220"/>
      <c r="H283" s="220"/>
      <c r="I283" s="220"/>
      <c r="J283" s="220"/>
      <c r="K283" s="220"/>
      <c r="L283" s="220"/>
      <c r="M283" s="220"/>
      <c r="N283" s="220"/>
      <c r="O283" s="220"/>
      <c r="P283" s="220"/>
      <c r="Q283" s="220"/>
      <c r="R283" s="220"/>
      <c r="S283" s="220"/>
      <c r="T283" s="220"/>
      <c r="U283" s="220"/>
      <c r="V283" s="220"/>
      <c r="W283" s="220"/>
      <c r="X283" s="220"/>
      <c r="Y283" s="220"/>
      <c r="Z283" s="220"/>
      <c r="AA283" s="220"/>
      <c r="AB283" s="220"/>
      <c r="AC283" s="220"/>
      <c r="AD283" s="220"/>
      <c r="AE283" s="220"/>
      <c r="AF283" s="220"/>
      <c r="AG283" s="220"/>
      <c r="AH283" s="220"/>
      <c r="AI283" s="220"/>
      <c r="AJ283" s="50"/>
      <c r="AK283" s="257"/>
      <c r="AL283" s="257"/>
      <c r="AM283" s="52"/>
      <c r="AN283" s="88"/>
    </row>
    <row r="284" spans="1:40" s="29" customFormat="1" ht="17.25" customHeight="1">
      <c r="A284" s="48"/>
      <c r="B284" s="49"/>
      <c r="C284" s="220"/>
      <c r="D284" s="220"/>
      <c r="E284" s="220"/>
      <c r="F284" s="220"/>
      <c r="G284" s="220"/>
      <c r="H284" s="220"/>
      <c r="I284" s="220"/>
      <c r="J284" s="220"/>
      <c r="K284" s="220"/>
      <c r="L284" s="220"/>
      <c r="M284" s="220"/>
      <c r="N284" s="220"/>
      <c r="O284" s="220"/>
      <c r="P284" s="220"/>
      <c r="Q284" s="220"/>
      <c r="R284" s="220"/>
      <c r="S284" s="220"/>
      <c r="T284" s="220"/>
      <c r="U284" s="220"/>
      <c r="V284" s="220"/>
      <c r="W284" s="220"/>
      <c r="X284" s="220"/>
      <c r="Y284" s="220"/>
      <c r="Z284" s="220"/>
      <c r="AA284" s="220"/>
      <c r="AB284" s="220"/>
      <c r="AC284" s="220"/>
      <c r="AD284" s="220"/>
      <c r="AE284" s="220"/>
      <c r="AF284" s="220"/>
      <c r="AG284" s="220"/>
      <c r="AH284" s="220"/>
      <c r="AI284" s="220"/>
      <c r="AJ284" s="50"/>
      <c r="AK284" s="257"/>
      <c r="AL284" s="257"/>
      <c r="AM284" s="52"/>
      <c r="AN284" s="88"/>
    </row>
    <row r="285" spans="1:40" s="29" customFormat="1" ht="17.25" customHeight="1">
      <c r="A285" s="48"/>
      <c r="B285" s="49"/>
      <c r="C285" s="220"/>
      <c r="D285" s="220"/>
      <c r="E285" s="220"/>
      <c r="F285" s="220"/>
      <c r="G285" s="220"/>
      <c r="H285" s="220"/>
      <c r="I285" s="220"/>
      <c r="J285" s="220"/>
      <c r="K285" s="220"/>
      <c r="L285" s="220"/>
      <c r="M285" s="220"/>
      <c r="N285" s="220"/>
      <c r="O285" s="220"/>
      <c r="P285" s="220"/>
      <c r="Q285" s="220"/>
      <c r="R285" s="220"/>
      <c r="S285" s="220"/>
      <c r="T285" s="220"/>
      <c r="U285" s="220"/>
      <c r="V285" s="220"/>
      <c r="W285" s="220"/>
      <c r="X285" s="220"/>
      <c r="Y285" s="220"/>
      <c r="Z285" s="220"/>
      <c r="AA285" s="220"/>
      <c r="AB285" s="220"/>
      <c r="AC285" s="220"/>
      <c r="AD285" s="220"/>
      <c r="AE285" s="220"/>
      <c r="AF285" s="220"/>
      <c r="AG285" s="220"/>
      <c r="AH285" s="220"/>
      <c r="AI285" s="220"/>
      <c r="AJ285" s="50"/>
      <c r="AK285" s="257"/>
      <c r="AL285" s="257"/>
      <c r="AM285" s="52"/>
      <c r="AN285" s="88"/>
    </row>
    <row r="286" spans="1:40" s="29" customFormat="1" ht="17.25" customHeight="1">
      <c r="A286" s="48"/>
      <c r="B286" s="49"/>
      <c r="C286" s="220"/>
      <c r="D286" s="220"/>
      <c r="E286" s="220"/>
      <c r="F286" s="220"/>
      <c r="G286" s="220"/>
      <c r="H286" s="220"/>
      <c r="I286" s="220"/>
      <c r="J286" s="220"/>
      <c r="K286" s="220"/>
      <c r="L286" s="220"/>
      <c r="M286" s="220"/>
      <c r="N286" s="220"/>
      <c r="O286" s="220"/>
      <c r="P286" s="220"/>
      <c r="Q286" s="220"/>
      <c r="R286" s="220"/>
      <c r="S286" s="220"/>
      <c r="T286" s="220"/>
      <c r="U286" s="220"/>
      <c r="V286" s="220"/>
      <c r="W286" s="220"/>
      <c r="X286" s="220"/>
      <c r="Y286" s="220"/>
      <c r="Z286" s="220"/>
      <c r="AA286" s="220"/>
      <c r="AB286" s="220"/>
      <c r="AC286" s="220"/>
      <c r="AD286" s="220"/>
      <c r="AE286" s="220"/>
      <c r="AF286" s="220"/>
      <c r="AG286" s="220"/>
      <c r="AH286" s="220"/>
      <c r="AI286" s="220"/>
      <c r="AJ286" s="50"/>
      <c r="AK286" s="257"/>
      <c r="AL286" s="257"/>
      <c r="AM286" s="52"/>
      <c r="AN286" s="88"/>
    </row>
    <row r="287" spans="1:40" s="29" customFormat="1" ht="17.25" customHeight="1">
      <c r="A287" s="48"/>
      <c r="B287" s="49"/>
      <c r="C287" s="220"/>
      <c r="D287" s="220"/>
      <c r="E287" s="220"/>
      <c r="F287" s="220"/>
      <c r="G287" s="220"/>
      <c r="H287" s="220"/>
      <c r="I287" s="220"/>
      <c r="J287" s="220"/>
      <c r="K287" s="220"/>
      <c r="L287" s="220"/>
      <c r="M287" s="220"/>
      <c r="N287" s="220"/>
      <c r="O287" s="220"/>
      <c r="P287" s="220"/>
      <c r="Q287" s="220"/>
      <c r="R287" s="220"/>
      <c r="S287" s="220"/>
      <c r="T287" s="220"/>
      <c r="U287" s="220"/>
      <c r="V287" s="220"/>
      <c r="W287" s="220"/>
      <c r="X287" s="220"/>
      <c r="Y287" s="220"/>
      <c r="Z287" s="220"/>
      <c r="AA287" s="220"/>
      <c r="AB287" s="220"/>
      <c r="AC287" s="220"/>
      <c r="AD287" s="220"/>
      <c r="AE287" s="220"/>
      <c r="AF287" s="220"/>
      <c r="AG287" s="220"/>
      <c r="AH287" s="220"/>
      <c r="AI287" s="220"/>
      <c r="AJ287" s="50"/>
      <c r="AK287" s="257"/>
      <c r="AL287" s="257"/>
      <c r="AM287" s="52"/>
      <c r="AN287" s="88"/>
    </row>
    <row r="288" spans="1:40" s="29" customFormat="1" ht="17.25" customHeight="1">
      <c r="A288" s="48"/>
      <c r="B288" s="49"/>
      <c r="C288" s="220"/>
      <c r="D288" s="220"/>
      <c r="E288" s="220"/>
      <c r="F288" s="220"/>
      <c r="G288" s="220"/>
      <c r="H288" s="220"/>
      <c r="I288" s="220"/>
      <c r="J288" s="220"/>
      <c r="K288" s="220"/>
      <c r="L288" s="220"/>
      <c r="M288" s="220"/>
      <c r="N288" s="220"/>
      <c r="O288" s="220"/>
      <c r="P288" s="220"/>
      <c r="Q288" s="220"/>
      <c r="R288" s="220"/>
      <c r="S288" s="220"/>
      <c r="T288" s="220"/>
      <c r="U288" s="220"/>
      <c r="V288" s="220"/>
      <c r="W288" s="220"/>
      <c r="X288" s="220"/>
      <c r="Y288" s="220"/>
      <c r="Z288" s="220"/>
      <c r="AA288" s="220"/>
      <c r="AB288" s="220"/>
      <c r="AC288" s="220"/>
      <c r="AD288" s="220"/>
      <c r="AE288" s="220"/>
      <c r="AF288" s="220"/>
      <c r="AG288" s="220"/>
      <c r="AH288" s="220"/>
      <c r="AI288" s="220"/>
      <c r="AJ288" s="50"/>
      <c r="AK288" s="257"/>
      <c r="AL288" s="257"/>
      <c r="AM288" s="52"/>
      <c r="AN288" s="88"/>
    </row>
    <row r="289" spans="1:40" s="29" customFormat="1" ht="17.25" customHeight="1">
      <c r="A289" s="48"/>
      <c r="B289" s="49"/>
      <c r="C289" s="220"/>
      <c r="D289" s="220"/>
      <c r="E289" s="220"/>
      <c r="F289" s="220"/>
      <c r="G289" s="220"/>
      <c r="H289" s="220"/>
      <c r="I289" s="220"/>
      <c r="J289" s="220"/>
      <c r="K289" s="220"/>
      <c r="L289" s="220"/>
      <c r="M289" s="220"/>
      <c r="N289" s="220"/>
      <c r="O289" s="220"/>
      <c r="P289" s="220"/>
      <c r="Q289" s="220"/>
      <c r="R289" s="220"/>
      <c r="S289" s="220"/>
      <c r="T289" s="220"/>
      <c r="U289" s="220"/>
      <c r="V289" s="220"/>
      <c r="W289" s="220"/>
      <c r="X289" s="220"/>
      <c r="Y289" s="220"/>
      <c r="Z289" s="220"/>
      <c r="AA289" s="220"/>
      <c r="AB289" s="220"/>
      <c r="AC289" s="220"/>
      <c r="AD289" s="220"/>
      <c r="AE289" s="220"/>
      <c r="AF289" s="220"/>
      <c r="AG289" s="220"/>
      <c r="AH289" s="220"/>
      <c r="AI289" s="220"/>
      <c r="AJ289" s="50"/>
      <c r="AK289" s="257"/>
      <c r="AL289" s="257"/>
      <c r="AM289" s="52"/>
      <c r="AN289" s="88"/>
    </row>
    <row r="290" spans="1:40" s="29" customFormat="1" ht="17.25" customHeight="1">
      <c r="A290" s="48"/>
      <c r="B290" s="49"/>
      <c r="C290" s="220"/>
      <c r="D290" s="220"/>
      <c r="E290" s="220"/>
      <c r="F290" s="220"/>
      <c r="G290" s="220"/>
      <c r="H290" s="220"/>
      <c r="I290" s="220"/>
      <c r="J290" s="220"/>
      <c r="K290" s="220"/>
      <c r="L290" s="220"/>
      <c r="M290" s="220"/>
      <c r="N290" s="220"/>
      <c r="O290" s="220"/>
      <c r="P290" s="220"/>
      <c r="Q290" s="220"/>
      <c r="R290" s="220"/>
      <c r="S290" s="220"/>
      <c r="T290" s="220"/>
      <c r="U290" s="220"/>
      <c r="V290" s="220"/>
      <c r="W290" s="220"/>
      <c r="X290" s="220"/>
      <c r="Y290" s="220"/>
      <c r="Z290" s="220"/>
      <c r="AA290" s="220"/>
      <c r="AB290" s="220"/>
      <c r="AC290" s="220"/>
      <c r="AD290" s="220"/>
      <c r="AE290" s="220"/>
      <c r="AF290" s="220"/>
      <c r="AG290" s="220"/>
      <c r="AH290" s="220"/>
      <c r="AI290" s="220"/>
      <c r="AJ290" s="50"/>
      <c r="AK290" s="257"/>
      <c r="AL290" s="257"/>
      <c r="AM290" s="52"/>
      <c r="AN290" s="88"/>
    </row>
    <row r="291" spans="1:40" s="29" customFormat="1" ht="17.25" customHeight="1">
      <c r="A291" s="48"/>
      <c r="B291" s="49"/>
      <c r="C291" s="220"/>
      <c r="D291" s="220"/>
      <c r="E291" s="220"/>
      <c r="F291" s="220"/>
      <c r="G291" s="220"/>
      <c r="H291" s="220"/>
      <c r="I291" s="220"/>
      <c r="J291" s="220"/>
      <c r="K291" s="220"/>
      <c r="L291" s="220"/>
      <c r="M291" s="220"/>
      <c r="N291" s="220"/>
      <c r="O291" s="220"/>
      <c r="P291" s="220"/>
      <c r="Q291" s="220"/>
      <c r="R291" s="220"/>
      <c r="S291" s="220"/>
      <c r="T291" s="220"/>
      <c r="U291" s="220"/>
      <c r="V291" s="220"/>
      <c r="W291" s="220"/>
      <c r="X291" s="220"/>
      <c r="Y291" s="220"/>
      <c r="Z291" s="220"/>
      <c r="AA291" s="220"/>
      <c r="AB291" s="220"/>
      <c r="AC291" s="220"/>
      <c r="AD291" s="220"/>
      <c r="AE291" s="220"/>
      <c r="AF291" s="220"/>
      <c r="AG291" s="220"/>
      <c r="AH291" s="220"/>
      <c r="AI291" s="220"/>
      <c r="AJ291" s="50"/>
      <c r="AK291" s="257"/>
      <c r="AL291" s="257"/>
      <c r="AM291" s="52"/>
      <c r="AN291" s="88"/>
    </row>
    <row r="292" spans="1:40" s="29" customFormat="1" ht="17.25" customHeight="1">
      <c r="A292" s="48"/>
      <c r="B292" s="49"/>
      <c r="C292" s="220"/>
      <c r="D292" s="220"/>
      <c r="E292" s="220"/>
      <c r="F292" s="220"/>
      <c r="G292" s="220"/>
      <c r="H292" s="220"/>
      <c r="I292" s="220"/>
      <c r="J292" s="220"/>
      <c r="K292" s="220"/>
      <c r="L292" s="220"/>
      <c r="M292" s="220"/>
      <c r="N292" s="220"/>
      <c r="O292" s="220"/>
      <c r="P292" s="220"/>
      <c r="Q292" s="220"/>
      <c r="R292" s="220"/>
      <c r="S292" s="220"/>
      <c r="T292" s="220"/>
      <c r="U292" s="220"/>
      <c r="V292" s="220"/>
      <c r="W292" s="220"/>
      <c r="X292" s="220"/>
      <c r="Y292" s="220"/>
      <c r="Z292" s="220"/>
      <c r="AA292" s="220"/>
      <c r="AB292" s="220"/>
      <c r="AC292" s="220"/>
      <c r="AD292" s="220"/>
      <c r="AE292" s="220"/>
      <c r="AF292" s="220"/>
      <c r="AG292" s="220"/>
      <c r="AH292" s="220"/>
      <c r="AI292" s="220"/>
      <c r="AJ292" s="50"/>
      <c r="AK292" s="257"/>
      <c r="AL292" s="257"/>
      <c r="AM292" s="52"/>
      <c r="AN292" s="88"/>
    </row>
    <row r="293" spans="1:40" s="29" customFormat="1" ht="17.25" customHeight="1">
      <c r="A293" s="48"/>
      <c r="B293" s="49"/>
      <c r="C293" s="220"/>
      <c r="D293" s="220"/>
      <c r="E293" s="220"/>
      <c r="F293" s="220"/>
      <c r="G293" s="220"/>
      <c r="H293" s="220"/>
      <c r="I293" s="220"/>
      <c r="J293" s="220"/>
      <c r="K293" s="220"/>
      <c r="L293" s="220"/>
      <c r="M293" s="220"/>
      <c r="N293" s="220"/>
      <c r="O293" s="220"/>
      <c r="P293" s="220"/>
      <c r="Q293" s="220"/>
      <c r="R293" s="220"/>
      <c r="S293" s="220"/>
      <c r="T293" s="220"/>
      <c r="U293" s="220"/>
      <c r="V293" s="220"/>
      <c r="W293" s="220"/>
      <c r="X293" s="220"/>
      <c r="Y293" s="220"/>
      <c r="Z293" s="220"/>
      <c r="AA293" s="220"/>
      <c r="AB293" s="220"/>
      <c r="AC293" s="220"/>
      <c r="AD293" s="220"/>
      <c r="AE293" s="220"/>
      <c r="AF293" s="220"/>
      <c r="AG293" s="220"/>
      <c r="AH293" s="220"/>
      <c r="AI293" s="220"/>
      <c r="AJ293" s="50"/>
      <c r="AK293" s="257"/>
      <c r="AL293" s="257"/>
      <c r="AM293" s="52"/>
      <c r="AN293" s="88"/>
    </row>
    <row r="294" spans="1:40" s="29" customFormat="1" ht="17.25" customHeight="1">
      <c r="A294" s="48"/>
      <c r="B294" s="49"/>
      <c r="C294" s="220"/>
      <c r="D294" s="220"/>
      <c r="E294" s="220"/>
      <c r="F294" s="220"/>
      <c r="G294" s="220"/>
      <c r="H294" s="220"/>
      <c r="I294" s="220"/>
      <c r="J294" s="220"/>
      <c r="K294" s="220"/>
      <c r="L294" s="220"/>
      <c r="M294" s="220"/>
      <c r="N294" s="220"/>
      <c r="O294" s="220"/>
      <c r="P294" s="220"/>
      <c r="Q294" s="220"/>
      <c r="R294" s="220"/>
      <c r="S294" s="220"/>
      <c r="T294" s="220"/>
      <c r="U294" s="220"/>
      <c r="V294" s="220"/>
      <c r="W294" s="220"/>
      <c r="X294" s="220"/>
      <c r="Y294" s="220"/>
      <c r="Z294" s="220"/>
      <c r="AA294" s="220"/>
      <c r="AB294" s="220"/>
      <c r="AC294" s="220"/>
      <c r="AD294" s="220"/>
      <c r="AE294" s="220"/>
      <c r="AF294" s="220"/>
      <c r="AG294" s="220"/>
      <c r="AH294" s="220"/>
      <c r="AI294" s="220"/>
      <c r="AJ294" s="50"/>
      <c r="AK294" s="257"/>
      <c r="AL294" s="257"/>
      <c r="AM294" s="52"/>
      <c r="AN294" s="88"/>
    </row>
    <row r="295" spans="1:40" s="29" customFormat="1" ht="17.25" customHeight="1">
      <c r="A295" s="48"/>
      <c r="B295" s="49"/>
      <c r="C295" s="220"/>
      <c r="D295" s="220"/>
      <c r="E295" s="220"/>
      <c r="F295" s="220"/>
      <c r="G295" s="220"/>
      <c r="H295" s="220"/>
      <c r="I295" s="220"/>
      <c r="J295" s="220"/>
      <c r="K295" s="220"/>
      <c r="L295" s="220"/>
      <c r="M295" s="220"/>
      <c r="N295" s="220"/>
      <c r="O295" s="220"/>
      <c r="P295" s="220"/>
      <c r="Q295" s="220"/>
      <c r="R295" s="220"/>
      <c r="S295" s="220"/>
      <c r="T295" s="220"/>
      <c r="U295" s="220"/>
      <c r="V295" s="220"/>
      <c r="W295" s="220"/>
      <c r="X295" s="220"/>
      <c r="Y295" s="220"/>
      <c r="Z295" s="220"/>
      <c r="AA295" s="220"/>
      <c r="AB295" s="220"/>
      <c r="AC295" s="220"/>
      <c r="AD295" s="220"/>
      <c r="AE295" s="220"/>
      <c r="AF295" s="220"/>
      <c r="AG295" s="220"/>
      <c r="AH295" s="220"/>
      <c r="AI295" s="220"/>
      <c r="AJ295" s="50"/>
      <c r="AK295" s="257"/>
      <c r="AL295" s="257"/>
      <c r="AM295" s="52"/>
      <c r="AN295" s="88"/>
    </row>
    <row r="296" spans="1:40" s="29" customFormat="1" ht="17.25" customHeight="1">
      <c r="A296" s="48"/>
      <c r="B296" s="49"/>
      <c r="C296" s="220"/>
      <c r="D296" s="220"/>
      <c r="E296" s="220"/>
      <c r="F296" s="220"/>
      <c r="G296" s="220"/>
      <c r="H296" s="220"/>
      <c r="I296" s="220"/>
      <c r="J296" s="220"/>
      <c r="K296" s="220"/>
      <c r="L296" s="220"/>
      <c r="M296" s="220"/>
      <c r="N296" s="220"/>
      <c r="O296" s="220"/>
      <c r="P296" s="220"/>
      <c r="Q296" s="220"/>
      <c r="R296" s="220"/>
      <c r="S296" s="220"/>
      <c r="T296" s="220"/>
      <c r="U296" s="220"/>
      <c r="V296" s="220"/>
      <c r="W296" s="220"/>
      <c r="X296" s="220"/>
      <c r="Y296" s="220"/>
      <c r="Z296" s="220"/>
      <c r="AA296" s="220"/>
      <c r="AB296" s="220"/>
      <c r="AC296" s="220"/>
      <c r="AD296" s="220"/>
      <c r="AE296" s="220"/>
      <c r="AF296" s="220"/>
      <c r="AG296" s="220"/>
      <c r="AH296" s="220"/>
      <c r="AI296" s="220"/>
      <c r="AJ296" s="50"/>
      <c r="AK296" s="257"/>
      <c r="AL296" s="257"/>
      <c r="AM296" s="52"/>
      <c r="AN296" s="88"/>
    </row>
    <row r="297" spans="1:40" s="29" customFormat="1" ht="17.25" customHeight="1">
      <c r="A297" s="48"/>
      <c r="B297" s="49"/>
      <c r="C297" s="220"/>
      <c r="D297" s="220"/>
      <c r="E297" s="220"/>
      <c r="F297" s="220"/>
      <c r="G297" s="220"/>
      <c r="H297" s="220"/>
      <c r="I297" s="220"/>
      <c r="J297" s="220"/>
      <c r="K297" s="220"/>
      <c r="L297" s="220"/>
      <c r="M297" s="220"/>
      <c r="N297" s="220"/>
      <c r="O297" s="220"/>
      <c r="P297" s="220"/>
      <c r="Q297" s="220"/>
      <c r="R297" s="220"/>
      <c r="S297" s="220"/>
      <c r="T297" s="220"/>
      <c r="U297" s="220"/>
      <c r="V297" s="220"/>
      <c r="W297" s="220"/>
      <c r="X297" s="220"/>
      <c r="Y297" s="220"/>
      <c r="Z297" s="220"/>
      <c r="AA297" s="220"/>
      <c r="AB297" s="220"/>
      <c r="AC297" s="220"/>
      <c r="AD297" s="220"/>
      <c r="AE297" s="220"/>
      <c r="AF297" s="220"/>
      <c r="AG297" s="220"/>
      <c r="AH297" s="220"/>
      <c r="AI297" s="220"/>
      <c r="AJ297" s="50"/>
      <c r="AK297" s="257"/>
      <c r="AL297" s="257"/>
      <c r="AM297" s="52"/>
      <c r="AN297" s="88"/>
    </row>
    <row r="298" spans="1:40" s="29" customFormat="1" ht="17.25" customHeight="1">
      <c r="A298" s="48"/>
      <c r="B298" s="49"/>
      <c r="C298" s="220"/>
      <c r="D298" s="220"/>
      <c r="E298" s="220"/>
      <c r="F298" s="220"/>
      <c r="G298" s="220"/>
      <c r="H298" s="220"/>
      <c r="I298" s="220"/>
      <c r="J298" s="220"/>
      <c r="K298" s="220"/>
      <c r="L298" s="220"/>
      <c r="M298" s="220"/>
      <c r="N298" s="220"/>
      <c r="O298" s="220"/>
      <c r="P298" s="220"/>
      <c r="Q298" s="220"/>
      <c r="R298" s="220"/>
      <c r="S298" s="220"/>
      <c r="T298" s="220"/>
      <c r="U298" s="220"/>
      <c r="V298" s="220"/>
      <c r="W298" s="220"/>
      <c r="X298" s="220"/>
      <c r="Y298" s="220"/>
      <c r="Z298" s="220"/>
      <c r="AA298" s="220"/>
      <c r="AB298" s="220"/>
      <c r="AC298" s="220"/>
      <c r="AD298" s="220"/>
      <c r="AE298" s="220"/>
      <c r="AF298" s="220"/>
      <c r="AG298" s="220"/>
      <c r="AH298" s="220"/>
      <c r="AI298" s="220"/>
      <c r="AJ298" s="50"/>
      <c r="AK298" s="257"/>
      <c r="AL298" s="257"/>
      <c r="AM298" s="52"/>
      <c r="AN298" s="88"/>
    </row>
    <row r="299" spans="1:40" s="29" customFormat="1" ht="17.25" customHeight="1">
      <c r="A299" s="48"/>
      <c r="B299" s="49"/>
      <c r="C299" s="220"/>
      <c r="D299" s="220"/>
      <c r="E299" s="220"/>
      <c r="F299" s="220"/>
      <c r="G299" s="220"/>
      <c r="H299" s="220"/>
      <c r="I299" s="220"/>
      <c r="J299" s="220"/>
      <c r="K299" s="220"/>
      <c r="L299" s="220"/>
      <c r="M299" s="220"/>
      <c r="N299" s="220"/>
      <c r="O299" s="220"/>
      <c r="P299" s="220"/>
      <c r="Q299" s="220"/>
      <c r="R299" s="220"/>
      <c r="S299" s="220"/>
      <c r="T299" s="220"/>
      <c r="U299" s="220"/>
      <c r="V299" s="220"/>
      <c r="W299" s="220"/>
      <c r="X299" s="220"/>
      <c r="Y299" s="220"/>
      <c r="Z299" s="220"/>
      <c r="AA299" s="220"/>
      <c r="AB299" s="220"/>
      <c r="AC299" s="220"/>
      <c r="AD299" s="220"/>
      <c r="AE299" s="220"/>
      <c r="AF299" s="220"/>
      <c r="AG299" s="220"/>
      <c r="AH299" s="220"/>
      <c r="AI299" s="220"/>
      <c r="AJ299" s="50"/>
      <c r="AK299" s="257"/>
      <c r="AL299" s="257"/>
      <c r="AM299" s="52"/>
      <c r="AN299" s="88"/>
    </row>
    <row r="300" spans="1:40" s="29" customFormat="1" ht="17.25" customHeight="1">
      <c r="A300" s="48"/>
      <c r="B300" s="49"/>
      <c r="C300" s="220"/>
      <c r="D300" s="220"/>
      <c r="E300" s="220"/>
      <c r="F300" s="220"/>
      <c r="G300" s="220"/>
      <c r="H300" s="220"/>
      <c r="I300" s="220"/>
      <c r="J300" s="220"/>
      <c r="K300" s="220"/>
      <c r="L300" s="220"/>
      <c r="M300" s="220"/>
      <c r="N300" s="220"/>
      <c r="O300" s="220"/>
      <c r="P300" s="220"/>
      <c r="Q300" s="220"/>
      <c r="R300" s="220"/>
      <c r="S300" s="220"/>
      <c r="T300" s="220"/>
      <c r="U300" s="220"/>
      <c r="V300" s="220"/>
      <c r="W300" s="220"/>
      <c r="X300" s="220"/>
      <c r="Y300" s="220"/>
      <c r="Z300" s="220"/>
      <c r="AA300" s="220"/>
      <c r="AB300" s="220"/>
      <c r="AC300" s="220"/>
      <c r="AD300" s="220"/>
      <c r="AE300" s="220"/>
      <c r="AF300" s="220"/>
      <c r="AG300" s="220"/>
      <c r="AH300" s="220"/>
      <c r="AI300" s="220"/>
      <c r="AJ300" s="50"/>
      <c r="AK300" s="257"/>
      <c r="AL300" s="257"/>
      <c r="AM300" s="52"/>
      <c r="AN300" s="88"/>
    </row>
    <row r="301" spans="1:40" s="29" customFormat="1" ht="17.25" customHeight="1">
      <c r="A301" s="48"/>
      <c r="B301" s="49"/>
      <c r="C301" s="220"/>
      <c r="D301" s="220"/>
      <c r="E301" s="220"/>
      <c r="F301" s="220"/>
      <c r="G301" s="220"/>
      <c r="H301" s="220"/>
      <c r="I301" s="220"/>
      <c r="J301" s="220"/>
      <c r="K301" s="220"/>
      <c r="L301" s="220"/>
      <c r="M301" s="220"/>
      <c r="N301" s="220"/>
      <c r="O301" s="220"/>
      <c r="P301" s="220"/>
      <c r="Q301" s="220"/>
      <c r="R301" s="220"/>
      <c r="S301" s="220"/>
      <c r="T301" s="220"/>
      <c r="U301" s="220"/>
      <c r="V301" s="220"/>
      <c r="W301" s="220"/>
      <c r="X301" s="220"/>
      <c r="Y301" s="220"/>
      <c r="Z301" s="220"/>
      <c r="AA301" s="220"/>
      <c r="AB301" s="220"/>
      <c r="AC301" s="220"/>
      <c r="AD301" s="220"/>
      <c r="AE301" s="220"/>
      <c r="AF301" s="220"/>
      <c r="AG301" s="220"/>
      <c r="AH301" s="220"/>
      <c r="AI301" s="220"/>
      <c r="AJ301" s="50"/>
      <c r="AK301" s="257"/>
      <c r="AL301" s="257"/>
      <c r="AM301" s="52"/>
      <c r="AN301" s="88"/>
    </row>
    <row r="302" spans="1:40" s="29" customFormat="1" ht="17.25" customHeight="1">
      <c r="A302" s="48"/>
      <c r="B302" s="49"/>
      <c r="C302" s="220"/>
      <c r="D302" s="220"/>
      <c r="E302" s="220"/>
      <c r="F302" s="220"/>
      <c r="G302" s="220"/>
      <c r="H302" s="220"/>
      <c r="I302" s="220"/>
      <c r="J302" s="220"/>
      <c r="K302" s="220"/>
      <c r="L302" s="220"/>
      <c r="M302" s="220"/>
      <c r="N302" s="220"/>
      <c r="O302" s="220"/>
      <c r="P302" s="220"/>
      <c r="Q302" s="220"/>
      <c r="R302" s="220"/>
      <c r="S302" s="220"/>
      <c r="T302" s="220"/>
      <c r="U302" s="220"/>
      <c r="V302" s="220"/>
      <c r="W302" s="220"/>
      <c r="X302" s="220"/>
      <c r="Y302" s="220"/>
      <c r="Z302" s="220"/>
      <c r="AA302" s="220"/>
      <c r="AB302" s="220"/>
      <c r="AC302" s="220"/>
      <c r="AD302" s="220"/>
      <c r="AE302" s="220"/>
      <c r="AF302" s="220"/>
      <c r="AG302" s="220"/>
      <c r="AH302" s="220"/>
      <c r="AI302" s="220"/>
      <c r="AJ302" s="50"/>
      <c r="AK302" s="257"/>
      <c r="AL302" s="257"/>
      <c r="AM302" s="52"/>
      <c r="AN302" s="88"/>
    </row>
    <row r="303" spans="1:40" s="29" customFormat="1" ht="17.25" customHeight="1">
      <c r="A303" s="48"/>
      <c r="B303" s="49"/>
      <c r="C303" s="220"/>
      <c r="D303" s="220"/>
      <c r="E303" s="220"/>
      <c r="F303" s="220"/>
      <c r="G303" s="220"/>
      <c r="H303" s="220"/>
      <c r="I303" s="220"/>
      <c r="J303" s="220"/>
      <c r="K303" s="220"/>
      <c r="L303" s="220"/>
      <c r="M303" s="220"/>
      <c r="N303" s="220"/>
      <c r="O303" s="220"/>
      <c r="P303" s="220"/>
      <c r="Q303" s="220"/>
      <c r="R303" s="220"/>
      <c r="S303" s="220"/>
      <c r="T303" s="220"/>
      <c r="U303" s="220"/>
      <c r="V303" s="220"/>
      <c r="W303" s="220"/>
      <c r="X303" s="220"/>
      <c r="Y303" s="220"/>
      <c r="Z303" s="220"/>
      <c r="AA303" s="220"/>
      <c r="AB303" s="220"/>
      <c r="AC303" s="220"/>
      <c r="AD303" s="220"/>
      <c r="AE303" s="220"/>
      <c r="AF303" s="220"/>
      <c r="AG303" s="220"/>
      <c r="AH303" s="220"/>
      <c r="AI303" s="220"/>
      <c r="AJ303" s="50"/>
      <c r="AK303" s="257"/>
      <c r="AL303" s="257"/>
      <c r="AM303" s="52"/>
      <c r="AN303" s="88"/>
    </row>
    <row r="304" spans="1:40" s="29" customFormat="1" ht="17.25" customHeight="1">
      <c r="A304" s="48"/>
      <c r="B304" s="49"/>
      <c r="C304" s="220"/>
      <c r="D304" s="220"/>
      <c r="E304" s="220"/>
      <c r="F304" s="220"/>
      <c r="G304" s="220"/>
      <c r="H304" s="220"/>
      <c r="I304" s="220"/>
      <c r="J304" s="220"/>
      <c r="K304" s="220"/>
      <c r="L304" s="220"/>
      <c r="M304" s="220"/>
      <c r="N304" s="220"/>
      <c r="O304" s="220"/>
      <c r="P304" s="220"/>
      <c r="Q304" s="220"/>
      <c r="R304" s="220"/>
      <c r="S304" s="220"/>
      <c r="T304" s="220"/>
      <c r="U304" s="220"/>
      <c r="V304" s="220"/>
      <c r="W304" s="220"/>
      <c r="X304" s="220"/>
      <c r="Y304" s="220"/>
      <c r="Z304" s="220"/>
      <c r="AA304" s="220"/>
      <c r="AB304" s="220"/>
      <c r="AC304" s="220"/>
      <c r="AD304" s="220"/>
      <c r="AE304" s="220"/>
      <c r="AF304" s="220"/>
      <c r="AG304" s="220"/>
      <c r="AH304" s="220"/>
      <c r="AI304" s="220"/>
      <c r="AJ304" s="50"/>
      <c r="AK304" s="257"/>
      <c r="AL304" s="257"/>
      <c r="AM304" s="52"/>
      <c r="AN304" s="88"/>
    </row>
    <row r="305" spans="1:40" s="29" customFormat="1" ht="17.25" customHeight="1">
      <c r="A305" s="48"/>
      <c r="B305" s="49"/>
      <c r="C305" s="220"/>
      <c r="D305" s="220"/>
      <c r="E305" s="220"/>
      <c r="F305" s="220"/>
      <c r="G305" s="220"/>
      <c r="H305" s="220"/>
      <c r="I305" s="220"/>
      <c r="J305" s="220"/>
      <c r="K305" s="220"/>
      <c r="L305" s="220"/>
      <c r="M305" s="220"/>
      <c r="N305" s="220"/>
      <c r="O305" s="220"/>
      <c r="P305" s="220"/>
      <c r="Q305" s="220"/>
      <c r="R305" s="220"/>
      <c r="S305" s="220"/>
      <c r="T305" s="220"/>
      <c r="U305" s="220"/>
      <c r="V305" s="220"/>
      <c r="W305" s="220"/>
      <c r="X305" s="220"/>
      <c r="Y305" s="220"/>
      <c r="Z305" s="220"/>
      <c r="AA305" s="220"/>
      <c r="AB305" s="220"/>
      <c r="AC305" s="220"/>
      <c r="AD305" s="220"/>
      <c r="AE305" s="220"/>
      <c r="AF305" s="220"/>
      <c r="AG305" s="220"/>
      <c r="AH305" s="220"/>
      <c r="AI305" s="220"/>
      <c r="AJ305" s="50"/>
      <c r="AK305" s="257"/>
      <c r="AL305" s="257"/>
      <c r="AM305" s="52"/>
      <c r="AN305" s="88"/>
    </row>
    <row r="306" spans="1:40" s="29" customFormat="1" ht="17.25" customHeight="1">
      <c r="A306" s="48"/>
      <c r="B306" s="49"/>
      <c r="C306" s="220"/>
      <c r="D306" s="220"/>
      <c r="E306" s="220"/>
      <c r="F306" s="220"/>
      <c r="G306" s="220"/>
      <c r="H306" s="220"/>
      <c r="I306" s="220"/>
      <c r="J306" s="220"/>
      <c r="K306" s="220"/>
      <c r="L306" s="220"/>
      <c r="M306" s="220"/>
      <c r="N306" s="220"/>
      <c r="O306" s="220"/>
      <c r="P306" s="220"/>
      <c r="Q306" s="220"/>
      <c r="R306" s="220"/>
      <c r="S306" s="220"/>
      <c r="T306" s="220"/>
      <c r="U306" s="220"/>
      <c r="V306" s="220"/>
      <c r="W306" s="220"/>
      <c r="X306" s="220"/>
      <c r="Y306" s="220"/>
      <c r="Z306" s="220"/>
      <c r="AA306" s="220"/>
      <c r="AB306" s="220"/>
      <c r="AC306" s="220"/>
      <c r="AD306" s="220"/>
      <c r="AE306" s="220"/>
      <c r="AF306" s="220"/>
      <c r="AG306" s="220"/>
      <c r="AH306" s="220"/>
      <c r="AI306" s="220"/>
      <c r="AJ306" s="50"/>
      <c r="AK306" s="257"/>
      <c r="AL306" s="257"/>
      <c r="AM306" s="52"/>
      <c r="AN306" s="88"/>
    </row>
    <row r="307" spans="1:40" s="29" customFormat="1" ht="17.25" customHeight="1">
      <c r="A307" s="48"/>
      <c r="B307" s="49"/>
      <c r="C307" s="220"/>
      <c r="D307" s="220"/>
      <c r="E307" s="220"/>
      <c r="F307" s="220"/>
      <c r="G307" s="220"/>
      <c r="H307" s="220"/>
      <c r="I307" s="220"/>
      <c r="J307" s="220"/>
      <c r="K307" s="220"/>
      <c r="L307" s="220"/>
      <c r="M307" s="220"/>
      <c r="N307" s="220"/>
      <c r="O307" s="220"/>
      <c r="P307" s="220"/>
      <c r="Q307" s="220"/>
      <c r="R307" s="220"/>
      <c r="S307" s="220"/>
      <c r="T307" s="220"/>
      <c r="U307" s="220"/>
      <c r="V307" s="220"/>
      <c r="W307" s="220"/>
      <c r="X307" s="220"/>
      <c r="Y307" s="220"/>
      <c r="Z307" s="220"/>
      <c r="AA307" s="220"/>
      <c r="AB307" s="220"/>
      <c r="AC307" s="220"/>
      <c r="AD307" s="220"/>
      <c r="AE307" s="220"/>
      <c r="AF307" s="220"/>
      <c r="AG307" s="220"/>
      <c r="AH307" s="220"/>
      <c r="AI307" s="220"/>
      <c r="AJ307" s="50"/>
      <c r="AK307" s="257"/>
      <c r="AL307" s="257"/>
      <c r="AM307" s="52"/>
      <c r="AN307" s="88"/>
    </row>
    <row r="308" spans="1:40" s="29" customFormat="1" ht="17.25" customHeight="1">
      <c r="A308" s="48"/>
      <c r="B308" s="49"/>
      <c r="C308" s="220"/>
      <c r="D308" s="220"/>
      <c r="E308" s="220"/>
      <c r="F308" s="220"/>
      <c r="G308" s="220"/>
      <c r="H308" s="220"/>
      <c r="I308" s="220"/>
      <c r="J308" s="220"/>
      <c r="K308" s="220"/>
      <c r="L308" s="220"/>
      <c r="M308" s="220"/>
      <c r="N308" s="220"/>
      <c r="O308" s="220"/>
      <c r="P308" s="220"/>
      <c r="Q308" s="220"/>
      <c r="R308" s="220"/>
      <c r="S308" s="220"/>
      <c r="T308" s="220"/>
      <c r="U308" s="220"/>
      <c r="V308" s="220"/>
      <c r="W308" s="220"/>
      <c r="X308" s="220"/>
      <c r="Y308" s="220"/>
      <c r="Z308" s="220"/>
      <c r="AA308" s="220"/>
      <c r="AB308" s="220"/>
      <c r="AC308" s="220"/>
      <c r="AD308" s="220"/>
      <c r="AE308" s="220"/>
      <c r="AF308" s="220"/>
      <c r="AG308" s="220"/>
      <c r="AH308" s="220"/>
      <c r="AI308" s="220"/>
      <c r="AJ308" s="50"/>
      <c r="AK308" s="257"/>
      <c r="AL308" s="257"/>
      <c r="AM308" s="52"/>
      <c r="AN308" s="88"/>
    </row>
    <row r="309" spans="1:40" s="29" customFormat="1" ht="17.25" customHeight="1">
      <c r="A309" s="48"/>
      <c r="B309" s="49"/>
      <c r="C309" s="220"/>
      <c r="D309" s="220"/>
      <c r="E309" s="220"/>
      <c r="F309" s="220"/>
      <c r="G309" s="220"/>
      <c r="H309" s="220"/>
      <c r="I309" s="220"/>
      <c r="J309" s="220"/>
      <c r="K309" s="220"/>
      <c r="L309" s="220"/>
      <c r="M309" s="220"/>
      <c r="N309" s="220"/>
      <c r="O309" s="220"/>
      <c r="P309" s="220"/>
      <c r="Q309" s="220"/>
      <c r="R309" s="220"/>
      <c r="S309" s="220"/>
      <c r="T309" s="220"/>
      <c r="U309" s="220"/>
      <c r="V309" s="220"/>
      <c r="W309" s="220"/>
      <c r="X309" s="220"/>
      <c r="Y309" s="220"/>
      <c r="Z309" s="220"/>
      <c r="AA309" s="220"/>
      <c r="AB309" s="220"/>
      <c r="AC309" s="220"/>
      <c r="AD309" s="220"/>
      <c r="AE309" s="220"/>
      <c r="AF309" s="220"/>
      <c r="AG309" s="220"/>
      <c r="AH309" s="220"/>
      <c r="AI309" s="220"/>
      <c r="AJ309" s="50"/>
      <c r="AK309" s="257"/>
      <c r="AL309" s="257"/>
      <c r="AM309" s="52"/>
      <c r="AN309" s="88"/>
    </row>
    <row r="310" spans="1:40" s="29" customFormat="1" ht="17.25" customHeight="1">
      <c r="A310" s="48"/>
      <c r="B310" s="49"/>
      <c r="C310" s="220"/>
      <c r="D310" s="220"/>
      <c r="E310" s="220"/>
      <c r="F310" s="220"/>
      <c r="G310" s="220"/>
      <c r="H310" s="220"/>
      <c r="I310" s="220"/>
      <c r="J310" s="220"/>
      <c r="K310" s="220"/>
      <c r="L310" s="220"/>
      <c r="M310" s="220"/>
      <c r="N310" s="220"/>
      <c r="O310" s="220"/>
      <c r="P310" s="220"/>
      <c r="Q310" s="220"/>
      <c r="R310" s="220"/>
      <c r="S310" s="220"/>
      <c r="T310" s="220"/>
      <c r="U310" s="220"/>
      <c r="V310" s="220"/>
      <c r="W310" s="220"/>
      <c r="X310" s="220"/>
      <c r="Y310" s="220"/>
      <c r="Z310" s="220"/>
      <c r="AA310" s="220"/>
      <c r="AB310" s="220"/>
      <c r="AC310" s="220"/>
      <c r="AD310" s="220"/>
      <c r="AE310" s="220"/>
      <c r="AF310" s="220"/>
      <c r="AG310" s="220"/>
      <c r="AH310" s="220"/>
      <c r="AI310" s="220"/>
      <c r="AJ310" s="50"/>
      <c r="AK310" s="257"/>
      <c r="AL310" s="257"/>
      <c r="AM310" s="52"/>
      <c r="AN310" s="88"/>
    </row>
    <row r="311" spans="1:40" s="29" customFormat="1" ht="17.25" customHeight="1">
      <c r="A311" s="48"/>
      <c r="B311" s="49"/>
      <c r="C311" s="220"/>
      <c r="D311" s="220"/>
      <c r="E311" s="220"/>
      <c r="F311" s="220"/>
      <c r="G311" s="220"/>
      <c r="H311" s="220"/>
      <c r="I311" s="220"/>
      <c r="J311" s="220"/>
      <c r="K311" s="220"/>
      <c r="L311" s="220"/>
      <c r="M311" s="220"/>
      <c r="N311" s="220"/>
      <c r="O311" s="220"/>
      <c r="P311" s="220"/>
      <c r="Q311" s="220"/>
      <c r="R311" s="220"/>
      <c r="S311" s="220"/>
      <c r="T311" s="220"/>
      <c r="U311" s="220"/>
      <c r="V311" s="220"/>
      <c r="W311" s="220"/>
      <c r="X311" s="220"/>
      <c r="Y311" s="220"/>
      <c r="Z311" s="220"/>
      <c r="AA311" s="220"/>
      <c r="AB311" s="220"/>
      <c r="AC311" s="220"/>
      <c r="AD311" s="220"/>
      <c r="AE311" s="220"/>
      <c r="AF311" s="220"/>
      <c r="AG311" s="220"/>
      <c r="AH311" s="220"/>
      <c r="AI311" s="220"/>
      <c r="AJ311" s="50"/>
      <c r="AK311" s="257"/>
      <c r="AL311" s="257"/>
      <c r="AM311" s="52"/>
      <c r="AN311" s="88"/>
    </row>
    <row r="312" spans="1:40" s="29" customFormat="1" ht="17.25" customHeight="1">
      <c r="A312" s="48"/>
      <c r="B312" s="49"/>
      <c r="C312" s="220"/>
      <c r="D312" s="220"/>
      <c r="E312" s="220"/>
      <c r="F312" s="220"/>
      <c r="G312" s="220"/>
      <c r="H312" s="220"/>
      <c r="I312" s="220"/>
      <c r="J312" s="220"/>
      <c r="K312" s="220"/>
      <c r="L312" s="220"/>
      <c r="M312" s="220"/>
      <c r="N312" s="220"/>
      <c r="O312" s="220"/>
      <c r="P312" s="220"/>
      <c r="Q312" s="220"/>
      <c r="R312" s="220"/>
      <c r="S312" s="220"/>
      <c r="T312" s="220"/>
      <c r="U312" s="220"/>
      <c r="V312" s="220"/>
      <c r="W312" s="220"/>
      <c r="X312" s="220"/>
      <c r="Y312" s="220"/>
      <c r="Z312" s="220"/>
      <c r="AA312" s="220"/>
      <c r="AB312" s="220"/>
      <c r="AC312" s="220"/>
      <c r="AD312" s="220"/>
      <c r="AE312" s="220"/>
      <c r="AF312" s="220"/>
      <c r="AG312" s="220"/>
      <c r="AH312" s="220"/>
      <c r="AI312" s="220"/>
      <c r="AJ312" s="50"/>
      <c r="AK312" s="257"/>
      <c r="AL312" s="257"/>
      <c r="AM312" s="52"/>
      <c r="AN312" s="88"/>
    </row>
    <row r="313" spans="1:40" s="29" customFormat="1" ht="17.25" customHeight="1">
      <c r="A313" s="48"/>
      <c r="B313" s="49"/>
      <c r="C313" s="220"/>
      <c r="D313" s="220"/>
      <c r="E313" s="220"/>
      <c r="F313" s="220"/>
      <c r="G313" s="220"/>
      <c r="H313" s="220"/>
      <c r="I313" s="220"/>
      <c r="J313" s="220"/>
      <c r="K313" s="220"/>
      <c r="L313" s="220"/>
      <c r="M313" s="220"/>
      <c r="N313" s="220"/>
      <c r="O313" s="220"/>
      <c r="P313" s="220"/>
      <c r="Q313" s="220"/>
      <c r="R313" s="220"/>
      <c r="S313" s="220"/>
      <c r="T313" s="220"/>
      <c r="U313" s="220"/>
      <c r="V313" s="220"/>
      <c r="W313" s="220"/>
      <c r="X313" s="220"/>
      <c r="Y313" s="220"/>
      <c r="Z313" s="220"/>
      <c r="AA313" s="220"/>
      <c r="AB313" s="220"/>
      <c r="AC313" s="220"/>
      <c r="AD313" s="220"/>
      <c r="AE313" s="220"/>
      <c r="AF313" s="220"/>
      <c r="AG313" s="220"/>
      <c r="AH313" s="220"/>
      <c r="AI313" s="220"/>
      <c r="AJ313" s="50"/>
      <c r="AK313" s="257"/>
      <c r="AL313" s="257"/>
      <c r="AM313" s="52"/>
      <c r="AN313" s="88"/>
    </row>
    <row r="314" spans="1:40" s="29" customFormat="1" ht="17.25" customHeight="1">
      <c r="A314" s="48"/>
      <c r="B314" s="49"/>
      <c r="C314" s="220"/>
      <c r="D314" s="220"/>
      <c r="E314" s="220"/>
      <c r="F314" s="220"/>
      <c r="G314" s="220"/>
      <c r="H314" s="220"/>
      <c r="I314" s="220"/>
      <c r="J314" s="220"/>
      <c r="K314" s="220"/>
      <c r="L314" s="220"/>
      <c r="M314" s="220"/>
      <c r="N314" s="220"/>
      <c r="O314" s="220"/>
      <c r="P314" s="220"/>
      <c r="Q314" s="220"/>
      <c r="R314" s="220"/>
      <c r="S314" s="220"/>
      <c r="T314" s="220"/>
      <c r="U314" s="220"/>
      <c r="V314" s="220"/>
      <c r="W314" s="220"/>
      <c r="X314" s="220"/>
      <c r="Y314" s="220"/>
      <c r="Z314" s="220"/>
      <c r="AA314" s="220"/>
      <c r="AB314" s="220"/>
      <c r="AC314" s="220"/>
      <c r="AD314" s="220"/>
      <c r="AE314" s="220"/>
      <c r="AF314" s="220"/>
      <c r="AG314" s="220"/>
      <c r="AH314" s="220"/>
      <c r="AI314" s="220"/>
      <c r="AJ314" s="50"/>
      <c r="AK314" s="257"/>
      <c r="AL314" s="257"/>
      <c r="AM314" s="52"/>
      <c r="AN314" s="88"/>
    </row>
    <row r="315" spans="1:40" s="29" customFormat="1" ht="17.25" customHeight="1">
      <c r="A315" s="48"/>
      <c r="B315" s="49"/>
      <c r="C315" s="220"/>
      <c r="D315" s="220"/>
      <c r="E315" s="220"/>
      <c r="F315" s="220"/>
      <c r="G315" s="220"/>
      <c r="H315" s="220"/>
      <c r="I315" s="220"/>
      <c r="J315" s="220"/>
      <c r="K315" s="220"/>
      <c r="L315" s="220"/>
      <c r="M315" s="220"/>
      <c r="N315" s="220"/>
      <c r="O315" s="220"/>
      <c r="P315" s="220"/>
      <c r="Q315" s="220"/>
      <c r="R315" s="220"/>
      <c r="S315" s="220"/>
      <c r="T315" s="220"/>
      <c r="U315" s="220"/>
      <c r="V315" s="220"/>
      <c r="W315" s="220"/>
      <c r="X315" s="220"/>
      <c r="Y315" s="220"/>
      <c r="Z315" s="220"/>
      <c r="AA315" s="220"/>
      <c r="AB315" s="220"/>
      <c r="AC315" s="220"/>
      <c r="AD315" s="220"/>
      <c r="AE315" s="220"/>
      <c r="AF315" s="220"/>
      <c r="AG315" s="220"/>
      <c r="AH315" s="220"/>
      <c r="AI315" s="220"/>
      <c r="AJ315" s="50"/>
      <c r="AK315" s="257"/>
      <c r="AL315" s="257"/>
      <c r="AM315" s="52"/>
      <c r="AN315" s="88"/>
    </row>
    <row r="316" spans="1:40" s="29" customFormat="1" ht="17.25" customHeight="1">
      <c r="A316" s="48"/>
      <c r="B316" s="49"/>
      <c r="C316" s="220"/>
      <c r="D316" s="220"/>
      <c r="E316" s="220"/>
      <c r="F316" s="220"/>
      <c r="G316" s="220"/>
      <c r="H316" s="220"/>
      <c r="I316" s="220"/>
      <c r="J316" s="220"/>
      <c r="K316" s="220"/>
      <c r="L316" s="220"/>
      <c r="M316" s="220"/>
      <c r="N316" s="220"/>
      <c r="O316" s="220"/>
      <c r="P316" s="220"/>
      <c r="Q316" s="220"/>
      <c r="R316" s="220"/>
      <c r="S316" s="220"/>
      <c r="T316" s="220"/>
      <c r="U316" s="220"/>
      <c r="V316" s="220"/>
      <c r="W316" s="220"/>
      <c r="X316" s="220"/>
      <c r="Y316" s="220"/>
      <c r="Z316" s="220"/>
      <c r="AA316" s="220"/>
      <c r="AB316" s="220"/>
      <c r="AC316" s="220"/>
      <c r="AD316" s="220"/>
      <c r="AE316" s="220"/>
      <c r="AF316" s="220"/>
      <c r="AG316" s="220"/>
      <c r="AH316" s="220"/>
      <c r="AI316" s="220"/>
      <c r="AJ316" s="50"/>
      <c r="AK316" s="257"/>
      <c r="AL316" s="257"/>
      <c r="AM316" s="52"/>
      <c r="AN316" s="88"/>
    </row>
    <row r="317" spans="1:40" s="29" customFormat="1" ht="17.25" customHeight="1">
      <c r="A317" s="48"/>
      <c r="B317" s="49"/>
      <c r="C317" s="220"/>
      <c r="D317" s="220"/>
      <c r="E317" s="220"/>
      <c r="F317" s="220"/>
      <c r="G317" s="220"/>
      <c r="H317" s="220"/>
      <c r="I317" s="220"/>
      <c r="J317" s="220"/>
      <c r="K317" s="220"/>
      <c r="L317" s="220"/>
      <c r="M317" s="220"/>
      <c r="N317" s="220"/>
      <c r="O317" s="220"/>
      <c r="P317" s="220"/>
      <c r="Q317" s="220"/>
      <c r="R317" s="220"/>
      <c r="S317" s="220"/>
      <c r="T317" s="220"/>
      <c r="U317" s="220"/>
      <c r="V317" s="220"/>
      <c r="W317" s="220"/>
      <c r="X317" s="220"/>
      <c r="Y317" s="220"/>
      <c r="Z317" s="220"/>
      <c r="AA317" s="220"/>
      <c r="AB317" s="220"/>
      <c r="AC317" s="220"/>
      <c r="AD317" s="220"/>
      <c r="AE317" s="220"/>
      <c r="AF317" s="220"/>
      <c r="AG317" s="220"/>
      <c r="AH317" s="220"/>
      <c r="AI317" s="220"/>
      <c r="AJ317" s="50"/>
      <c r="AK317" s="257"/>
      <c r="AL317" s="257"/>
      <c r="AM317" s="52"/>
      <c r="AN317" s="88"/>
    </row>
    <row r="318" spans="1:40" s="29" customFormat="1" ht="17.25" customHeight="1">
      <c r="A318" s="48"/>
      <c r="B318" s="49"/>
      <c r="C318" s="220"/>
      <c r="D318" s="220"/>
      <c r="E318" s="220"/>
      <c r="F318" s="220"/>
      <c r="G318" s="220"/>
      <c r="H318" s="220"/>
      <c r="I318" s="220"/>
      <c r="J318" s="220"/>
      <c r="K318" s="220"/>
      <c r="L318" s="220"/>
      <c r="M318" s="220"/>
      <c r="N318" s="220"/>
      <c r="O318" s="220"/>
      <c r="P318" s="220"/>
      <c r="Q318" s="220"/>
      <c r="R318" s="220"/>
      <c r="S318" s="220"/>
      <c r="T318" s="220"/>
      <c r="U318" s="220"/>
      <c r="V318" s="220"/>
      <c r="W318" s="220"/>
      <c r="X318" s="220"/>
      <c r="Y318" s="220"/>
      <c r="Z318" s="220"/>
      <c r="AA318" s="220"/>
      <c r="AB318" s="220"/>
      <c r="AC318" s="220"/>
      <c r="AD318" s="220"/>
      <c r="AE318" s="220"/>
      <c r="AF318" s="220"/>
      <c r="AG318" s="220"/>
      <c r="AH318" s="220"/>
      <c r="AI318" s="220"/>
      <c r="AJ318" s="50"/>
      <c r="AK318" s="257"/>
      <c r="AL318" s="257"/>
      <c r="AM318" s="52"/>
      <c r="AN318" s="88"/>
    </row>
    <row r="319" spans="1:40" ht="31.5" customHeight="1">
      <c r="AK319" s="257"/>
    </row>
    <row r="320" spans="1:40" ht="31.5" customHeight="1">
      <c r="AK320" s="257"/>
    </row>
    <row r="321" ht="31.5" customHeight="1"/>
    <row r="322" ht="31.5" customHeight="1"/>
  </sheetData>
  <mergeCells count="23">
    <mergeCell ref="A6:C6"/>
    <mergeCell ref="A1:AN1"/>
    <mergeCell ref="A2:AN2"/>
    <mergeCell ref="A3:AN3"/>
    <mergeCell ref="A4:AN4"/>
    <mergeCell ref="A5:C5"/>
    <mergeCell ref="A7:C7"/>
    <mergeCell ref="AC7:AG7"/>
    <mergeCell ref="A8:A10"/>
    <mergeCell ref="B8:B10"/>
    <mergeCell ref="C8:C9"/>
    <mergeCell ref="D8:D9"/>
    <mergeCell ref="E8:E9"/>
    <mergeCell ref="G8:I8"/>
    <mergeCell ref="L8:N8"/>
    <mergeCell ref="Q8:S8"/>
    <mergeCell ref="V8:X8"/>
    <mergeCell ref="AA8:AC8"/>
    <mergeCell ref="AM8:AN8"/>
    <mergeCell ref="AJ8:AJ9"/>
    <mergeCell ref="AK8:AK9"/>
    <mergeCell ref="AL8:AL9"/>
    <mergeCell ref="AF8:AH8"/>
  </mergeCells>
  <printOptions horizontalCentered="1" verticalCentered="1"/>
  <pageMargins left="0.39370078740157483" right="0.31496062992125984" top="0.51181102362204722" bottom="0.31496062992125984" header="0.31496062992125984" footer="0.11811023622047245"/>
  <pageSetup paperSize="9" scale="46" orientation="landscape" r:id="rId1"/>
  <headerFooter>
    <oddFooter>&amp;R&amp;"Times New Roman,Italic"&amp;10Trang &amp;P</oddFooter>
  </headerFooter>
  <colBreaks count="1" manualBreakCount="1">
    <brk id="40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450A-DEC9-4E99-8EA7-9D221B1580AD}">
  <dimension ref="A1:V30"/>
  <sheetViews>
    <sheetView workbookViewId="0">
      <selection sqref="A1:U3"/>
    </sheetView>
  </sheetViews>
  <sheetFormatPr defaultColWidth="8.90625" defaultRowHeight="22.5" customHeight="1"/>
  <cols>
    <col min="1" max="1" width="4.6328125" style="243" customWidth="1"/>
    <col min="2" max="2" width="8.90625" style="243"/>
    <col min="3" max="3" width="6.90625" style="243" customWidth="1"/>
    <col min="4" max="5" width="7" style="243" customWidth="1"/>
    <col min="6" max="6" width="7.54296875" style="243" customWidth="1"/>
    <col min="7" max="14" width="6.54296875" style="243" customWidth="1"/>
    <col min="15" max="20" width="7.08984375" style="243" customWidth="1"/>
    <col min="21" max="16384" width="8.90625" style="243"/>
  </cols>
  <sheetData>
    <row r="1" spans="1:22" ht="18" customHeight="1">
      <c r="A1" s="370" t="s">
        <v>119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  <c r="R1" s="370"/>
      <c r="S1" s="370"/>
      <c r="T1" s="370"/>
      <c r="U1" s="370"/>
    </row>
    <row r="2" spans="1:22" ht="18" customHeight="1">
      <c r="A2" s="370" t="s">
        <v>120</v>
      </c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370"/>
      <c r="Q2" s="370"/>
      <c r="R2" s="370"/>
      <c r="S2" s="370"/>
      <c r="T2" s="370"/>
      <c r="U2" s="370"/>
    </row>
    <row r="3" spans="1:22" ht="18" customHeight="1">
      <c r="A3" s="371" t="s">
        <v>142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</row>
    <row r="4" spans="1:22" ht="18" customHeight="1">
      <c r="A4" s="244"/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6"/>
    </row>
    <row r="5" spans="1:22" ht="18" customHeight="1">
      <c r="A5" s="372" t="s">
        <v>128</v>
      </c>
      <c r="B5" s="373"/>
      <c r="C5" s="373"/>
      <c r="D5" s="373"/>
      <c r="E5" s="373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4"/>
    </row>
    <row r="6" spans="1:22" ht="18" customHeight="1">
      <c r="A6" s="375" t="s">
        <v>141</v>
      </c>
      <c r="B6" s="376"/>
      <c r="C6" s="376"/>
      <c r="D6" s="376"/>
      <c r="E6" s="376"/>
      <c r="F6" s="376"/>
      <c r="G6" s="376"/>
      <c r="H6" s="376"/>
      <c r="I6" s="376"/>
      <c r="J6" s="376"/>
      <c r="K6" s="376"/>
      <c r="L6" s="376"/>
      <c r="M6" s="376"/>
      <c r="N6" s="376"/>
      <c r="O6" s="376"/>
      <c r="P6" s="376"/>
      <c r="Q6" s="376"/>
      <c r="R6" s="376"/>
      <c r="S6" s="376"/>
      <c r="T6" s="376"/>
      <c r="U6" s="377"/>
    </row>
    <row r="7" spans="1:22" ht="18" customHeight="1">
      <c r="A7" s="247"/>
      <c r="B7" s="248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8"/>
      <c r="T7" s="248"/>
      <c r="U7" s="249"/>
    </row>
    <row r="8" spans="1:22" ht="22.5" customHeight="1">
      <c r="A8" s="368" t="s">
        <v>88</v>
      </c>
      <c r="B8" s="369" t="s">
        <v>129</v>
      </c>
      <c r="C8" s="367" t="s">
        <v>130</v>
      </c>
      <c r="D8" s="367" t="s">
        <v>131</v>
      </c>
      <c r="E8" s="367" t="s">
        <v>11</v>
      </c>
      <c r="F8" s="366" t="s">
        <v>132</v>
      </c>
      <c r="G8" s="366"/>
      <c r="H8" s="366"/>
      <c r="I8" s="367" t="s">
        <v>133</v>
      </c>
      <c r="J8" s="367"/>
      <c r="K8" s="367"/>
      <c r="L8" s="366" t="s">
        <v>134</v>
      </c>
      <c r="M8" s="366"/>
      <c r="N8" s="366"/>
      <c r="O8" s="366" t="s">
        <v>135</v>
      </c>
      <c r="P8" s="366"/>
      <c r="Q8" s="366"/>
      <c r="R8" s="366" t="s">
        <v>136</v>
      </c>
      <c r="S8" s="366"/>
      <c r="T8" s="366"/>
      <c r="U8" s="368" t="s">
        <v>137</v>
      </c>
    </row>
    <row r="9" spans="1:22" ht="22.5" customHeight="1">
      <c r="A9" s="368"/>
      <c r="B9" s="369"/>
      <c r="C9" s="367"/>
      <c r="D9" s="367"/>
      <c r="E9" s="367"/>
      <c r="F9" s="250" t="s">
        <v>111</v>
      </c>
      <c r="G9" s="250" t="s">
        <v>138</v>
      </c>
      <c r="H9" s="250" t="s">
        <v>8</v>
      </c>
      <c r="I9" s="250" t="s">
        <v>111</v>
      </c>
      <c r="J9" s="250" t="s">
        <v>138</v>
      </c>
      <c r="K9" s="250" t="s">
        <v>8</v>
      </c>
      <c r="L9" s="250" t="s">
        <v>111</v>
      </c>
      <c r="M9" s="250" t="s">
        <v>138</v>
      </c>
      <c r="N9" s="250" t="s">
        <v>8</v>
      </c>
      <c r="O9" s="251" t="s">
        <v>111</v>
      </c>
      <c r="P9" s="251" t="s">
        <v>138</v>
      </c>
      <c r="Q9" s="251" t="s">
        <v>8</v>
      </c>
      <c r="R9" s="251" t="s">
        <v>111</v>
      </c>
      <c r="S9" s="251" t="s">
        <v>138</v>
      </c>
      <c r="T9" s="251" t="s">
        <v>8</v>
      </c>
      <c r="U9" s="368"/>
    </row>
    <row r="10" spans="1:22" ht="17.25" customHeight="1">
      <c r="A10" s="252">
        <v>1</v>
      </c>
      <c r="B10" s="253" t="e">
        <f>'Km83+720'!#REF!</f>
        <v>#REF!</v>
      </c>
      <c r="C10" s="254">
        <v>1.1839999999999999</v>
      </c>
      <c r="D10" s="254" t="e">
        <f>VLOOKUP(B10,'Km83+720'!B11:AN350,3,FALSE)</f>
        <v>#REF!</v>
      </c>
      <c r="E10" s="255" t="e">
        <f>C10+D10</f>
        <v>#REF!</v>
      </c>
      <c r="F10" s="254" t="e">
        <f>VLOOKUP(B10,'Km83+720'!B11:AN350,5,FALSE)</f>
        <v>#REF!</v>
      </c>
      <c r="G10" s="254" t="e">
        <f>VLOOKUP(B10,'Km83+720'!B11:AN350,6,FALSE)</f>
        <v>#REF!</v>
      </c>
      <c r="H10" s="254" t="e">
        <f>VLOOKUP(B10,'Km83+720'!B11:AN350,7,FALSE)</f>
        <v>#REF!</v>
      </c>
      <c r="I10" s="254" t="e">
        <f>VLOOKUP(B10,'Km83+720'!B11:AN350,8,FALSE)</f>
        <v>#REF!</v>
      </c>
      <c r="J10" s="254" t="e">
        <f>VLOOKUP(B10,'Km83+720'!B11:AN350,9,FALSE)</f>
        <v>#REF!</v>
      </c>
      <c r="K10" s="254" t="e">
        <f>VLOOKUP(B10,'Km83+720'!B11:AN350,10,FALSE)</f>
        <v>#REF!</v>
      </c>
      <c r="L10" s="254" t="e">
        <f>VLOOKUP(B10,'Km83+720'!B11:AN350,11,FALSE)</f>
        <v>#REF!</v>
      </c>
      <c r="M10" s="254" t="e">
        <f>VLOOKUP(B10,'Km83+720'!B11:AN350,12,FALSE)</f>
        <v>#REF!</v>
      </c>
      <c r="N10" s="256" t="e">
        <f>VLOOKUP(B10,'Km83+720'!B11:AN350,13,FALSE)</f>
        <v>#REF!</v>
      </c>
      <c r="O10" s="255">
        <v>0</v>
      </c>
      <c r="P10" s="255">
        <v>0</v>
      </c>
      <c r="Q10" s="255">
        <v>0</v>
      </c>
      <c r="R10" s="255" t="e">
        <f>-VLOOKUP(B10,'Km83+720'!B11:AN350,32,FALSE)</f>
        <v>#REF!</v>
      </c>
      <c r="S10" s="255" t="e">
        <f>-VLOOKUP(B10,'Km83+720'!B11:AN350,33,FALSE)</f>
        <v>#REF!</v>
      </c>
      <c r="T10" s="255" t="e">
        <f>-VLOOKUP(B10,'Km83+720'!B11:AN350,34,FALSE)</f>
        <v>#REF!</v>
      </c>
      <c r="U10" s="255"/>
      <c r="V10" s="243">
        <v>-5</v>
      </c>
    </row>
    <row r="11" spans="1:22" ht="17.25" customHeight="1">
      <c r="A11" s="252">
        <v>2</v>
      </c>
      <c r="B11" s="253" t="e">
        <f>'Km83+720'!#REF!</f>
        <v>#REF!</v>
      </c>
      <c r="C11" s="254">
        <v>1.1839999999999999</v>
      </c>
      <c r="D11" s="254" t="e">
        <f>VLOOKUP(B11,'Km83+720'!B11:AN350,3,FALSE)</f>
        <v>#REF!</v>
      </c>
      <c r="E11" s="255" t="e">
        <f t="shared" ref="E11:E29" si="0">C11+D11</f>
        <v>#REF!</v>
      </c>
      <c r="F11" s="254" t="e">
        <f>VLOOKUP(B11,'Km83+720'!B11:AN350,5,FALSE)</f>
        <v>#REF!</v>
      </c>
      <c r="G11" s="254" t="e">
        <f>VLOOKUP(B11,'Km83+720'!B11:AN350,6,FALSE)</f>
        <v>#REF!</v>
      </c>
      <c r="H11" s="254" t="e">
        <f>VLOOKUP(B11,'Km83+720'!B11:AN350,7,FALSE)</f>
        <v>#REF!</v>
      </c>
      <c r="I11" s="254" t="e">
        <f>VLOOKUP(B11,'Km83+720'!B11:AN350,8,FALSE)</f>
        <v>#REF!</v>
      </c>
      <c r="J11" s="254" t="e">
        <f>VLOOKUP(B11,'Km83+720'!B11:AN350,9,FALSE)</f>
        <v>#REF!</v>
      </c>
      <c r="K11" s="254" t="e">
        <f>VLOOKUP(B11,'Km83+720'!B11:AN350,10,FALSE)</f>
        <v>#REF!</v>
      </c>
      <c r="L11" s="254" t="e">
        <f>VLOOKUP(B11,'Km83+720'!B11:AN350,11,FALSE)</f>
        <v>#REF!</v>
      </c>
      <c r="M11" s="254" t="e">
        <f>VLOOKUP(B11,'Km83+720'!B11:AN350,12,FALSE)</f>
        <v>#REF!</v>
      </c>
      <c r="N11" s="256" t="e">
        <f>VLOOKUP(B11,'Km83+720'!B11:AN350,13,FALSE)</f>
        <v>#REF!</v>
      </c>
      <c r="O11" s="255" t="e">
        <f>R11-R10</f>
        <v>#REF!</v>
      </c>
      <c r="P11" s="255" t="e">
        <f t="shared" ref="P11:Q26" si="1">S11-S10</f>
        <v>#REF!</v>
      </c>
      <c r="Q11" s="255" t="e">
        <f t="shared" si="1"/>
        <v>#REF!</v>
      </c>
      <c r="R11" s="255" t="e">
        <f>-VLOOKUP(B11,'Km83+720'!B11:AN350,32,FALSE)</f>
        <v>#REF!</v>
      </c>
      <c r="S11" s="255" t="e">
        <f>-VLOOKUP(B11,'Km83+720'!B11:AN350,33,FALSE)</f>
        <v>#REF!</v>
      </c>
      <c r="T11" s="255" t="e">
        <f>-VLOOKUP(B11,'Km83+720'!B11:AN350,34,FALSE)</f>
        <v>#REF!</v>
      </c>
      <c r="U11" s="255"/>
    </row>
    <row r="12" spans="1:22" ht="17.25" customHeight="1">
      <c r="A12" s="252">
        <v>3</v>
      </c>
      <c r="B12" s="253">
        <v>45261</v>
      </c>
      <c r="C12" s="254">
        <v>1.1839999999999999</v>
      </c>
      <c r="D12" s="254" t="e">
        <f>VLOOKUP(B12,'Km83+720'!B11:AN350,3,FALSE)</f>
        <v>#N/A</v>
      </c>
      <c r="E12" s="255" t="e">
        <f t="shared" si="0"/>
        <v>#N/A</v>
      </c>
      <c r="F12" s="254" t="e">
        <f>VLOOKUP(B12,'Km83+720'!B11:AN350,5,FALSE)</f>
        <v>#N/A</v>
      </c>
      <c r="G12" s="254" t="e">
        <f>VLOOKUP(B12,'Km83+720'!B11:AN350,6,FALSE)</f>
        <v>#N/A</v>
      </c>
      <c r="H12" s="254" t="e">
        <f>VLOOKUP(B12,'Km83+720'!B11:AN350,7,FALSE)</f>
        <v>#N/A</v>
      </c>
      <c r="I12" s="254" t="e">
        <f>VLOOKUP(B12,'Km83+720'!B11:AN350,8,FALSE)</f>
        <v>#N/A</v>
      </c>
      <c r="J12" s="254" t="e">
        <f>VLOOKUP(B12,'Km83+720'!B11:AN350,9,FALSE)</f>
        <v>#N/A</v>
      </c>
      <c r="K12" s="254" t="e">
        <f>VLOOKUP(B12,'Km83+720'!B11:AN350,10,FALSE)</f>
        <v>#N/A</v>
      </c>
      <c r="L12" s="254" t="e">
        <f>VLOOKUP(B12,'Km83+720'!B11:AN350,11,FALSE)</f>
        <v>#N/A</v>
      </c>
      <c r="M12" s="254" t="e">
        <f>VLOOKUP(B12,'Km83+720'!B11:AN350,12,FALSE)</f>
        <v>#N/A</v>
      </c>
      <c r="N12" s="256" t="e">
        <f>VLOOKUP(B12,'Km83+720'!B11:AN350,13,FALSE)</f>
        <v>#N/A</v>
      </c>
      <c r="O12" s="255" t="e">
        <f t="shared" ref="O12:Q29" si="2">R12-R11</f>
        <v>#N/A</v>
      </c>
      <c r="P12" s="255" t="e">
        <f t="shared" si="1"/>
        <v>#N/A</v>
      </c>
      <c r="Q12" s="255" t="e">
        <f t="shared" si="1"/>
        <v>#N/A</v>
      </c>
      <c r="R12" s="255" t="e">
        <f>-VLOOKUP(B12,'Km83+720'!B11:AN350,32,FALSE)</f>
        <v>#N/A</v>
      </c>
      <c r="S12" s="255" t="e">
        <f>-VLOOKUP(B12,'Km83+720'!B11:AN350,33,FALSE)</f>
        <v>#N/A</v>
      </c>
      <c r="T12" s="255" t="e">
        <f>-VLOOKUP(B12,'Km83+720'!B11:AN350,34,FALSE)</f>
        <v>#N/A</v>
      </c>
      <c r="U12" s="255"/>
    </row>
    <row r="13" spans="1:22" ht="17.25" customHeight="1">
      <c r="A13" s="252">
        <v>4</v>
      </c>
      <c r="B13" s="253">
        <v>45292</v>
      </c>
      <c r="C13" s="254">
        <v>1.1839999999999999</v>
      </c>
      <c r="D13" s="254" t="e">
        <f>VLOOKUP(B13,'Km83+720'!B11:AN350,3,FALSE)</f>
        <v>#N/A</v>
      </c>
      <c r="E13" s="255" t="e">
        <f t="shared" si="0"/>
        <v>#N/A</v>
      </c>
      <c r="F13" s="254" t="e">
        <f>VLOOKUP(B13,'Km83+720'!B11:AN350,5,FALSE)</f>
        <v>#N/A</v>
      </c>
      <c r="G13" s="254" t="e">
        <f>VLOOKUP(B13,'Km83+720'!B11:AN350,6,FALSE)</f>
        <v>#N/A</v>
      </c>
      <c r="H13" s="254" t="e">
        <f>VLOOKUP(B13,'Km83+720'!B11:AN350,7,FALSE)</f>
        <v>#N/A</v>
      </c>
      <c r="I13" s="254" t="e">
        <f>VLOOKUP(B13,'Km83+720'!B11:AN350,8,FALSE)</f>
        <v>#N/A</v>
      </c>
      <c r="J13" s="254" t="e">
        <f>VLOOKUP(B13,'Km83+720'!B11:AN350,9,FALSE)</f>
        <v>#N/A</v>
      </c>
      <c r="K13" s="254" t="e">
        <f>VLOOKUP(B13,'Km83+720'!B11:AN350,10,FALSE)</f>
        <v>#N/A</v>
      </c>
      <c r="L13" s="254" t="e">
        <f>VLOOKUP(B13,'Km83+720'!B11:AN350,11,FALSE)</f>
        <v>#N/A</v>
      </c>
      <c r="M13" s="254" t="e">
        <f>VLOOKUP(B13,'Km83+720'!B11:AN350,12,FALSE)</f>
        <v>#N/A</v>
      </c>
      <c r="N13" s="256" t="e">
        <f>VLOOKUP(B13,'Km83+720'!B11:AN350,13,FALSE)</f>
        <v>#N/A</v>
      </c>
      <c r="O13" s="255" t="e">
        <f t="shared" si="2"/>
        <v>#N/A</v>
      </c>
      <c r="P13" s="255" t="e">
        <f t="shared" si="1"/>
        <v>#N/A</v>
      </c>
      <c r="Q13" s="255" t="e">
        <f t="shared" si="1"/>
        <v>#N/A</v>
      </c>
      <c r="R13" s="255" t="e">
        <f>-VLOOKUP(B13,'Km83+720'!B11:AN350,32,FALSE)</f>
        <v>#N/A</v>
      </c>
      <c r="S13" s="255" t="e">
        <f>-VLOOKUP(B13,'Km83+720'!B11:AN350,33,FALSE)</f>
        <v>#N/A</v>
      </c>
      <c r="T13" s="255" t="e">
        <f>-VLOOKUP(B13,'Km83+720'!B11:AN350,34,FALSE)</f>
        <v>#N/A</v>
      </c>
      <c r="U13" s="255"/>
    </row>
    <row r="14" spans="1:22" ht="17.25" customHeight="1">
      <c r="A14" s="252">
        <v>5</v>
      </c>
      <c r="B14" s="253">
        <v>45323</v>
      </c>
      <c r="C14" s="254">
        <v>1.1839999999999999</v>
      </c>
      <c r="D14" s="254" t="e">
        <f>VLOOKUP(B14,'Km83+720'!B11:AN350,3,FALSE)</f>
        <v>#N/A</v>
      </c>
      <c r="E14" s="255" t="e">
        <f t="shared" si="0"/>
        <v>#N/A</v>
      </c>
      <c r="F14" s="254" t="e">
        <f>VLOOKUP(B14,'Km83+720'!B11:AN350,5,FALSE)</f>
        <v>#N/A</v>
      </c>
      <c r="G14" s="254" t="e">
        <f>VLOOKUP(B14,'Km83+720'!B11:AN350,6,FALSE)</f>
        <v>#N/A</v>
      </c>
      <c r="H14" s="254" t="e">
        <f>VLOOKUP(B14,'Km83+720'!B11:AN350,7,FALSE)</f>
        <v>#N/A</v>
      </c>
      <c r="I14" s="254" t="e">
        <f>VLOOKUP(B14,'Km83+720'!B11:AN350,8,FALSE)</f>
        <v>#N/A</v>
      </c>
      <c r="J14" s="254" t="e">
        <f>VLOOKUP(B14,'Km83+720'!B11:AN350,9,FALSE)</f>
        <v>#N/A</v>
      </c>
      <c r="K14" s="254" t="e">
        <f>VLOOKUP(B14,'Km83+720'!B11:AN350,10,FALSE)</f>
        <v>#N/A</v>
      </c>
      <c r="L14" s="254" t="e">
        <f>VLOOKUP(B14,'Km83+720'!B11:AN350,11,FALSE)</f>
        <v>#N/A</v>
      </c>
      <c r="M14" s="254" t="e">
        <f>VLOOKUP(B14,'Km83+720'!B11:AN350,12,FALSE)</f>
        <v>#N/A</v>
      </c>
      <c r="N14" s="256" t="e">
        <f>VLOOKUP(B14,'Km83+720'!B11:AN350,13,FALSE)</f>
        <v>#N/A</v>
      </c>
      <c r="O14" s="255" t="e">
        <f t="shared" si="2"/>
        <v>#N/A</v>
      </c>
      <c r="P14" s="255" t="e">
        <f t="shared" si="1"/>
        <v>#N/A</v>
      </c>
      <c r="Q14" s="255" t="e">
        <f t="shared" si="1"/>
        <v>#N/A</v>
      </c>
      <c r="R14" s="255" t="e">
        <f>-VLOOKUP(B14,'Km83+720'!B11:AN350,32,FALSE)</f>
        <v>#N/A</v>
      </c>
      <c r="S14" s="255" t="e">
        <f>-VLOOKUP(B14,'Km83+720'!B11:AN350,33,FALSE)</f>
        <v>#N/A</v>
      </c>
      <c r="T14" s="255" t="e">
        <f>-VLOOKUP(B14,'Km83+720'!B11:AN350,34,FALSE)</f>
        <v>#N/A</v>
      </c>
      <c r="U14" s="255"/>
    </row>
    <row r="15" spans="1:22" ht="17.25" customHeight="1">
      <c r="A15" s="252">
        <v>6</v>
      </c>
      <c r="B15" s="253">
        <v>45352</v>
      </c>
      <c r="C15" s="254">
        <v>1.1839999999999999</v>
      </c>
      <c r="D15" s="254" t="e">
        <f>VLOOKUP(B15,'Km83+720'!B11:AN350,3,FALSE)</f>
        <v>#N/A</v>
      </c>
      <c r="E15" s="255" t="e">
        <f t="shared" si="0"/>
        <v>#N/A</v>
      </c>
      <c r="F15" s="254" t="e">
        <f>VLOOKUP(B15,'Km83+720'!B11:AN350,5,FALSE)</f>
        <v>#N/A</v>
      </c>
      <c r="G15" s="254" t="e">
        <f>VLOOKUP(B15,'Km83+720'!B11:AN350,6,FALSE)</f>
        <v>#N/A</v>
      </c>
      <c r="H15" s="254" t="e">
        <f>VLOOKUP(B15,'Km83+720'!B11:AN350,7,FALSE)</f>
        <v>#N/A</v>
      </c>
      <c r="I15" s="254" t="e">
        <f>VLOOKUP(B15,'Km83+720'!B11:AN350,8,FALSE)</f>
        <v>#N/A</v>
      </c>
      <c r="J15" s="254" t="e">
        <f>VLOOKUP(B15,'Km83+720'!B11:AN350,9,FALSE)</f>
        <v>#N/A</v>
      </c>
      <c r="K15" s="254" t="e">
        <f>VLOOKUP(B15,'Km83+720'!B11:AN350,10,FALSE)</f>
        <v>#N/A</v>
      </c>
      <c r="L15" s="254" t="e">
        <f>VLOOKUP(B15,'Km83+720'!B11:AN350,11,FALSE)</f>
        <v>#N/A</v>
      </c>
      <c r="M15" s="254" t="e">
        <f>VLOOKUP(B15,'Km83+720'!B11:AN350,12,FALSE)</f>
        <v>#N/A</v>
      </c>
      <c r="N15" s="256" t="e">
        <f>VLOOKUP(B15,'Km83+720'!B11:AN350,13,FALSE)</f>
        <v>#N/A</v>
      </c>
      <c r="O15" s="255" t="e">
        <f t="shared" si="2"/>
        <v>#N/A</v>
      </c>
      <c r="P15" s="255" t="e">
        <f t="shared" si="1"/>
        <v>#N/A</v>
      </c>
      <c r="Q15" s="255" t="e">
        <f t="shared" si="1"/>
        <v>#N/A</v>
      </c>
      <c r="R15" s="255" t="e">
        <f>-VLOOKUP(B15,'Km83+720'!B11:AN350,32,FALSE)</f>
        <v>#N/A</v>
      </c>
      <c r="S15" s="255" t="e">
        <f>-VLOOKUP(B15,'Km83+720'!B11:AN350,33,FALSE)</f>
        <v>#N/A</v>
      </c>
      <c r="T15" s="255" t="e">
        <f>-VLOOKUP(B15,'Km83+720'!B11:AN350,34,FALSE)</f>
        <v>#N/A</v>
      </c>
      <c r="U15" s="255"/>
    </row>
    <row r="16" spans="1:22" ht="17.25" customHeight="1">
      <c r="A16" s="252">
        <v>7</v>
      </c>
      <c r="B16" s="253">
        <v>45383</v>
      </c>
      <c r="C16" s="254">
        <v>1.1839999999999999</v>
      </c>
      <c r="D16" s="254" t="e">
        <f>VLOOKUP(B16,'Km83+720'!B11:AN350,3,FALSE)</f>
        <v>#N/A</v>
      </c>
      <c r="E16" s="255" t="e">
        <f t="shared" si="0"/>
        <v>#N/A</v>
      </c>
      <c r="F16" s="254" t="e">
        <f>VLOOKUP(B16,'Km83+720'!B11:AN350,5,FALSE)</f>
        <v>#N/A</v>
      </c>
      <c r="G16" s="254" t="e">
        <f>VLOOKUP(B16,'Km83+720'!B11:AN350,6,FALSE)</f>
        <v>#N/A</v>
      </c>
      <c r="H16" s="254" t="e">
        <f>VLOOKUP(B16,'Km83+720'!B11:AN350,7,FALSE)</f>
        <v>#N/A</v>
      </c>
      <c r="I16" s="254" t="e">
        <f>VLOOKUP(B16,'Km83+720'!B11:AN350,8,FALSE)</f>
        <v>#N/A</v>
      </c>
      <c r="J16" s="254" t="e">
        <f>VLOOKUP(B16,'Km83+720'!B11:AN350,9,FALSE)</f>
        <v>#N/A</v>
      </c>
      <c r="K16" s="254" t="e">
        <f>VLOOKUP(B16,'Km83+720'!B11:AN350,10,FALSE)</f>
        <v>#N/A</v>
      </c>
      <c r="L16" s="254" t="e">
        <f>VLOOKUP(B16,'Km83+720'!B11:AN350,11,FALSE)</f>
        <v>#N/A</v>
      </c>
      <c r="M16" s="254" t="e">
        <f>VLOOKUP(B16,'Km83+720'!B11:AN350,12,FALSE)</f>
        <v>#N/A</v>
      </c>
      <c r="N16" s="256" t="e">
        <f>VLOOKUP(B16,'Km83+720'!B11:AN350,13,FALSE)</f>
        <v>#N/A</v>
      </c>
      <c r="O16" s="255" t="e">
        <f t="shared" si="2"/>
        <v>#N/A</v>
      </c>
      <c r="P16" s="255" t="e">
        <f t="shared" si="1"/>
        <v>#N/A</v>
      </c>
      <c r="Q16" s="255" t="e">
        <f t="shared" si="1"/>
        <v>#N/A</v>
      </c>
      <c r="R16" s="255" t="e">
        <f>-VLOOKUP(B16,'Km83+720'!B11:AN350,32,FALSE)</f>
        <v>#N/A</v>
      </c>
      <c r="S16" s="255" t="e">
        <f>-VLOOKUP(B16,'Km83+720'!B11:AN350,33,FALSE)</f>
        <v>#N/A</v>
      </c>
      <c r="T16" s="255" t="e">
        <f>-VLOOKUP(B16,'Km83+720'!B11:AN350,34,FALSE)</f>
        <v>#N/A</v>
      </c>
      <c r="U16" s="255"/>
    </row>
    <row r="17" spans="1:21" ht="17.25" customHeight="1">
      <c r="A17" s="252">
        <v>8</v>
      </c>
      <c r="B17" s="253">
        <v>45413</v>
      </c>
      <c r="C17" s="254">
        <v>1.1839999999999999</v>
      </c>
      <c r="D17" s="254" t="e">
        <f>VLOOKUP(B17,'Km83+720'!B11:AN350,3,FALSE)</f>
        <v>#N/A</v>
      </c>
      <c r="E17" s="255" t="e">
        <f t="shared" si="0"/>
        <v>#N/A</v>
      </c>
      <c r="F17" s="254" t="e">
        <f>VLOOKUP(B17,'Km83+720'!B11:AN350,5,FALSE)</f>
        <v>#N/A</v>
      </c>
      <c r="G17" s="254" t="e">
        <f>VLOOKUP(B17,'Km83+720'!B11:AN350,6,FALSE)</f>
        <v>#N/A</v>
      </c>
      <c r="H17" s="254" t="e">
        <f>VLOOKUP(B17,'Km83+720'!B11:AN350,7,FALSE)</f>
        <v>#N/A</v>
      </c>
      <c r="I17" s="254" t="e">
        <f>VLOOKUP(B17,'Km83+720'!B11:AN350,8,FALSE)</f>
        <v>#N/A</v>
      </c>
      <c r="J17" s="254" t="e">
        <f>VLOOKUP(B17,'Km83+720'!B11:AN350,9,FALSE)</f>
        <v>#N/A</v>
      </c>
      <c r="K17" s="254" t="e">
        <f>VLOOKUP(B17,'Km83+720'!B11:AN350,10,FALSE)</f>
        <v>#N/A</v>
      </c>
      <c r="L17" s="254" t="e">
        <f>VLOOKUP(B17,'Km83+720'!B11:AN350,11,FALSE)</f>
        <v>#N/A</v>
      </c>
      <c r="M17" s="254" t="e">
        <f>VLOOKUP(B17,'Km83+720'!B11:AN350,12,FALSE)</f>
        <v>#N/A</v>
      </c>
      <c r="N17" s="256" t="e">
        <f>VLOOKUP(B17,'Km83+720'!B11:AN350,13,FALSE)</f>
        <v>#N/A</v>
      </c>
      <c r="O17" s="255" t="e">
        <f t="shared" si="2"/>
        <v>#N/A</v>
      </c>
      <c r="P17" s="255" t="e">
        <f t="shared" si="1"/>
        <v>#N/A</v>
      </c>
      <c r="Q17" s="255" t="e">
        <f t="shared" si="1"/>
        <v>#N/A</v>
      </c>
      <c r="R17" s="255" t="e">
        <f>-VLOOKUP(B17,'Km83+720'!B11:AN350,32,FALSE)</f>
        <v>#N/A</v>
      </c>
      <c r="S17" s="255" t="e">
        <f>-VLOOKUP(B17,'Km83+720'!B11:AN350,33,FALSE)</f>
        <v>#N/A</v>
      </c>
      <c r="T17" s="255" t="e">
        <f>-VLOOKUP(B17,'Km83+720'!B11:AN350,34,FALSE)</f>
        <v>#N/A</v>
      </c>
      <c r="U17" s="255"/>
    </row>
    <row r="18" spans="1:21" ht="17.25" customHeight="1">
      <c r="A18" s="252">
        <v>9</v>
      </c>
      <c r="B18" s="253">
        <v>45444</v>
      </c>
      <c r="C18" s="254">
        <v>1.1839999999999999</v>
      </c>
      <c r="D18" s="254" t="e">
        <f>VLOOKUP(B18,'Km83+720'!B11:AN350,3,FALSE)</f>
        <v>#N/A</v>
      </c>
      <c r="E18" s="255" t="e">
        <f t="shared" si="0"/>
        <v>#N/A</v>
      </c>
      <c r="F18" s="254" t="e">
        <f>VLOOKUP(B18,'Km83+720'!B11:AN350,5,FALSE)</f>
        <v>#N/A</v>
      </c>
      <c r="G18" s="254" t="e">
        <f>VLOOKUP(B18,'Km83+720'!B11:AN350,6,FALSE)</f>
        <v>#N/A</v>
      </c>
      <c r="H18" s="254" t="e">
        <f>VLOOKUP(B18,'Km83+720'!B11:AN350,7,FALSE)</f>
        <v>#N/A</v>
      </c>
      <c r="I18" s="254" t="e">
        <f>VLOOKUP(B18,'Km83+720'!B11:AN350,8,FALSE)</f>
        <v>#N/A</v>
      </c>
      <c r="J18" s="254" t="e">
        <f>VLOOKUP(B18,'Km83+720'!B11:AN350,9,FALSE)</f>
        <v>#N/A</v>
      </c>
      <c r="K18" s="254" t="e">
        <f>VLOOKUP(B18,'Km83+720'!B11:AN350,10,FALSE)</f>
        <v>#N/A</v>
      </c>
      <c r="L18" s="254" t="e">
        <f>VLOOKUP(B18,'Km83+720'!B11:AN350,11,FALSE)</f>
        <v>#N/A</v>
      </c>
      <c r="M18" s="254" t="e">
        <f>VLOOKUP(B18,'Km83+720'!B11:AN350,12,FALSE)</f>
        <v>#N/A</v>
      </c>
      <c r="N18" s="256" t="e">
        <f>VLOOKUP(B18,'Km83+720'!B11:AN350,13,FALSE)</f>
        <v>#N/A</v>
      </c>
      <c r="O18" s="255" t="e">
        <f t="shared" si="2"/>
        <v>#N/A</v>
      </c>
      <c r="P18" s="255" t="e">
        <f t="shared" si="1"/>
        <v>#N/A</v>
      </c>
      <c r="Q18" s="255" t="e">
        <f t="shared" si="1"/>
        <v>#N/A</v>
      </c>
      <c r="R18" s="255" t="e">
        <f>-VLOOKUP(B18,'Km83+720'!B11:AN350,32,FALSE)</f>
        <v>#N/A</v>
      </c>
      <c r="S18" s="255" t="e">
        <f>-VLOOKUP(B18,'Km83+720'!B11:AN350,33,FALSE)</f>
        <v>#N/A</v>
      </c>
      <c r="T18" s="255" t="e">
        <f>-VLOOKUP(B18,'Km83+720'!B11:AN350,34,FALSE)</f>
        <v>#N/A</v>
      </c>
      <c r="U18" s="255"/>
    </row>
    <row r="19" spans="1:21" ht="17.25" customHeight="1">
      <c r="A19" s="252">
        <v>10</v>
      </c>
      <c r="B19" s="253">
        <v>45474</v>
      </c>
      <c r="C19" s="254">
        <v>1.1839999999999999</v>
      </c>
      <c r="D19" s="254" t="e">
        <f>VLOOKUP(B19,'Km83+720'!B11:AN351,3,FALSE)</f>
        <v>#N/A</v>
      </c>
      <c r="E19" s="255" t="e">
        <f t="shared" si="0"/>
        <v>#N/A</v>
      </c>
      <c r="F19" s="254" t="e">
        <f>VLOOKUP(B19,'Km83+720'!B11:AN351,5,FALSE)</f>
        <v>#N/A</v>
      </c>
      <c r="G19" s="254" t="e">
        <f>VLOOKUP(B19,'Km83+720'!B11:AN351,6,FALSE)</f>
        <v>#N/A</v>
      </c>
      <c r="H19" s="254" t="e">
        <f>VLOOKUP(B19,'Km83+720'!B11:AN351,7,FALSE)</f>
        <v>#N/A</v>
      </c>
      <c r="I19" s="254" t="e">
        <f>VLOOKUP(B19,'Km83+720'!B11:AN351,8,FALSE)</f>
        <v>#N/A</v>
      </c>
      <c r="J19" s="254" t="e">
        <f>VLOOKUP(B19,'Km83+720'!B11:AN351,9,FALSE)</f>
        <v>#N/A</v>
      </c>
      <c r="K19" s="254" t="e">
        <f>VLOOKUP(B19,'Km83+720'!B11:AN351,10,FALSE)</f>
        <v>#N/A</v>
      </c>
      <c r="L19" s="254" t="e">
        <f>VLOOKUP(B19,'Km83+720'!B11:AN351,11,FALSE)</f>
        <v>#N/A</v>
      </c>
      <c r="M19" s="254" t="e">
        <f>VLOOKUP(B19,'Km83+720'!B11:AN351,12,FALSE)</f>
        <v>#N/A</v>
      </c>
      <c r="N19" s="256" t="e">
        <f>VLOOKUP(B19,'Km83+720'!B11:AN351,13,FALSE)</f>
        <v>#N/A</v>
      </c>
      <c r="O19" s="255" t="e">
        <f t="shared" si="2"/>
        <v>#N/A</v>
      </c>
      <c r="P19" s="255" t="e">
        <f t="shared" si="1"/>
        <v>#N/A</v>
      </c>
      <c r="Q19" s="255" t="e">
        <f t="shared" si="1"/>
        <v>#N/A</v>
      </c>
      <c r="R19" s="255" t="e">
        <f>-VLOOKUP(B19,'Km83+720'!B11:AN351,32,FALSE)</f>
        <v>#N/A</v>
      </c>
      <c r="S19" s="255" t="e">
        <f>-VLOOKUP(B19,'Km83+720'!B11:AN351,33,FALSE)</f>
        <v>#N/A</v>
      </c>
      <c r="T19" s="255" t="e">
        <f>-VLOOKUP(B19,'Km83+720'!B11:AN351,34,FALSE)</f>
        <v>#N/A</v>
      </c>
      <c r="U19" s="255"/>
    </row>
    <row r="20" spans="1:21" ht="17.25" customHeight="1">
      <c r="A20" s="252">
        <v>11</v>
      </c>
      <c r="B20" s="253">
        <v>45505</v>
      </c>
      <c r="C20" s="254">
        <v>1.1839999999999999</v>
      </c>
      <c r="D20" s="254" t="e">
        <f>VLOOKUP(B20,'Km83+720'!B11:AN352,3,FALSE)</f>
        <v>#N/A</v>
      </c>
      <c r="E20" s="255" t="e">
        <f t="shared" si="0"/>
        <v>#N/A</v>
      </c>
      <c r="F20" s="254" t="e">
        <f>VLOOKUP(B20,'Km83+720'!B11:AN352,5,FALSE)</f>
        <v>#N/A</v>
      </c>
      <c r="G20" s="254" t="e">
        <f>VLOOKUP(B20,'Km83+720'!B11:AN352,6,FALSE)</f>
        <v>#N/A</v>
      </c>
      <c r="H20" s="254" t="e">
        <f>VLOOKUP(B20,'Km83+720'!B11:AN352,7,FALSE)</f>
        <v>#N/A</v>
      </c>
      <c r="I20" s="254" t="e">
        <f>VLOOKUP(B20,'Km83+720'!B11:AN352,8,FALSE)</f>
        <v>#N/A</v>
      </c>
      <c r="J20" s="254" t="e">
        <f>VLOOKUP(B20,'Km83+720'!B11:AN352,9,FALSE)</f>
        <v>#N/A</v>
      </c>
      <c r="K20" s="254" t="e">
        <f>VLOOKUP(B20,'Km83+720'!B11:AN352,10,FALSE)</f>
        <v>#N/A</v>
      </c>
      <c r="L20" s="254" t="e">
        <f>VLOOKUP(B20,'Km83+720'!B11:AN352,11,FALSE)</f>
        <v>#N/A</v>
      </c>
      <c r="M20" s="254" t="e">
        <f>VLOOKUP(B20,'Km83+720'!B11:AN352,12,FALSE)</f>
        <v>#N/A</v>
      </c>
      <c r="N20" s="256" t="e">
        <f>VLOOKUP(B20,'Km83+720'!B11:AN352,13,FALSE)</f>
        <v>#N/A</v>
      </c>
      <c r="O20" s="255" t="e">
        <f t="shared" si="2"/>
        <v>#N/A</v>
      </c>
      <c r="P20" s="255" t="e">
        <f t="shared" si="1"/>
        <v>#N/A</v>
      </c>
      <c r="Q20" s="255" t="e">
        <f t="shared" si="1"/>
        <v>#N/A</v>
      </c>
      <c r="R20" s="255" t="e">
        <f>-VLOOKUP(B20,'Km83+720'!B11:AN352,32,FALSE)</f>
        <v>#N/A</v>
      </c>
      <c r="S20" s="255" t="e">
        <f>-VLOOKUP(B20,'Km83+720'!B11:AN352,33,FALSE)</f>
        <v>#N/A</v>
      </c>
      <c r="T20" s="255" t="e">
        <f>-VLOOKUP(B20,'Km83+720'!B11:AN352,34,FALSE)</f>
        <v>#N/A</v>
      </c>
      <c r="U20" s="255"/>
    </row>
    <row r="21" spans="1:21" ht="17.25" customHeight="1">
      <c r="A21" s="252">
        <v>12</v>
      </c>
      <c r="B21" s="253">
        <v>45536</v>
      </c>
      <c r="C21" s="254">
        <v>1.1839999999999999</v>
      </c>
      <c r="D21" s="254" t="e">
        <f>VLOOKUP(B21,'Km83+720'!B11:AN353,3,FALSE)</f>
        <v>#N/A</v>
      </c>
      <c r="E21" s="255" t="e">
        <f t="shared" si="0"/>
        <v>#N/A</v>
      </c>
      <c r="F21" s="254" t="e">
        <f>VLOOKUP(B21,'Km83+720'!B11:AN353,5,FALSE)</f>
        <v>#N/A</v>
      </c>
      <c r="G21" s="254" t="e">
        <f>VLOOKUP(B21,'Km83+720'!B11:AN353,6,FALSE)</f>
        <v>#N/A</v>
      </c>
      <c r="H21" s="254" t="e">
        <f>VLOOKUP(B21,'Km83+720'!B11:AN353,7,FALSE)</f>
        <v>#N/A</v>
      </c>
      <c r="I21" s="254" t="e">
        <f>VLOOKUP(B21,'Km83+720'!B11:AN353,8,FALSE)</f>
        <v>#N/A</v>
      </c>
      <c r="J21" s="254" t="e">
        <f>VLOOKUP(B21,'Km83+720'!B11:AN353,9,FALSE)</f>
        <v>#N/A</v>
      </c>
      <c r="K21" s="254" t="e">
        <f>VLOOKUP(B21,'Km83+720'!B11:AN353,10,FALSE)</f>
        <v>#N/A</v>
      </c>
      <c r="L21" s="254" t="e">
        <f>VLOOKUP(B21,'Km83+720'!B11:AN353,11,FALSE)</f>
        <v>#N/A</v>
      </c>
      <c r="M21" s="254" t="e">
        <f>VLOOKUP(B21,'Km83+720'!B11:AN353,12,FALSE)</f>
        <v>#N/A</v>
      </c>
      <c r="N21" s="256" t="e">
        <f>VLOOKUP(B21,'Km83+720'!B11:AN353,13,FALSE)</f>
        <v>#N/A</v>
      </c>
      <c r="O21" s="255" t="e">
        <f t="shared" si="2"/>
        <v>#N/A</v>
      </c>
      <c r="P21" s="255" t="e">
        <f t="shared" si="1"/>
        <v>#N/A</v>
      </c>
      <c r="Q21" s="255" t="e">
        <f t="shared" si="1"/>
        <v>#N/A</v>
      </c>
      <c r="R21" s="255" t="e">
        <f>-VLOOKUP(B21,'Km83+720'!B11:AN353,32,FALSE)</f>
        <v>#N/A</v>
      </c>
      <c r="S21" s="255" t="e">
        <f>-VLOOKUP(B21,'Km83+720'!B11:AN353,33,FALSE)</f>
        <v>#N/A</v>
      </c>
      <c r="T21" s="255" t="e">
        <f>-VLOOKUP(B21,'Km83+720'!B11:AN353,34,FALSE)</f>
        <v>#N/A</v>
      </c>
      <c r="U21" s="255"/>
    </row>
    <row r="22" spans="1:21" ht="17.25" customHeight="1">
      <c r="A22" s="252">
        <v>13</v>
      </c>
      <c r="B22" s="253">
        <v>45571</v>
      </c>
      <c r="C22" s="254">
        <v>1.1839999999999999</v>
      </c>
      <c r="D22" s="254">
        <f>VLOOKUP(B22,'Km83+720'!B11:AN354,3,FALSE)</f>
        <v>2059</v>
      </c>
      <c r="E22" s="255">
        <f t="shared" si="0"/>
        <v>2060.1840000000002</v>
      </c>
      <c r="F22" s="254">
        <f>VLOOKUP(B22,'Km83+720'!B11:AN354,5,FALSE)</f>
        <v>531</v>
      </c>
      <c r="G22" s="254">
        <f>VLOOKUP(B22,'Km83+720'!B11:AN354,6,FALSE)</f>
        <v>661</v>
      </c>
      <c r="H22" s="254">
        <f>VLOOKUP(B22,'Km83+720'!B11:AN354,7,FALSE)</f>
        <v>773</v>
      </c>
      <c r="I22" s="254">
        <f>VLOOKUP(B22,'Km83+720'!B11:AN354,8,FALSE)</f>
        <v>743</v>
      </c>
      <c r="J22" s="254">
        <f>VLOOKUP(B22,'Km83+720'!B11:AN354,9,FALSE)</f>
        <v>632</v>
      </c>
      <c r="K22" s="254">
        <f>VLOOKUP(B22,'Km83+720'!B11:AN354,10,FALSE)</f>
        <v>2577</v>
      </c>
      <c r="L22" s="254">
        <f>VLOOKUP(B22,'Km83+720'!B11:AN354,11,FALSE)</f>
        <v>2447</v>
      </c>
      <c r="M22" s="254">
        <f>VLOOKUP(B22,'Km83+720'!B11:AN354,12,FALSE)</f>
        <v>2335</v>
      </c>
      <c r="N22" s="256">
        <f>VLOOKUP(B22,'Km83+720'!B11:AN354,13,FALSE)</f>
        <v>2365</v>
      </c>
      <c r="O22" s="255" t="e">
        <f t="shared" si="2"/>
        <v>#N/A</v>
      </c>
      <c r="P22" s="255" t="e">
        <f t="shared" si="1"/>
        <v>#N/A</v>
      </c>
      <c r="Q22" s="255" t="e">
        <f t="shared" si="1"/>
        <v>#N/A</v>
      </c>
      <c r="R22" s="255">
        <f>-VLOOKUP(B22,'Km83+720'!B11:AN354,32,FALSE)</f>
        <v>126</v>
      </c>
      <c r="S22" s="255">
        <f>-VLOOKUP(B22,'Km83+720'!B11:AN354,33,FALSE)</f>
        <v>129</v>
      </c>
      <c r="T22" s="255">
        <f>-VLOOKUP(B22,'Km83+720'!B11:AN354,34,FALSE)</f>
        <v>87</v>
      </c>
      <c r="U22" s="255"/>
    </row>
    <row r="23" spans="1:21" ht="17.25" customHeight="1">
      <c r="A23" s="252">
        <v>14</v>
      </c>
      <c r="B23" s="253">
        <v>45599</v>
      </c>
      <c r="C23" s="254">
        <v>1.1839999999999999</v>
      </c>
      <c r="D23" s="254">
        <f>VLOOKUP(B23,'Km83+720'!B11:AN355,3,FALSE)</f>
        <v>2244</v>
      </c>
      <c r="E23" s="255">
        <f t="shared" si="0"/>
        <v>2245.1840000000002</v>
      </c>
      <c r="F23" s="254">
        <f>VLOOKUP(B23,'Km83+720'!B11:AN355,5,FALSE)</f>
        <v>814</v>
      </c>
      <c r="G23" s="254">
        <f>VLOOKUP(B23,'Km83+720'!B11:AN355,6,FALSE)</f>
        <v>973</v>
      </c>
      <c r="H23" s="254">
        <f>VLOOKUP(B23,'Km83+720'!B11:AN355,7,FALSE)</f>
        <v>1170</v>
      </c>
      <c r="I23" s="254">
        <f>VLOOKUP(B23,'Km83+720'!B11:AN355,8,FALSE)</f>
        <v>1002</v>
      </c>
      <c r="J23" s="254">
        <f>VLOOKUP(B23,'Km83+720'!B11:AN355,9,FALSE)</f>
        <v>899</v>
      </c>
      <c r="K23" s="254">
        <f>VLOOKUP(B23,'Km83+720'!B11:AN355,10,FALSE)</f>
        <v>2479</v>
      </c>
      <c r="L23" s="254">
        <f>VLOOKUP(B23,'Km83+720'!B11:AN355,11,FALSE)</f>
        <v>2320</v>
      </c>
      <c r="M23" s="254">
        <f>VLOOKUP(B23,'Km83+720'!B11:AN355,12,FALSE)</f>
        <v>2123</v>
      </c>
      <c r="N23" s="256">
        <f>VLOOKUP(B23,'Km83+720'!B11:AN355,13,FALSE)</f>
        <v>2291</v>
      </c>
      <c r="O23" s="255">
        <f t="shared" si="2"/>
        <v>212</v>
      </c>
      <c r="P23" s="255">
        <f t="shared" si="1"/>
        <v>74</v>
      </c>
      <c r="Q23" s="255">
        <f t="shared" si="1"/>
        <v>82</v>
      </c>
      <c r="R23" s="255">
        <f>-VLOOKUP(B23,'Km83+720'!B11:AN355,32,FALSE)</f>
        <v>338</v>
      </c>
      <c r="S23" s="255">
        <f>-VLOOKUP(B23,'Km83+720'!B11:AN355,33,FALSE)</f>
        <v>203</v>
      </c>
      <c r="T23" s="255">
        <f>-VLOOKUP(B23,'Km83+720'!B11:AN355,34,FALSE)</f>
        <v>169</v>
      </c>
      <c r="U23" s="255"/>
    </row>
    <row r="24" spans="1:21" ht="17.25" customHeight="1">
      <c r="A24" s="252">
        <v>15</v>
      </c>
      <c r="B24" s="253">
        <v>45627</v>
      </c>
      <c r="C24" s="254">
        <v>1.1839999999999999</v>
      </c>
      <c r="D24" s="254">
        <f>VLOOKUP(B24,'Km83+720'!B11:AN356,3,FALSE)</f>
        <v>2404</v>
      </c>
      <c r="E24" s="255">
        <f t="shared" si="0"/>
        <v>2405.1840000000002</v>
      </c>
      <c r="F24" s="254">
        <f>VLOOKUP(B24,'Km83+720'!B11:AN356,5,FALSE)</f>
        <v>987</v>
      </c>
      <c r="G24" s="254">
        <f>VLOOKUP(B24,'Km83+720'!B11:AN356,6,FALSE)</f>
        <v>1158</v>
      </c>
      <c r="H24" s="254">
        <f>VLOOKUP(B24,'Km83+720'!B11:AN356,7,FALSE)</f>
        <v>1403</v>
      </c>
      <c r="I24" s="254">
        <f>VLOOKUP(B24,'Km83+720'!B11:AN356,8,FALSE)</f>
        <v>1199</v>
      </c>
      <c r="J24" s="254">
        <f>VLOOKUP(B24,'Km83+720'!B11:AN356,9,FALSE)</f>
        <v>1063</v>
      </c>
      <c r="K24" s="254">
        <f>VLOOKUP(B24,'Km83+720'!B11:AN356,10,FALSE)</f>
        <v>2466</v>
      </c>
      <c r="L24" s="254">
        <f>VLOOKUP(B24,'Km83+720'!B11:AN356,11,FALSE)</f>
        <v>2295</v>
      </c>
      <c r="M24" s="254">
        <f>VLOOKUP(B24,'Km83+720'!B11:AN356,12,FALSE)</f>
        <v>2050</v>
      </c>
      <c r="N24" s="256">
        <f>VLOOKUP(B24,'Km83+720'!B11:AN356,13,FALSE)</f>
        <v>2254</v>
      </c>
      <c r="O24" s="255">
        <f t="shared" si="2"/>
        <v>73</v>
      </c>
      <c r="P24" s="255">
        <f t="shared" si="1"/>
        <v>37</v>
      </c>
      <c r="Q24" s="255">
        <f t="shared" si="1"/>
        <v>4</v>
      </c>
      <c r="R24" s="255">
        <f>-VLOOKUP(B24,'Km83+720'!B11:AN356,32,FALSE)</f>
        <v>411</v>
      </c>
      <c r="S24" s="255">
        <f>-VLOOKUP(B24,'Km83+720'!B11:AN356,33,FALSE)</f>
        <v>240</v>
      </c>
      <c r="T24" s="255">
        <f>-VLOOKUP(B24,'Km83+720'!B11:AN356,34,FALSE)</f>
        <v>173</v>
      </c>
      <c r="U24" s="255"/>
    </row>
    <row r="25" spans="1:21" ht="17.25" customHeight="1">
      <c r="A25" s="252">
        <v>16</v>
      </c>
      <c r="B25" s="253">
        <v>45662</v>
      </c>
      <c r="C25" s="254">
        <v>1.1839999999999999</v>
      </c>
      <c r="D25" s="254">
        <f>VLOOKUP(B25,'Km83+720'!B11:AN357,3,FALSE)</f>
        <v>2607</v>
      </c>
      <c r="E25" s="255">
        <f t="shared" si="0"/>
        <v>2608.1840000000002</v>
      </c>
      <c r="F25" s="254">
        <f>VLOOKUP(B25,'Km83+720'!B11:AN357,5,FALSE)</f>
        <v>1205</v>
      </c>
      <c r="G25" s="254">
        <f>VLOOKUP(B25,'Km83+720'!B11:AN357,6,FALSE)</f>
        <v>1395</v>
      </c>
      <c r="H25" s="254">
        <f>VLOOKUP(B25,'Km83+720'!B11:AN357,7,FALSE)</f>
        <v>1635</v>
      </c>
      <c r="I25" s="254">
        <f>VLOOKUP(B25,'Km83+720'!B11:AN357,8,FALSE)</f>
        <v>1440</v>
      </c>
      <c r="J25" s="254">
        <f>VLOOKUP(B25,'Km83+720'!B11:AN357,9,FALSE)</f>
        <v>1274</v>
      </c>
      <c r="K25" s="254">
        <f>VLOOKUP(B25,'Km83+720'!B11:AN357,10,FALSE)</f>
        <v>2451</v>
      </c>
      <c r="L25" s="254">
        <f>VLOOKUP(B25,'Km83+720'!B11:AN357,11,FALSE)</f>
        <v>2261</v>
      </c>
      <c r="M25" s="254">
        <f>VLOOKUP(B25,'Km83+720'!B11:AN357,12,FALSE)</f>
        <v>2021</v>
      </c>
      <c r="N25" s="256">
        <f>VLOOKUP(B25,'Km83+720'!B11:AN357,13,FALSE)</f>
        <v>2216</v>
      </c>
      <c r="O25" s="255">
        <f t="shared" si="2"/>
        <v>29</v>
      </c>
      <c r="P25" s="255">
        <f t="shared" si="1"/>
        <v>38</v>
      </c>
      <c r="Q25" s="255">
        <f t="shared" si="1"/>
        <v>8</v>
      </c>
      <c r="R25" s="255">
        <f>-VLOOKUP(B25,'Km83+720'!B11:AN357,32,FALSE)</f>
        <v>440</v>
      </c>
      <c r="S25" s="255">
        <f>-VLOOKUP(B25,'Km83+720'!B11:AN357,33,FALSE)</f>
        <v>278</v>
      </c>
      <c r="T25" s="255">
        <f>-VLOOKUP(B25,'Km83+720'!B11:AN357,34,FALSE)</f>
        <v>181</v>
      </c>
      <c r="U25" s="255"/>
    </row>
    <row r="26" spans="1:21" ht="17.25" customHeight="1">
      <c r="A26" s="252">
        <v>17</v>
      </c>
      <c r="B26" s="253">
        <v>45690</v>
      </c>
      <c r="C26" s="254">
        <v>1.1839999999999999</v>
      </c>
      <c r="D26" s="254">
        <f>VLOOKUP(B26,'Km83+720'!B11:AN358,3,FALSE)</f>
        <v>2132</v>
      </c>
      <c r="E26" s="255">
        <f t="shared" si="0"/>
        <v>2133.1840000000002</v>
      </c>
      <c r="F26" s="254">
        <f>VLOOKUP(B26,'Km83+720'!B11:AN358,5,FALSE)</f>
        <v>744</v>
      </c>
      <c r="G26" s="254">
        <f>VLOOKUP(B26,'Km83+720'!B11:AN358,6,FALSE)</f>
        <v>957</v>
      </c>
      <c r="H26" s="254">
        <f>VLOOKUP(B26,'Km83+720'!B11:AN358,7,FALSE)</f>
        <v>1201</v>
      </c>
      <c r="I26" s="254">
        <f>VLOOKUP(B26,'Km83+720'!B11:AN358,8,FALSE)</f>
        <v>995</v>
      </c>
      <c r="J26" s="254">
        <f>VLOOKUP(B26,'Km83+720'!B11:AN358,9,FALSE)</f>
        <v>805</v>
      </c>
      <c r="K26" s="254">
        <f>VLOOKUP(B26,'Km83+720'!B11:AN358,10,FALSE)</f>
        <v>2437</v>
      </c>
      <c r="L26" s="254">
        <f>VLOOKUP(B26,'Km83+720'!B11:AN358,11,FALSE)</f>
        <v>2224</v>
      </c>
      <c r="M26" s="254">
        <f>VLOOKUP(B26,'Km83+720'!B11:AN358,12,FALSE)</f>
        <v>1980</v>
      </c>
      <c r="N26" s="256">
        <f>VLOOKUP(B26,'Km83+720'!B11:AN358,13,FALSE)</f>
        <v>2186</v>
      </c>
      <c r="O26" s="255">
        <f t="shared" si="2"/>
        <v>41</v>
      </c>
      <c r="P26" s="255">
        <f t="shared" si="1"/>
        <v>30</v>
      </c>
      <c r="Q26" s="255">
        <f t="shared" si="1"/>
        <v>6</v>
      </c>
      <c r="R26" s="255">
        <f>-VLOOKUP(B26,'Km83+720'!B11:AN358,32,FALSE)</f>
        <v>481</v>
      </c>
      <c r="S26" s="255">
        <f>-VLOOKUP(B26,'Km83+720'!B11:AN358,33,FALSE)</f>
        <v>308</v>
      </c>
      <c r="T26" s="255">
        <f>-VLOOKUP(B26,'Km83+720'!B11:AN358,34,FALSE)</f>
        <v>187</v>
      </c>
      <c r="U26" s="255"/>
    </row>
    <row r="27" spans="1:21" ht="17.25" customHeight="1">
      <c r="A27" s="252">
        <v>18</v>
      </c>
      <c r="B27" s="253">
        <v>45718</v>
      </c>
      <c r="C27" s="254">
        <v>1.1839999999999999</v>
      </c>
      <c r="D27" s="254">
        <f>VLOOKUP(B27,'Km83+720'!B11:AN359,3,FALSE)</f>
        <v>2267</v>
      </c>
      <c r="E27" s="255">
        <f t="shared" si="0"/>
        <v>2268.1840000000002</v>
      </c>
      <c r="F27" s="254">
        <f>VLOOKUP(B27,'Km83+720'!B11:AN359,5,FALSE)</f>
        <v>907</v>
      </c>
      <c r="G27" s="254">
        <f>VLOOKUP(B27,'Km83+720'!B11:AN359,6,FALSE)</f>
        <v>1128</v>
      </c>
      <c r="H27" s="254">
        <f>VLOOKUP(B27,'Km83+720'!B11:AN359,7,FALSE)</f>
        <v>1401</v>
      </c>
      <c r="I27" s="254">
        <f>VLOOKUP(B27,'Km83+720'!B11:AN359,8,FALSE)</f>
        <v>1174</v>
      </c>
      <c r="J27" s="254">
        <f>VLOOKUP(B27,'Km83+720'!B11:AN359,9,FALSE)</f>
        <v>965</v>
      </c>
      <c r="K27" s="254">
        <f>VLOOKUP(B27,'Km83+720'!B11:AN359,10,FALSE)</f>
        <v>2409</v>
      </c>
      <c r="L27" s="254">
        <f>VLOOKUP(B27,'Km83+720'!B11:AN359,11,FALSE)</f>
        <v>2188</v>
      </c>
      <c r="M27" s="254">
        <f>VLOOKUP(B27,'Km83+720'!B11:AN359,12,FALSE)</f>
        <v>1915</v>
      </c>
      <c r="N27" s="256">
        <f>VLOOKUP(B27,'Km83+720'!B11:AN359,13,FALSE)</f>
        <v>2142</v>
      </c>
      <c r="O27" s="255">
        <f t="shared" si="2"/>
        <v>65</v>
      </c>
      <c r="P27" s="255">
        <f t="shared" si="2"/>
        <v>44</v>
      </c>
      <c r="Q27" s="255">
        <f t="shared" si="2"/>
        <v>25</v>
      </c>
      <c r="R27" s="255">
        <f>-VLOOKUP(B27,'Km83+720'!B11:AN359,32,FALSE)</f>
        <v>546</v>
      </c>
      <c r="S27" s="255">
        <f>-VLOOKUP(B27,'Km83+720'!B11:AN359,33,FALSE)</f>
        <v>352</v>
      </c>
      <c r="T27" s="255">
        <f>-VLOOKUP(B27,'Km83+720'!B11:AN359,34,FALSE)</f>
        <v>212</v>
      </c>
      <c r="U27" s="255"/>
    </row>
    <row r="28" spans="1:21" ht="17.25" customHeight="1">
      <c r="A28" s="252">
        <v>19</v>
      </c>
      <c r="B28" s="253">
        <v>45753</v>
      </c>
      <c r="C28" s="254">
        <v>1.1839999999999999</v>
      </c>
      <c r="D28" s="254">
        <f>VLOOKUP(B28,'Km83+720'!B11:AN360,3,FALSE)</f>
        <v>2207</v>
      </c>
      <c r="E28" s="255">
        <f t="shared" si="0"/>
        <v>2208.1840000000002</v>
      </c>
      <c r="F28" s="254">
        <f>VLOOKUP(B28,'Km83+720'!B11:AN360,5,FALSE)</f>
        <v>978</v>
      </c>
      <c r="G28" s="254">
        <f>VLOOKUP(B28,'Km83+720'!B11:AN360,6,FALSE)</f>
        <v>1234</v>
      </c>
      <c r="H28" s="254">
        <f>VLOOKUP(B28,'Km83+720'!B11:AN360,7,FALSE)</f>
        <v>1512</v>
      </c>
      <c r="I28" s="254">
        <f>VLOOKUP(B28,'Km83+720'!B11:AN360,8,FALSE)</f>
        <v>1280</v>
      </c>
      <c r="J28" s="254">
        <f>VLOOKUP(B28,'Km83+720'!B11:AN360,9,FALSE)</f>
        <v>1035</v>
      </c>
      <c r="K28" s="254">
        <f>VLOOKUP(B28,'Km83+720'!B11:AN360,10,FALSE)</f>
        <v>2278</v>
      </c>
      <c r="L28" s="254">
        <f>VLOOKUP(B28,'Km83+720'!B11:AN360,11,FALSE)</f>
        <v>2022</v>
      </c>
      <c r="M28" s="254">
        <f>VLOOKUP(B28,'Km83+720'!B11:AN360,12,FALSE)</f>
        <v>1744</v>
      </c>
      <c r="N28" s="256">
        <f>VLOOKUP(B28,'Km83+720'!B11:AN360,13,FALSE)</f>
        <v>1976</v>
      </c>
      <c r="O28" s="255">
        <f t="shared" si="2"/>
        <v>171</v>
      </c>
      <c r="P28" s="255">
        <f t="shared" si="2"/>
        <v>166</v>
      </c>
      <c r="Q28" s="255">
        <f t="shared" si="2"/>
        <v>130</v>
      </c>
      <c r="R28" s="255">
        <f>-VLOOKUP(B28,'Km83+720'!B11:AN360,32,FALSE)</f>
        <v>717</v>
      </c>
      <c r="S28" s="255">
        <f>-VLOOKUP(B28,'Km83+720'!B11:AN360,33,FALSE)</f>
        <v>518</v>
      </c>
      <c r="T28" s="255">
        <f>-VLOOKUP(B28,'Km83+720'!B11:AN360,34,FALSE)</f>
        <v>342</v>
      </c>
      <c r="U28" s="255"/>
    </row>
    <row r="29" spans="1:21" ht="17.25" customHeight="1">
      <c r="A29" s="252">
        <v>20</v>
      </c>
      <c r="B29" s="253">
        <v>45774</v>
      </c>
      <c r="C29" s="254">
        <v>1.1839999999999999</v>
      </c>
      <c r="D29" s="254">
        <f>VLOOKUP(B29,'Km83+720'!B11:AN361,3,FALSE)</f>
        <v>1872</v>
      </c>
      <c r="E29" s="255">
        <f t="shared" si="0"/>
        <v>1873.184</v>
      </c>
      <c r="F29" s="254">
        <f>VLOOKUP(B29,'Km83+720'!B11:AN361,5,FALSE)</f>
        <v>708</v>
      </c>
      <c r="G29" s="254">
        <f>VLOOKUP(B29,'Km83+720'!B11:AN361,6,FALSE)</f>
        <v>959</v>
      </c>
      <c r="H29" s="254">
        <f>VLOOKUP(B29,'Km83+720'!B11:AN361,7,FALSE)</f>
        <v>1255</v>
      </c>
      <c r="I29" s="254">
        <f>VLOOKUP(B29,'Km83+720'!B11:AN361,8,FALSE)</f>
        <v>1025</v>
      </c>
      <c r="J29" s="254">
        <f>VLOOKUP(B29,'Km83+720'!B11:AN361,9,FALSE)</f>
        <v>766</v>
      </c>
      <c r="K29" s="254">
        <f>VLOOKUP(B29,'Km83+720'!B11:AN361,10,FALSE)</f>
        <v>2213</v>
      </c>
      <c r="L29" s="254">
        <f>VLOOKUP(B29,'Km83+720'!B11:AN361,11,FALSE)</f>
        <v>1962</v>
      </c>
      <c r="M29" s="254">
        <f>VLOOKUP(B29,'Km83+720'!B11:AN361,12,FALSE)</f>
        <v>1666</v>
      </c>
      <c r="N29" s="256">
        <f>VLOOKUP(B29,'Km83+720'!B11:AN361,13,FALSE)</f>
        <v>1896</v>
      </c>
      <c r="O29" s="255">
        <f t="shared" si="2"/>
        <v>78</v>
      </c>
      <c r="P29" s="255">
        <f t="shared" si="2"/>
        <v>80</v>
      </c>
      <c r="Q29" s="255">
        <f t="shared" si="2"/>
        <v>66</v>
      </c>
      <c r="R29" s="255">
        <f>-VLOOKUP(B29,'Km83+720'!B11:AN361,32,FALSE)</f>
        <v>795</v>
      </c>
      <c r="S29" s="255">
        <f>-VLOOKUP(B29,'Km83+720'!B11:AN361,33,FALSE)</f>
        <v>598</v>
      </c>
      <c r="T29" s="255">
        <f>-VLOOKUP(B29,'Km83+720'!B11:AN361,34,FALSE)</f>
        <v>408</v>
      </c>
      <c r="U29" s="255"/>
    </row>
    <row r="30" spans="1:21" ht="22.5" customHeight="1">
      <c r="A30" s="365" t="s">
        <v>139</v>
      </c>
      <c r="B30" s="365"/>
      <c r="C30" s="365"/>
      <c r="D30" s="365"/>
      <c r="E30" s="365"/>
      <c r="F30" s="365"/>
      <c r="G30" s="365"/>
      <c r="H30" s="365"/>
      <c r="I30" s="365"/>
      <c r="J30" s="365"/>
      <c r="K30" s="365" t="s">
        <v>140</v>
      </c>
      <c r="L30" s="365"/>
      <c r="M30" s="365"/>
      <c r="N30" s="365"/>
      <c r="O30" s="365"/>
      <c r="P30" s="365"/>
      <c r="Q30" s="365"/>
      <c r="R30" s="365"/>
      <c r="S30" s="365"/>
      <c r="T30" s="365"/>
      <c r="U30" s="365"/>
    </row>
  </sheetData>
  <mergeCells count="18">
    <mergeCell ref="A1:U1"/>
    <mergeCell ref="A2:U2"/>
    <mergeCell ref="A3:U3"/>
    <mergeCell ref="A5:U5"/>
    <mergeCell ref="A6:U6"/>
    <mergeCell ref="A30:J30"/>
    <mergeCell ref="K30:U30"/>
    <mergeCell ref="F8:H8"/>
    <mergeCell ref="I8:K8"/>
    <mergeCell ref="L8:N8"/>
    <mergeCell ref="O8:Q8"/>
    <mergeCell ref="R8:T8"/>
    <mergeCell ref="U8:U9"/>
    <mergeCell ref="A8:A9"/>
    <mergeCell ref="B8:B9"/>
    <mergeCell ref="C8:C9"/>
    <mergeCell ref="D8:D9"/>
    <mergeCell ref="E8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Bảng THQT</vt:lpstr>
      <vt:lpstr>TH LÚN</vt:lpstr>
      <vt:lpstr>Km83+720</vt:lpstr>
      <vt:lpstr>Km83+780)</vt:lpstr>
      <vt:lpstr>Km83+860</vt:lpstr>
      <vt:lpstr>Km83+900</vt:lpstr>
      <vt:lpstr>Km83+940</vt:lpstr>
      <vt:lpstr>Km83+980</vt:lpstr>
      <vt:lpstr>TH34+120</vt:lpstr>
      <vt:lpstr>'Bảng THQT'!Print_Area</vt:lpstr>
      <vt:lpstr>'Km83+720'!Print_Area</vt:lpstr>
      <vt:lpstr>'Km83+780)'!Print_Area</vt:lpstr>
      <vt:lpstr>'Km83+860'!Print_Area</vt:lpstr>
      <vt:lpstr>'Km83+900'!Print_Area</vt:lpstr>
      <vt:lpstr>'Km83+940'!Print_Area</vt:lpstr>
      <vt:lpstr>'Km83+980'!Print_Area</vt:lpstr>
      <vt:lpstr>'TH LÚN'!Print_Area</vt:lpstr>
      <vt:lpstr>'Bảng THQT'!Print_Titles</vt:lpstr>
      <vt:lpstr>'TH LÚN'!Print_Titles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 Pham</cp:lastModifiedBy>
  <cp:lastPrinted>2025-05-19T13:45:19Z</cp:lastPrinted>
  <dcterms:created xsi:type="dcterms:W3CDTF">2022-08-13T02:46:29Z</dcterms:created>
  <dcterms:modified xsi:type="dcterms:W3CDTF">2025-06-03T08:23:15Z</dcterms:modified>
</cp:coreProperties>
</file>