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31EC96A0-6039-4843-B0E9-40530F26D08A}" xr6:coauthVersionLast="45" xr6:coauthVersionMax="45" xr10:uidLastSave="{00000000-0000-0000-0000-000000000000}"/>
  <bookViews>
    <workbookView xWindow="-110" yWindow="-110" windowWidth="32220" windowHeight="17620" tabRatio="846" firstSheet="11" activeTab="13"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Summary'!$I$1:$Q$113</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I2" i="23"/>
  <c r="O46" i="23"/>
  <c r="G73" i="23"/>
  <c r="K79" i="12" l="1"/>
  <c r="K81" i="12"/>
  <c r="H81" i="12"/>
  <c r="K63" i="12"/>
  <c r="J123" i="15"/>
  <c r="J53" i="15" l="1"/>
  <c r="I36" i="14"/>
  <c r="I78" i="14" l="1"/>
  <c r="G55" i="23" l="1"/>
  <c r="D110" i="23"/>
  <c r="L106" i="23"/>
  <c r="G98" i="23"/>
  <c r="G92" i="23"/>
  <c r="G90" i="23"/>
  <c r="O89" i="23"/>
  <c r="G88" i="23"/>
  <c r="G79" i="23"/>
  <c r="G78" i="23"/>
  <c r="O72" i="23"/>
  <c r="O70" i="23"/>
  <c r="G68" i="23"/>
  <c r="B68" i="23"/>
  <c r="G67" i="23"/>
  <c r="O63" i="23"/>
  <c r="G62" i="23"/>
  <c r="O61" i="23"/>
  <c r="G57" i="23"/>
  <c r="O56" i="23"/>
  <c r="O52" i="23"/>
  <c r="O51" i="23"/>
  <c r="G48" i="23"/>
  <c r="G46" i="23"/>
  <c r="O41" i="23"/>
  <c r="O40" i="23"/>
  <c r="O30" i="23"/>
  <c r="O28" i="23"/>
  <c r="O26" i="23"/>
  <c r="G26" i="23"/>
  <c r="O20" i="23"/>
  <c r="O16" i="23" s="1"/>
  <c r="O18" i="23" s="1"/>
  <c r="D11" i="23"/>
  <c r="L6"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9"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3" i="23" s="1"/>
  <c r="O24" i="23"/>
  <c r="X149" i="15"/>
  <c r="X142" i="15"/>
  <c r="Y62" i="15"/>
  <c r="J126" i="15"/>
  <c r="T135" i="15"/>
  <c r="X141" i="15"/>
  <c r="Y141" i="15" s="1"/>
  <c r="Z62" i="15"/>
  <c r="AA62" i="15" s="1"/>
  <c r="W63" i="15"/>
  <c r="Y63" i="15" s="1"/>
  <c r="Y66" i="15"/>
  <c r="Z65" i="15"/>
  <c r="X65" i="15"/>
  <c r="Y65" i="15" s="1"/>
  <c r="X69" i="15"/>
  <c r="I60" i="14"/>
  <c r="W64" i="15" l="1"/>
  <c r="Z144" i="15"/>
  <c r="Z142" i="15"/>
  <c r="AA142" i="15" s="1"/>
  <c r="Y142" i="15"/>
  <c r="Y146" i="15"/>
  <c r="Y148" i="15"/>
  <c r="Z147" i="15"/>
  <c r="Z143" i="15"/>
  <c r="Y143" i="15"/>
  <c r="Z146" i="15"/>
  <c r="Y147" i="15"/>
  <c r="Z145" i="15"/>
  <c r="Y145" i="15"/>
  <c r="Z148" i="15"/>
  <c r="Y144" i="15"/>
  <c r="Y149" i="15"/>
  <c r="J128" i="15"/>
  <c r="O66" i="23"/>
  <c r="I87" i="14"/>
  <c r="O35" i="23" s="1"/>
  <c r="Z63" i="15"/>
  <c r="AA63" i="15" s="1"/>
  <c r="Y67" i="15"/>
  <c r="W68" i="15"/>
  <c r="Z66" i="15"/>
  <c r="AA65" i="15"/>
  <c r="Y64" i="15"/>
  <c r="Z67" i="15"/>
  <c r="AA64" i="15" l="1"/>
  <c r="W65" i="15"/>
  <c r="W66" i="15" s="1"/>
  <c r="W67" i="15" s="1"/>
  <c r="Z64" i="15"/>
  <c r="AA143" i="15"/>
  <c r="AA144" i="15" s="1"/>
  <c r="AA145" i="15" s="1"/>
  <c r="AA146" i="15" s="1"/>
  <c r="AA147" i="15" s="1"/>
  <c r="AA148" i="15" s="1"/>
  <c r="AA149" i="15" s="1"/>
  <c r="Y152" i="15"/>
  <c r="J146" i="15" s="1"/>
  <c r="J149" i="15" s="1"/>
  <c r="W69" i="15"/>
  <c r="Y68" i="15"/>
  <c r="Z68" i="15"/>
  <c r="AA66" i="15"/>
  <c r="AA67" i="15" s="1"/>
  <c r="AA68" i="15" s="1"/>
  <c r="J48" i="15"/>
  <c r="J49" i="15"/>
  <c r="J47" i="15"/>
  <c r="G59" i="23" s="1"/>
  <c r="I28" i="14"/>
  <c r="I29" i="14"/>
  <c r="I27" i="14"/>
  <c r="O77" i="23" l="1"/>
  <c r="I32" i="14"/>
  <c r="G94" i="23" s="1"/>
  <c r="O82" i="23"/>
  <c r="AA69" i="15"/>
  <c r="W70" i="15"/>
  <c r="Z69" i="15"/>
  <c r="Y69" i="15"/>
  <c r="I43" i="14" l="1"/>
  <c r="G85" i="23" s="1"/>
  <c r="Y70" i="15"/>
  <c r="Y73" i="15" s="1"/>
  <c r="J67" i="15" s="1"/>
  <c r="G41"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50" i="23" s="1"/>
  <c r="F41" i="9"/>
  <c r="J41" i="23" s="1"/>
  <c r="F11" i="9"/>
  <c r="B76" i="23" s="1"/>
  <c r="F24" i="9"/>
  <c r="B50" i="5"/>
  <c r="E74" i="12"/>
  <c r="K85" i="12" s="1"/>
  <c r="K72" i="1" s="1"/>
  <c r="K74" i="12"/>
  <c r="K95" i="12"/>
  <c r="K82" i="12"/>
  <c r="H82" i="12"/>
  <c r="B10" i="3"/>
  <c r="O39" i="23" s="1"/>
  <c r="E52" i="12"/>
  <c r="R54" i="12"/>
  <c r="B49" i="5"/>
  <c r="K60" i="12"/>
  <c r="H60" i="12"/>
  <c r="B23" i="5"/>
  <c r="G66"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G77"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4" i="23" s="1"/>
  <c r="B33" i="5"/>
  <c r="B32" i="5"/>
  <c r="B35" i="5"/>
  <c r="G19" i="23" s="1"/>
  <c r="B39" i="5"/>
  <c r="B37" i="5"/>
  <c r="F31" i="6"/>
  <c r="B39" i="3"/>
  <c r="B37" i="3"/>
  <c r="R76" i="12"/>
  <c r="R80" i="12"/>
  <c r="R77" i="12"/>
  <c r="R58" i="12"/>
  <c r="R57" i="12"/>
  <c r="Q14" i="9"/>
  <c r="J39" i="12" s="1"/>
  <c r="Q61" i="9"/>
  <c r="J98"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Q60" i="9" l="1"/>
  <c r="J97" i="12" s="1"/>
  <c r="K10" i="18"/>
  <c r="K12" i="18" s="1"/>
  <c r="B23" i="3"/>
  <c r="O50" i="23" s="1"/>
  <c r="B49" i="3"/>
  <c r="R97" i="12"/>
  <c r="K102" i="12" s="1"/>
  <c r="B48" i="3" s="1"/>
  <c r="N11" i="23"/>
  <c r="N102" i="23"/>
  <c r="B41" i="3"/>
  <c r="O97" i="23" s="1"/>
  <c r="B62" i="3"/>
  <c r="N8" i="23"/>
  <c r="N96" i="23"/>
  <c r="F15" i="23"/>
  <c r="F108" i="23"/>
  <c r="F105" i="23"/>
  <c r="F21" i="23"/>
  <c r="B41" i="5"/>
  <c r="G22" i="23" s="1"/>
  <c r="B63" i="5"/>
  <c r="B13" i="3"/>
  <c r="F74" i="12"/>
  <c r="N4" i="23"/>
  <c r="J115" i="15"/>
  <c r="G70" i="14"/>
  <c r="J114" i="15"/>
  <c r="G72" i="14"/>
  <c r="J116" i="15"/>
  <c r="G71" i="14"/>
  <c r="F39" i="9"/>
  <c r="K33" i="12"/>
  <c r="F4"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3" i="23" s="1"/>
  <c r="B9" i="5"/>
  <c r="B11" i="5" s="1"/>
  <c r="I45" i="14"/>
  <c r="B8" i="3"/>
  <c r="K71" i="1"/>
  <c r="B22" i="5"/>
  <c r="F36" i="12"/>
  <c r="B16" i="3"/>
  <c r="J55" i="15"/>
  <c r="G52" i="23" s="1"/>
  <c r="B22" i="3" l="1"/>
  <c r="N46" i="23"/>
  <c r="F55" i="9"/>
  <c r="K39" i="9"/>
  <c r="K72" i="12" s="1"/>
  <c r="F72" i="12"/>
  <c r="L48" i="9"/>
  <c r="U81" i="12" s="1"/>
  <c r="R81" i="12" s="1"/>
  <c r="H48" i="9"/>
  <c r="G83" i="23"/>
  <c r="G75" i="23"/>
  <c r="F73" i="23"/>
  <c r="C9" i="2"/>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G70" i="23" s="1"/>
  <c r="B24" i="5"/>
  <c r="J57" i="15"/>
  <c r="J70" i="15" s="1"/>
  <c r="B52" i="5" s="1"/>
  <c r="B59" i="5" s="1"/>
  <c r="B51" i="5"/>
  <c r="O48" i="23" l="1"/>
  <c r="K55" i="9"/>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6" i="23" s="1"/>
  <c r="B54" i="3"/>
  <c r="B53" i="5"/>
  <c r="K92" i="12" l="1"/>
  <c r="U60" i="9"/>
  <c r="U61" i="9"/>
  <c r="C8" i="23"/>
  <c r="B58" i="3"/>
  <c r="B60" i="3" s="1"/>
  <c r="B52" i="3"/>
  <c r="B25" i="3"/>
  <c r="B26" i="3" s="1"/>
  <c r="B27" i="3" s="1"/>
  <c r="C56" i="13"/>
  <c r="D55" i="13"/>
  <c r="D184" i="13"/>
  <c r="C185" i="13"/>
  <c r="B54" i="2"/>
  <c r="C55" i="2"/>
  <c r="F10" i="2"/>
  <c r="E8" i="2"/>
  <c r="C104" i="13"/>
  <c r="E103" i="13"/>
  <c r="D103" i="13"/>
  <c r="F47" i="2"/>
  <c r="E46" i="2"/>
  <c r="C11" i="2"/>
  <c r="B10" i="2"/>
  <c r="D220" i="13"/>
  <c r="C221" i="13"/>
  <c r="B26" i="5"/>
  <c r="G34" i="23" s="1"/>
  <c r="B65" i="5"/>
  <c r="F8" i="23" l="1"/>
  <c r="G8" i="23" s="1"/>
  <c r="B30" i="3"/>
  <c r="K73" i="1" s="1"/>
  <c r="O84" i="23"/>
  <c r="L110" i="23"/>
  <c r="B64" i="3"/>
  <c r="E47" i="2"/>
  <c r="F48" i="2"/>
  <c r="C186" i="13"/>
  <c r="D185" i="13"/>
  <c r="E9" i="2"/>
  <c r="F11" i="2"/>
  <c r="B11" i="2"/>
  <c r="C12" i="2"/>
  <c r="B55" i="2"/>
  <c r="C56" i="2"/>
  <c r="C222" i="13"/>
  <c r="D221" i="13"/>
  <c r="C105" i="13"/>
  <c r="D104" i="13"/>
  <c r="E104" i="13"/>
  <c r="C57" i="13"/>
  <c r="D56" i="13"/>
  <c r="B27" i="5"/>
  <c r="B30" i="5" s="1"/>
  <c r="C6" i="23" l="1"/>
  <c r="O110" i="23"/>
  <c r="P110" i="23" s="1"/>
  <c r="B43" i="3"/>
  <c r="L108" i="23"/>
  <c r="D57" i="13"/>
  <c r="C58" i="13"/>
  <c r="C187" i="13"/>
  <c r="D186" i="13"/>
  <c r="D222" i="13"/>
  <c r="C223" i="13"/>
  <c r="B56" i="2"/>
  <c r="C57" i="2"/>
  <c r="E10" i="2"/>
  <c r="F12" i="2"/>
  <c r="E48" i="2"/>
  <c r="F49" i="2"/>
  <c r="B12" i="2"/>
  <c r="C13" i="2"/>
  <c r="E105" i="13"/>
  <c r="C106" i="13"/>
  <c r="D105" i="13"/>
  <c r="K74" i="1"/>
  <c r="B43" i="5"/>
  <c r="F6" i="23" l="1"/>
  <c r="G6" i="23" s="1"/>
  <c r="O108" i="23"/>
  <c r="P108"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10"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4"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6"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8"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<sst xmlns="http://schemas.openxmlformats.org/spreadsheetml/2006/main" count="2760" uniqueCount="1073">
  <si>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</si>
  <si>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</si>
  <si>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</si>
  <si>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</si>
  <si>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</si>
  <si>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</si>
  <si>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</si>
  <si>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</si>
  <si>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</si>
  <si>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</si>
  <si>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</si>
  <si>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</si>
  <si>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</si>
  <si>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</si>
  <si>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</si>
  <si>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</si>
  <si>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</si>
  <si>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</si>
  <si>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</si>
  <si>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</si>
  <si>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</si>
  <si>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</si>
  <si>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</si>
  <si>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</si>
  <si>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</si>
  <si>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</si>
  <si>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</si>
  <si>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</si>
  <si>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</si>
  <si>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</si>
  <si>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</si>
  <si>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</si>
  <si>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</si>
  <si>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</si>
  <si>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</si>
  <si>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</si>
  <si>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</si>
  <si>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</si>
  <si>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</si>
  <si>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</si>
  <si>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</si>
  <si>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</si>
  <si>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</si>
  <si>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</si>
  <si>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</si>
  <si>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</si>
  <si>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</si>
  <si>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</si>
  <si>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</si>
  <si>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</si>
  <si>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</si>
  <si>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</si>
  <si>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</si>
  <si>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</si>
  <si>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</si>
  <si>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</si>
  <si>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</si>
  <si>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</si>
  <si>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</si>
  <si>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</si>
  <si>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</si>
  <si>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</si>
  <si>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</si>
  <si>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</si>
  <si>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</si>
  <si>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</si>
  <si>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</si>
  <si>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</si>
  <si>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</si>
  <si>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</si>
  <si>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</si>
  <si>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</si>
  <si>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</si>
  <si>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</si>
  <si>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</si>
  <si>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</si>
  <si>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</si>
  <si>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</si>
  <si>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</si>
  <si>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</si>
  <si>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</si>
  <si>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</si>
  <si>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</si>
  <si>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</si>
  <si>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</si>
  <si>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</si>
  <si>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</si>
  <si>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</si>
  <si>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</si>
  <si>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</si>
  <si>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</si>
  <si>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</si>
  <si>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</si>
  <si>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</si>
  <si>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</si>
  <si>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</si>
  <si>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</si>
  <si>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</si>
  <si>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</si>
  <si>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</si>
  <si>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</si>
  <si>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</si>
  <si>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</si>
  <si>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</si>
  <si>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</si>
  <si>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</si>
  <si>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</si>
  <si>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</si>
  <si>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</si>
  <si>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</si>
  <si>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</si>
  <si>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</si>
  <si>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</si>
  <si>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</si>
  <si>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</si>
  <si>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</si>
  <si>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</si>
  <si>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</si>
  <si>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</si>
  <si>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</si>
  <si>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</si>
  <si>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</si>
  <si>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</si>
  <si>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</si>
  <si>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</si>
  <si>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</si>
  <si>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</si>
  <si>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</si>
  <si>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</si>
  <si>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</si>
  <si>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</si>
  <si>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</si>
  <si>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</si>
  <si>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</si>
  <si>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</si>
  <si>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</si>
  <si>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</si>
  <si>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</si>
  <si>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</si>
  <si>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</si>
  <si>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</si>
  <si>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</si>
  <si>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</si>
  <si>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</si>
  <si>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</si>
  <si>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</si>
  <si>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</si>
  <si>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</si>
  <si>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</si>
  <si>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</si>
  <si>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</si>
  <si>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</si>
  <si>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</si>
  <si>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</si>
  <si>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</si>
  <si>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</si>
  <si>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</si>
  <si>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</si>
  <si>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</si>
  <si>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</si>
  <si>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</si>
  <si>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</si>
  <si>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</si>
  <si>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</si>
  <si>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</si>
  <si>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</si>
  <si>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</si>
  <si>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</si>
  <si>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</si>
  <si>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</si>
  <si>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</si>
  <si>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</si>
  <si>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</si>
  <si>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</si>
  <si>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</si>
  <si>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</si>
  <si>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</si>
  <si>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</si>
  <si>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</si>
  <si>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</si>
  <si>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</si>
  <si>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</si>
  <si>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</si>
  <si>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</si>
  <si>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</si>
  <si>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</si>
  <si>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</si>
  <si>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</si>
  <si>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</si>
  <si>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</si>
  <si>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</si>
  <si>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</si>
  <si>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</si>
  <si>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</si>
  <si>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</si>
  <si>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</si>
  <si>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</si>
  <si>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</si>
  <si>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</si>
  <si>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</si>
  <si>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</si>
  <si>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</si>
  <si>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</si>
  <si>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</si>
  <si>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</si>
  <si>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</si>
  <si>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</si>
  <si>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</si>
  <si>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</si>
  <si>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</si>
  <si>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</si>
  <si>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</si>
  <si>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</si>
  <si>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</si>
  <si>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</si>
  <si>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</si>
  <si>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</si>
  <si>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</si>
  <si>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</si>
  <si>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</si>
  <si>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</si>
  <si>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</si>
  <si>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</si>
  <si>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</si>
  <si>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</si>
  <si>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</si>
  <si>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</si>
  <si>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</si>
  <si>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</si>
  <si>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</si>
  <si>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</si>
  <si>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</si>
  <si>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</si>
  <si>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</si>
  <si>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</si>
  <si>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</si>
  <si>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</si>
  <si>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</si>
  <si>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</si>
  <si>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</si>
  <si>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</si>
  <si>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</si>
  <si>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</si>
  <si>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</si>
  <si>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</si>
  <si>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</si>
  <si>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</si>
  <si>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</si>
  <si>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</si>
  <si>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</si>
  <si>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</si>
  <si>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</si>
  <si>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</si>
  <si>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</si>
  <si>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</si>
  <si>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</si>
  <si>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</si>
  <si>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</si>
  <si>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</si>
  <si>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</si>
  <si>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</si>
  <si>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</si>
  <si>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</si>
  <si>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</si>
  <si>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</si>
  <si>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</si>
  <si>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</si>
  <si>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</si>
  <si>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</si>
  <si>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</si>
  <si>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</si>
  <si>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</si>
  <si>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</si>
  <si>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</si>
  <si>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</si>
  <si>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</si>
  <si>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</si>
  <si>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</si>
  <si>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</si>
  <si>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</si>
  <si>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</si>
  <si>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</si>
  <si>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</si>
  <si>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</si>
  <si>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</si>
  <si>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</si>
  <si>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</si>
  <si>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</si>
  <si>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</si>
  <si>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</si>
  <si>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</si>
  <si>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</si>
  <si>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</si>
  <si>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</si>
  <si>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</si>
  <si>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</si>
  <si>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</si>
  <si>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</si>
  <si>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</si>
  <si>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</si>
  <si>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</si>
  <si>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</si>
  <si>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</si>
  <si>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</si>
  <si>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</si>
  <si>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</si>
  <si>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</si>
  <si>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</si>
  <si>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</si>
  <si>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</si>
  <si>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</si>
  <si>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</si>
  <si>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</si>
  <si>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</si>
  <si>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</si>
  <si>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</si>
  <si>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</si>
  <si>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</si>
  <si>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</si>
  <si>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</si>
  <si>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</si>
  <si>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</si>
  <si>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</si>
  <si>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</si>
  <si>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</si>
  <si>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</si>
  <si>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</si>
  <si>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</si>
  <si>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</si>
  <si>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</si>
  <si>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</si>
  <si>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</si>
  <si>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</si>
  <si>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</si>
  <si>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</si>
  <si>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</si>
  <si>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</si>
  <si>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</si>
  <si>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</si>
  <si>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</si>
  <si>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</si>
  <si>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</si>
  <si>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</si>
  <si>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</si>
  <si>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</si>
  <si>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</si>
  <si>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</si>
  <si>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</si>
  <si>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</si>
  <si>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</si>
  <si>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</si>
  <si>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</si>
  <si>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</si>
  <si>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</si>
  <si>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</si>
  <si>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</si>
  <si>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</si>
  <si>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</si>
  <si>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</si>
  <si>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</si>
  <si>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</si>
  <si>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</si>
  <si>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</si>
  <si>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</si>
  <si>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</si>
  <si>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</si>
  <si>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</si>
  <si>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</si>
  <si>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</si>
  <si>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</si>
  <si>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</si>
  <si>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</si>
  <si>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</si>
  <si>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</si>
  <si>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</si>
  <si>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</si>
  <si>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</si>
  <si>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</si>
  <si>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</si>
  <si>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</si>
  <si>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</si>
  <si>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</si>
  <si>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</si>
  <si>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</si>
  <si>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</si>
  <si>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</si>
  <si>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</si>
  <si>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</si>
  <si>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</si>
  <si>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</si>
  <si>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</si>
  <si>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</si>
  <si>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</si>
  <si>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</si>
  <si>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</si>
  <si>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</si>
  <si>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</si>
  <si>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</si>
  <si>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</si>
  <si>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</si>
  <si>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</si>
  <si>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</si>
  <si>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</si>
  <si>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</si>
  <si>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</si>
  <si>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</si>
  <si>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</si>
  <si>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</si>
  <si>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</si>
  <si>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</si>
  <si>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</si>
  <si>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</si>
  <si>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</si>
  <si>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</si>
  <si>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</si>
  <si>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</si>
  <si>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</si>
  <si>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</si>
  <si>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</si>
  <si>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</si>
  <si>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</si>
  <si>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</si>
  <si>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</si>
  <si>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</si>
  <si>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</si>
  <si>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</si>
  <si>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</si>
  <si>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</si>
  <si>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</si>
  <si>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</si>
  <si>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</si>
  <si>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</si>
  <si>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</si>
  <si>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</si>
  <si>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</si>
  <si>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</si>
  <si>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</si>
  <si>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</si>
  <si>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</si>
  <si>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</si>
  <si>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</si>
  <si>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</si>
  <si>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</si>
  <si>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</si>
  <si>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</si>
  <si>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</si>
  <si>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</si>
  <si>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</si>
  <si>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</si>
  <si>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</si>
  <si>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</si>
  <si>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</si>
  <si>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</si>
  <si>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</si>
  <si>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</si>
  <si>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</si>
  <si>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</si>
  <si>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</si>
  <si>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</si>
  <si>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</si>
  <si>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</si>
  <si>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</si>
  <si>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</si>
  <si>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</si>
  <si>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</si>
  <si>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</si>
  <si>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</si>
  <si>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</si>
  <si>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</si>
  <si>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</si>
  <si>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</si>
  <si>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</si>
  <si>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</si>
  <si>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</si>
  <si>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</si>
  <si>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</si>
  <si>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</si>
  <si>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</si>
  <si>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</si>
  <si>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</si>
  <si>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</si>
  <si>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</si>
  <si>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</si>
  <si>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</si>
  <si>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</si>
  <si>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</si>
  <si>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</si>
  <si>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</si>
  <si>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</si>
  <si>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</si>
  <si>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</si>
  <si>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</si>
  <si>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</si>
  <si>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</si>
  <si>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</si>
  <si>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</si>
  <si>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</si>
  <si>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</si>
  <si>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</si>
  <si>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</si>
  <si>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</si>
  <si>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</si>
  <si>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</si>
  <si>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</si>
  <si>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</si>
  <si>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</si>
  <si>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</si>
  <si>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</si>
  <si>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</si>
  <si>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</si>
  <si>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</si>
  <si>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</si>
  <si>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</si>
  <si>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</si>
  <si>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</si>
  <si>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</si>
  <si>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</si>
  <si>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</si>
  <si>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</si>
  <si>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</si>
  <si>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</si>
  <si>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</si>
  <si>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</si>
  <si>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</si>
  <si>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</si>
  <si>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</si>
  <si>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</si>
  <si>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</si>
  <si>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</si>
  <si>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</si>
  <si>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</si>
  <si>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</si>
  <si>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</si>
  <si>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</si>
  <si>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</si>
  <si>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</si>
  <si>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</si>
  <si>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</si>
  <si>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</si>
  <si>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</si>
  <si>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</si>
  <si>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</si>
  <si>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</si>
  <si>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</si>
  <si>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</si>
  <si>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</si>
  <si>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</si>
  <si>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</si>
  <si>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</si>
  <si>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</si>
  <si>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</si>
  <si>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</si>
  <si>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</si>
  <si>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</si>
  <si>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</si>
  <si>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</si>
  <si>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</si>
  <si>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</si>
  <si>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</si>
  <si>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</si>
  <si>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</si>
  <si>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</si>
  <si>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</si>
  <si>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</si>
  <si>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</si>
  <si>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</si>
  <si>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</si>
  <si>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</si>
  <si>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</si>
  <si>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</si>
  <si>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</si>
  <si>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</si>
  <si>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</si>
  <si>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</si>
  <si>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</si>
  <si>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</si>
  <si>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</si>
  <si>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</si>
  <si>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</si>
  <si>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</si>
  <si>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</si>
  <si>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</si>
  <si>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</si>
  <si>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</si>
  <si>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</si>
  <si>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</si>
  <si>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</si>
  <si>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</si>
  <si>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</si>
  <si>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</si>
  <si>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</si>
  <si>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</si>
  <si>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</si>
  <si>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</si>
  <si>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</si>
  <si>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</si>
  <si>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</si>
  <si>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</si>
  <si>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</si>
  <si>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</si>
  <si>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</si>
  <si>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</si>
  <si>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</si>
  <si>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</si>
  <si>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</si>
  <si>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</si>
  <si>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</si>
  <si>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</si>
  <si>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</si>
  <si>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</si>
  <si>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</si>
  <si>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</si>
  <si>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</si>
  <si>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</si>
  <si>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</si>
  <si>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</si>
  <si>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</si>
  <si>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</si>
  <si>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</si>
  <si>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</si>
  <si>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</si>
  <si>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</si>
  <si>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</si>
  <si>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</si>
  <si>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</si>
  <si>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</si>
  <si>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</si>
  <si>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</si>
  <si>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</si>
  <si>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</si>
  <si>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</si>
  <si>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</si>
  <si>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</si>
  <si>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</si>
  <si>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</si>
  <si>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</si>
  <si>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</si>
  <si>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</si>
  <si>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</si>
  <si>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</si>
  <si>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</si>
  <si>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</si>
  <si>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</si>
  <si>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</si>
  <si>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</si>
  <si>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</si>
  <si>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</si>
  <si>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</si>
  <si>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</si>
  <si>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</si>
  <si>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</si>
  <si>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</si>
  <si>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</si>
  <si>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</si>
  <si>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</si>
  <si>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</si>
  <si>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</si>
  <si>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</si>
  <si>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</si>
  <si>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</si>
  <si>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</si>
  <si>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</si>
  <si>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</si>
  <si>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</si>
  <si>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</si>
  <si>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</si>
  <si>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</si>
  <si>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</si>
  <si>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</si>
  <si>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</si>
  <si>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</si>
  <si>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</si>
  <si>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</si>
  <si>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</si>
  <si>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</si>
  <si>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</si>
  <si>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</si>
  <si>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</si>
  <si>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</si>
  <si>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</si>
  <si>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</si>
  <si>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</si>
  <si>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</si>
  <si>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</si>
  <si>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</si>
  <si>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</si>
  <si>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</si>
  <si>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</si>
  <si>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</si>
  <si>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</si>
  <si>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</si>
  <si>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</si>
  <si>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</si>
  <si>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</si>
  <si>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</si>
  <si>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</si>
  <si>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</si>
  <si>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</si>
  <si>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</si>
  <si>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</si>
  <si>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</si>
  <si>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</si>
  <si>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</si>
  <si>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</si>
  <si>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</si>
  <si>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</si>
  <si>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</si>
  <si>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</si>
  <si>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</si>
  <si>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</si>
  <si>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</si>
  <si>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</si>
  <si>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</si>
  <si>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</si>
  <si>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</si>
  <si>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</si>
  <si>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</si>
  <si>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</si>
  <si>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</si>
  <si>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</si>
  <si>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</si>
  <si>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</si>
  <si>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</si>
  <si>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</si>
  <si>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</si>
  <si>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</si>
  <si>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</si>
  <si>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</si>
  <si>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</si>
  <si>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</si>
  <si>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</si>
  <si>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</si>
  <si>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</si>
  <si>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</si>
  <si>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</si>
  <si>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</si>
  <si>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</si>
  <si>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</si>
  <si>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</si>
  <si>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</si>
  <si>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</si>
  <si>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</si>
  <si>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</si>
  <si>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</si>
  <si>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</si>
  <si>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</si>
  <si>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</si>
  <si>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</si>
  <si>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</si>
  <si>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</si>
  <si>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</si>
  <si>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</si>
  <si>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</si>
  <si>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</si>
  <si>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</si>
  <si>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</si>
  <si>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</si>
  <si>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</si>
  <si>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</si>
  <si>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</si>
  <si>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</si>
  <si>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</si>
  <si>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</si>
  <si>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</si>
  <si>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</si>
  <si>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</si>
  <si>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</si>
  <si>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</si>
  <si>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</si>
  <si>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</si>
  <si>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</si>
  <si>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</si>
  <si>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</si>
  <si>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</si>
  <si>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</si>
  <si>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</si>
  <si>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</si>
  <si>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</si>
  <si>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</si>
  <si>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</si>
  <si>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</si>
  <si>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</si>
  <si>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</si>
  <si>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</si>
  <si>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</si>
  <si>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</si>
  <si>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</si>
  <si>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</si>
  <si>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</si>
  <si>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</si>
  <si>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</si>
  <si>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</si>
  <si>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</si>
  <si>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</si>
  <si>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</si>
  <si>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</si>
  <si>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</si>
  <si>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</si>
  <si>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</si>
  <si>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</si>
  <si>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</si>
  <si>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</si>
  <si>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</si>
  <si>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</si>
  <si>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</si>
  <si>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</si>
  <si>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</si>
  <si>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</si>
  <si>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</si>
  <si>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</si>
  <si>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</si>
  <si>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</si>
  <si>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</si>
  <si>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</si>
  <si>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</si>
  <si>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</si>
  <si>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</si>
  <si>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</si>
  <si>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</si>
  <si>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</si>
  <si>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</si>
  <si>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</si>
  <si>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</si>
  <si>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</si>
  <si>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</si>
  <si>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</si>
  <si>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</si>
  <si>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</si>
  <si>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</si>
  <si>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</si>
  <si>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</si>
  <si>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</si>
  <si>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</si>
  <si>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</si>
  <si>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</si>
  <si>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</si>
  <si>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</si>
  <si>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</si>
  <si>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</si>
  <si>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</si>
  <si>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</si>
  <si>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</si>
  <si>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</si>
  <si>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</si>
  <si>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</si>
  <si>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</si>
  <si>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</si>
  <si>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</si>
  <si>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</si>
  <si>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</si>
  <si>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</si>
  <si>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</si>
  <si>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</si>
  <si>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</si>
  <si>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</si>
  <si>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</si>
  <si>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</si>
  <si>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</si>
  <si>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</si>
  <si>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</si>
  <si>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</si>
  <si>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</si>
  <si>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</si>
  <si>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</si>
  <si>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</si>
  <si>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</si>
  <si>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</si>
  <si>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</si>
  <si>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</si>
  <si>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</si>
  <si>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</si>
  <si>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</si>
  <si>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</si>
  <si>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</si>
  <si>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</si>
  <si>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</si>
  <si>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</si>
  <si>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</si>
  <si>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</si>
  <si>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</si>
  <si>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</si>
  <si>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</si>
  <si>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</si>
  <si>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</si>
  <si>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</si>
  <si>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</si>
  <si>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</si>
  <si>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</si>
  <si>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</si>
  <si>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</si>
  <si>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</si>
  <si>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</si>
  <si>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</si>
  <si>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</si>
  <si>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</si>
  <si>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</si>
  <si>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</si>
  <si>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</si>
  <si>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</si>
  <si>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</si>
  <si>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</si>
  <si>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</si>
  <si>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</si>
  <si>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</si>
  <si>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</si>
  <si>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</si>
  <si>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</si>
  <si>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</si>
  <si>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</si>
  <si>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</si>
  <si>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</si>
  <si>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</si>
  <si>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</si>
  <si>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</si>
  <si>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</si>
  <si>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</si>
  <si>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</si>
  <si>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</si>
  <si>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</si>
  <si>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</si>
  <si>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</si>
  <si>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</si>
  <si>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</si>
  <si>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</si>
  <si>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</si>
  <si>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</si>
  <si>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</si>
  <si>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</si>
  <si>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</si>
  <si>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</si>
  <si>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</si>
  <si>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</si>
  <si>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</si>
  <si>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</si>
  <si>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</si>
  <si>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</si>
  <si>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</si>
  <si>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</si>
  <si>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</si>
  <si>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</si>
  <si>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</si>
  <si>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Cable/W. Guide Type (loss/m):</t>
  </si>
  <si>
    <t>Cable A Spec:</t>
  </si>
  <si>
    <t>Cable B Spec:</t>
  </si>
  <si>
    <t>Cable C Spec:</t>
  </si>
  <si>
    <t>Total Line Loss (Line A+B+C):</t>
  </si>
  <si>
    <t>Cable/Guide Type (loss/m):</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</si>
  <si>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</si>
  <si>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</si>
  <si>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</si>
  <si>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</si>
  <si>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</si>
  <si>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</si>
  <si>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</si>
  <si>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</si>
  <si>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</si>
  <si>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</si>
  <si>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</si>
  <si>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</si>
  <si>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</si>
  <si>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</si>
  <si>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</si>
  <si>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</si>
  <si>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</si>
  <si>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</si>
  <si>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</si>
  <si>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</si>
  <si>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</si>
  <si>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</si>
  <si>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</si>
  <si>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</si>
  <si>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</si>
  <si>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</si>
  <si>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</si>
  <si>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</si>
  <si>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</si>
  <si>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</si>
  <si>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</si>
  <si>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</si>
  <si>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</si>
  <si>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</si>
  <si>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</si>
  <si>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</si>
  <si>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</si>
  <si>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</si>
  <si>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</si>
  <si>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</si>
  <si>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</si>
  <si>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</si>
  <si>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</si>
  <si>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</si>
  <si>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</si>
  <si>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</si>
  <si>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</si>
  <si>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</si>
  <si>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</si>
  <si>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</si>
  <si>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</si>
  <si>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</si>
  <si>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</si>
  <si>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</si>
  <si>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</si>
  <si>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</si>
  <si>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</si>
  <si>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</si>
  <si>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</si>
  <si>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</si>
  <si>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</si>
  <si>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</si>
  <si>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</si>
  <si>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</si>
  <si>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</si>
  <si>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</si>
  <si>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</si>
  <si>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</si>
  <si>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</si>
  <si>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</si>
  <si>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</si>
  <si>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</si>
  <si>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</si>
  <si>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</si>
  <si>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</si>
  <si>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</si>
  <si>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</si>
  <si>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</si>
  <si>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</si>
  <si>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</si>
  <si>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</si>
  <si>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</si>
  <si>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</si>
  <si>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</si>
  <si>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</si>
  <si>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</si>
  <si>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</si>
  <si>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</si>
  <si>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</si>
  <si>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</si>
  <si>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</si>
  <si>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</si>
  <si>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</si>
  <si>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</si>
  <si>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</si>
  <si>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</si>
  <si>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</si>
  <si>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</si>
  <si>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</si>
  <si>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</si>
  <si>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</si>
  <si>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</si>
  <si>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</si>
  <si>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Switch (QPC 1022)</t>
  </si>
  <si>
    <t>Atheros AR9271</t>
  </si>
  <si>
    <t>DBPSK</t>
  </si>
  <si>
    <t>U.FL ?</t>
  </si>
  <si>
    <t>0.1m coax</t>
  </si>
  <si>
    <t>LNA</t>
  </si>
  <si>
    <t>VSWR 1.2 ??</t>
  </si>
  <si>
    <t>Link Losses:</t>
  </si>
  <si>
    <t>Elevation:</t>
  </si>
  <si>
    <t>Quad Helix / Patch</t>
  </si>
  <si>
    <t>S Band 802.11b Bulk Mission Data Downlink using Handheld</t>
  </si>
  <si>
    <t>MISSION DATA</t>
  </si>
  <si>
    <t>OreSat1</t>
  </si>
  <si>
    <t>OreSat1_link_model_v2.5.5a_mission_data_handheld</t>
  </si>
  <si>
    <t xml:space="preserve"> Version: 2.5.5a</t>
  </si>
  <si>
    <t>2019 December 15</t>
  </si>
  <si>
    <t>Find Switch</t>
  </si>
  <si>
    <t>For Min NF</t>
  </si>
  <si>
    <t>Qorvo TQP3M9037 5V</t>
  </si>
  <si>
    <t>Qorvo TQP3M9037 3V3</t>
  </si>
  <si>
    <t>Min NF</t>
  </si>
  <si>
    <t>BAW</t>
  </si>
  <si>
    <r>
      <t xml:space="preserve">    T</t>
    </r>
    <r>
      <rPr>
        <sz val="8"/>
        <rFont val="Arial"/>
        <family val="2"/>
      </rPr>
      <t>s</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</si>
</sst>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8">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11" borderId="26" xfId="0" applyFont="1" applyFill="1" applyBorder="1"/>
    <xf numFmtId="0" fontId="9" fillId="5" borderId="26" xfId="0" applyFont="1" applyFill="1" applyBorder="1" applyAlignment="1">
      <alignment horizontal="center"/>
    </xf>
    <xf numFmtId="173" fontId="87" fillId="4" borderId="19" xfId="8" applyNumberFormat="1" applyFont="1" applyFill="1" applyBorder="1" applyAlignment="1">
      <alignment horizontal="center"/>
    </xf>
    <xf numFmtId="0" fontId="1" fillId="4" borderId="14" xfId="8"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xf numFmtId="0" fontId="0" fillId="15" borderId="16" xfId="0" applyFill="1" applyBorder="1"/>
    <xf numFmtId="0" fontId="0" fillId="15" borderId="0" xfId="0" applyFill="1" applyAlignment="1">
      <alignment horizontal="center"/>
    </xf>
    <xf numFmtId="0" fontId="0" fillId="15" borderId="0" xfId="0" applyFill="1" applyAlignment="1">
      <alignment horizontal="right"/>
    </xf>
    <xf numFmtId="0" fontId="1" fillId="23" borderId="50" xfId="0" applyFont="1" applyFill="1" applyBorder="1"/>
    <xf numFmtId="0" fontId="0" fillId="23" borderId="43" xfId="0" applyFill="1" applyBorder="1"/>
    <xf numFmtId="0" fontId="1" fillId="23" borderId="17" xfId="0" applyFont="1" applyFill="1" applyBorder="1"/>
    <xf numFmtId="0" fontId="0" fillId="23" borderId="18" xfId="0" applyFill="1" applyBorder="1"/>
    <xf numFmtId="0" fontId="0" fillId="23" borderId="17" xfId="0" applyFill="1" applyBorder="1"/>
    <xf numFmtId="0" fontId="0" fillId="11" borderId="18" xfId="0" applyFill="1" applyBorder="1" applyAlignment="1">
      <alignment horizontal="righ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77</xdr:row>
      <xdr:rowOff>82550</xdr:rowOff>
    </xdr:from>
    <xdr:to>
      <xdr:col>2</xdr:col>
      <xdr:colOff>641350</xdr:colOff>
      <xdr:row>108</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11</xdr:row>
      <xdr:rowOff>0</xdr:rowOff>
    </xdr:from>
    <xdr:to>
      <xdr:col>2</xdr:col>
      <xdr:colOff>641350</xdr:colOff>
      <xdr:row>66</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12</xdr:row>
      <xdr:rowOff>95250</xdr:rowOff>
    </xdr:from>
    <xdr:to>
      <xdr:col>3</xdr:col>
      <xdr:colOff>685800</xdr:colOff>
      <xdr:row>15</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18</xdr:row>
      <xdr:rowOff>12700</xdr:rowOff>
    </xdr:from>
    <xdr:to>
      <xdr:col>3</xdr:col>
      <xdr:colOff>615950</xdr:colOff>
      <xdr:row>22</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24</xdr:row>
      <xdr:rowOff>9525</xdr:rowOff>
    </xdr:from>
    <xdr:to>
      <xdr:col>3</xdr:col>
      <xdr:colOff>631878</xdr:colOff>
      <xdr:row>28</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44</xdr:row>
      <xdr:rowOff>76200</xdr:rowOff>
    </xdr:from>
    <xdr:to>
      <xdr:col>3</xdr:col>
      <xdr:colOff>492061</xdr:colOff>
      <xdr:row>49</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32</xdr:row>
      <xdr:rowOff>85725</xdr:rowOff>
    </xdr:from>
    <xdr:to>
      <xdr:col>3</xdr:col>
      <xdr:colOff>621617</xdr:colOff>
      <xdr:row>36</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61</xdr:row>
      <xdr:rowOff>82550</xdr:rowOff>
    </xdr:from>
    <xdr:to>
      <xdr:col>3</xdr:col>
      <xdr:colOff>438150</xdr:colOff>
      <xdr:row>66</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77</xdr:row>
      <xdr:rowOff>81280</xdr:rowOff>
    </xdr:from>
    <xdr:to>
      <xdr:col>3</xdr:col>
      <xdr:colOff>438150</xdr:colOff>
      <xdr:row>82</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93</xdr:row>
      <xdr:rowOff>92075</xdr:rowOff>
    </xdr:from>
    <xdr:to>
      <xdr:col>3</xdr:col>
      <xdr:colOff>498411</xdr:colOff>
      <xdr:row>98</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103</xdr:row>
      <xdr:rowOff>19050</xdr:rowOff>
    </xdr:from>
    <xdr:to>
      <xdr:col>3</xdr:col>
      <xdr:colOff>730250</xdr:colOff>
      <xdr:row>107</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66</xdr:row>
      <xdr:rowOff>133350</xdr:rowOff>
    </xdr:from>
    <xdr:to>
      <xdr:col>3</xdr:col>
      <xdr:colOff>254000</xdr:colOff>
      <xdr:row>76</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10236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12</xdr:row>
      <xdr:rowOff>69850</xdr:rowOff>
    </xdr:from>
    <xdr:to>
      <xdr:col>1</xdr:col>
      <xdr:colOff>419100</xdr:colOff>
      <xdr:row>65</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77</xdr:row>
      <xdr:rowOff>76200</xdr:rowOff>
    </xdr:from>
    <xdr:to>
      <xdr:col>1</xdr:col>
      <xdr:colOff>368300</xdr:colOff>
      <xdr:row>107</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38</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90</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5</xdr:row>
      <xdr:rowOff>76200</xdr:rowOff>
    </xdr:from>
    <xdr:to>
      <xdr:col>3</xdr:col>
      <xdr:colOff>685800</xdr:colOff>
      <xdr:row>5</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7</xdr:row>
      <xdr:rowOff>95250</xdr:rowOff>
    </xdr:from>
    <xdr:to>
      <xdr:col>3</xdr:col>
      <xdr:colOff>698500</xdr:colOff>
      <xdr:row>7</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70</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34</xdr:row>
      <xdr:rowOff>69850</xdr:rowOff>
    </xdr:from>
    <xdr:to>
      <xdr:col>11</xdr:col>
      <xdr:colOff>457200</xdr:colOff>
      <xdr:row>39</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50</xdr:row>
      <xdr:rowOff>113030</xdr:rowOff>
    </xdr:from>
    <xdr:to>
      <xdr:col>11</xdr:col>
      <xdr:colOff>457200</xdr:colOff>
      <xdr:row>55</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39</xdr:row>
      <xdr:rowOff>152400</xdr:rowOff>
    </xdr:from>
    <xdr:to>
      <xdr:col>11</xdr:col>
      <xdr:colOff>273049</xdr:colOff>
      <xdr:row>50</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6929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107</xdr:row>
      <xdr:rowOff>95250</xdr:rowOff>
    </xdr:from>
    <xdr:to>
      <xdr:col>13</xdr:col>
      <xdr:colOff>0</xdr:colOff>
      <xdr:row>107</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109</xdr:row>
      <xdr:rowOff>76200</xdr:rowOff>
    </xdr:from>
    <xdr:to>
      <xdr:col>13</xdr:col>
      <xdr:colOff>12700</xdr:colOff>
      <xdr:row>109</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50</xdr:row>
      <xdr:rowOff>152400</xdr:rowOff>
    </xdr:from>
    <xdr:to>
      <xdr:col>9</xdr:col>
      <xdr:colOff>635000</xdr:colOff>
      <xdr:row>102</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75</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7</xdr:row>
      <xdr:rowOff>50800</xdr:rowOff>
    </xdr:from>
    <xdr:to>
      <xdr:col>9</xdr:col>
      <xdr:colOff>596900</xdr:colOff>
      <xdr:row>38</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22</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43</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87</xdr:row>
      <xdr:rowOff>3175</xdr:rowOff>
    </xdr:from>
    <xdr:to>
      <xdr:col>3</xdr:col>
      <xdr:colOff>733425</xdr:colOff>
      <xdr:row>90</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54</xdr:row>
      <xdr:rowOff>28575</xdr:rowOff>
    </xdr:from>
    <xdr:to>
      <xdr:col>3</xdr:col>
      <xdr:colOff>708025</xdr:colOff>
      <xdr:row>58</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38</xdr:row>
      <xdr:rowOff>117475</xdr:rowOff>
    </xdr:from>
    <xdr:to>
      <xdr:col>3</xdr:col>
      <xdr:colOff>720725</xdr:colOff>
      <xdr:row>42</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50</xdr:row>
      <xdr:rowOff>127000</xdr:rowOff>
    </xdr:from>
    <xdr:to>
      <xdr:col>11</xdr:col>
      <xdr:colOff>0</xdr:colOff>
      <xdr:row>104</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xdr:row>
      <xdr:rowOff>0</xdr:rowOff>
    </xdr:from>
    <xdr:to>
      <xdr:col>11</xdr:col>
      <xdr:colOff>0</xdr:colOff>
      <xdr:row>38</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14</xdr:row>
      <xdr:rowOff>95250</xdr:rowOff>
    </xdr:from>
    <xdr:to>
      <xdr:col>11</xdr:col>
      <xdr:colOff>511111</xdr:colOff>
      <xdr:row>19</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7</xdr:row>
      <xdr:rowOff>47625</xdr:rowOff>
    </xdr:from>
    <xdr:to>
      <xdr:col>12</xdr:col>
      <xdr:colOff>57150</xdr:colOff>
      <xdr:row>11</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23</xdr:row>
      <xdr:rowOff>152400</xdr:rowOff>
    </xdr:from>
    <xdr:to>
      <xdr:col>12</xdr:col>
      <xdr:colOff>66675</xdr:colOff>
      <xdr:row>27</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99</xdr:row>
      <xdr:rowOff>82550</xdr:rowOff>
    </xdr:from>
    <xdr:to>
      <xdr:col>12</xdr:col>
      <xdr:colOff>19050</xdr:colOff>
      <xdr:row>102</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93</xdr:row>
      <xdr:rowOff>19050</xdr:rowOff>
    </xdr:from>
    <xdr:to>
      <xdr:col>11</xdr:col>
      <xdr:colOff>641350</xdr:colOff>
      <xdr:row>97</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86</xdr:row>
      <xdr:rowOff>142875</xdr:rowOff>
    </xdr:from>
    <xdr:to>
      <xdr:col>11</xdr:col>
      <xdr:colOff>644578</xdr:colOff>
      <xdr:row>90</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67</xdr:row>
      <xdr:rowOff>63500</xdr:rowOff>
    </xdr:from>
    <xdr:to>
      <xdr:col>11</xdr:col>
      <xdr:colOff>511111</xdr:colOff>
      <xdr:row>72</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80</xdr:row>
      <xdr:rowOff>130175</xdr:rowOff>
    </xdr:from>
    <xdr:to>
      <xdr:col>11</xdr:col>
      <xdr:colOff>647017</xdr:colOff>
      <xdr:row>84</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58</xdr:row>
      <xdr:rowOff>98425</xdr:rowOff>
    </xdr:from>
    <xdr:to>
      <xdr:col>12</xdr:col>
      <xdr:colOff>53975</xdr:colOff>
      <xdr:row>62</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74</xdr:row>
      <xdr:rowOff>41275</xdr:rowOff>
    </xdr:from>
    <xdr:to>
      <xdr:col>12</xdr:col>
      <xdr:colOff>66675</xdr:colOff>
      <xdr:row>78</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95250</xdr:colOff>
      <xdr:row>2</xdr:row>
      <xdr:rowOff>76200</xdr:rowOff>
    </xdr:from>
    <xdr:to>
      <xdr:col>7</xdr:col>
      <xdr:colOff>69850</xdr:colOff>
      <xdr:row>112</xdr:row>
      <xdr:rowOff>31750</xdr:rowOff>
    </xdr:to>
    <xdr:cxnSp macro="">
      <xdr:nvCxnSpPr>
        <xdr:cNvPr id="54" name="Straight Connector 53">
          <a:extLst>
            <a:ext uri="{FF2B5EF4-FFF2-40B4-BE49-F238E27FC236}">
              <a16:creationId xmlns:a16="http://schemas.microsoft.com/office/drawing/2014/main" id="{B220ED8D-9003-4995-A1A7-018713BEDF07}"/>
            </a:ext>
          </a:extLst>
        </xdr:cNvPr>
        <xdr:cNvCxnSpPr/>
      </xdr:nvCxnSpPr>
      <xdr:spPr bwMode="auto">
        <a:xfrm>
          <a:off x="95250" y="311150"/>
          <a:ext cx="5568950" cy="17926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127000</xdr:colOff>
      <xdr:row>2</xdr:row>
      <xdr:rowOff>57150</xdr:rowOff>
    </xdr:from>
    <xdr:to>
      <xdr:col>7</xdr:col>
      <xdr:colOff>76200</xdr:colOff>
      <xdr:row>112</xdr:row>
      <xdr:rowOff>31750</xdr:rowOff>
    </xdr:to>
    <xdr:cxnSp macro="">
      <xdr:nvCxnSpPr>
        <xdr:cNvPr id="55" name="Straight Connector 54">
          <a:extLst>
            <a:ext uri="{FF2B5EF4-FFF2-40B4-BE49-F238E27FC236}">
              <a16:creationId xmlns:a16="http://schemas.microsoft.com/office/drawing/2014/main" id="{8F19613D-6DBC-4C8E-97DC-CB8BFDE59116}"/>
            </a:ext>
          </a:extLst>
        </xdr:cNvPr>
        <xdr:cNvCxnSpPr/>
      </xdr:nvCxnSpPr>
      <xdr:spPr bwMode="auto">
        <a:xfrm flipH="1">
          <a:off x="127000" y="292100"/>
          <a:ext cx="5543550" cy="179451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9</xdr:col>
      <xdr:colOff>634617</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9" y="14136542"/>
          <a:ext cx="5029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168470</xdr:colOff>
      <xdr:row>84</xdr:row>
      <xdr:rowOff>47622</xdr:rowOff>
    </xdr:from>
    <xdr:to>
      <xdr:col>10</xdr:col>
      <xdr:colOff>218882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6183652" y="13873304"/>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5</xdr:col>
      <xdr:colOff>469329</xdr:colOff>
      <xdr:row>79</xdr:row>
      <xdr:rowOff>113047</xdr:rowOff>
    </xdr:from>
    <xdr:to>
      <xdr:col>7</xdr:col>
      <xdr:colOff>386527</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3557738"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4</xdr:col>
      <xdr:colOff>361656</xdr:colOff>
      <xdr:row>83</xdr:row>
      <xdr:rowOff>75049</xdr:rowOff>
    </xdr:from>
    <xdr:to>
      <xdr:col>5</xdr:col>
      <xdr:colOff>497699</xdr:colOff>
      <xdr:row>88</xdr:row>
      <xdr:rowOff>72931</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2806214" y="13765263"/>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6</xdr:col>
      <xdr:colOff>346364</xdr:colOff>
      <xdr:row>84</xdr:row>
      <xdr:rowOff>51954</xdr:rowOff>
    </xdr:from>
    <xdr:to>
      <xdr:col>7</xdr:col>
      <xdr:colOff>236679</xdr:colOff>
      <xdr:row>87</xdr:row>
      <xdr:rowOff>86881</xdr:rowOff>
    </xdr:to>
    <xdr:sp macro="" textlink="">
      <xdr:nvSpPr>
        <xdr:cNvPr id="46" name="Rectangle 1">
          <a:extLst>
            <a:ext uri="{FF2B5EF4-FFF2-40B4-BE49-F238E27FC236}">
              <a16:creationId xmlns:a16="http://schemas.microsoft.com/office/drawing/2014/main" id="{F8342E50-F73E-48AF-AA24-83108B7AA03F}"/>
            </a:ext>
          </a:extLst>
        </xdr:cNvPr>
        <xdr:cNvSpPr>
          <a:spLocks noChangeArrowheads="1"/>
        </xdr:cNvSpPr>
      </xdr:nvSpPr>
      <xdr:spPr bwMode="auto">
        <a:xfrm>
          <a:off x="4052455" y="13877636"/>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7</xdr:col>
      <xdr:colOff>566010</xdr:colOff>
      <xdr:row>83</xdr:row>
      <xdr:rowOff>65814</xdr:rowOff>
    </xdr:from>
    <xdr:to>
      <xdr:col>8</xdr:col>
      <xdr:colOff>621235</xdr:colOff>
      <xdr:row>88</xdr:row>
      <xdr:rowOff>63696</xdr:rowOff>
    </xdr:to>
    <xdr:sp macro="" textlink="">
      <xdr:nvSpPr>
        <xdr:cNvPr id="47" name="AutoShape 6">
          <a:extLst>
            <a:ext uri="{FF2B5EF4-FFF2-40B4-BE49-F238E27FC236}">
              <a16:creationId xmlns:a16="http://schemas.microsoft.com/office/drawing/2014/main" id="{A40B4264-F085-478E-84B0-AFA7D9539A64}"/>
            </a:ext>
          </a:extLst>
        </xdr:cNvPr>
        <xdr:cNvSpPr>
          <a:spLocks noChangeArrowheads="1"/>
        </xdr:cNvSpPr>
      </xdr:nvSpPr>
      <xdr:spPr bwMode="auto">
        <a:xfrm rot="5400000">
          <a:off x="4863614" y="13756028"/>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48" name="Text Box 24">
          <a:extLst>
            <a:ext uri="{FF2B5EF4-FFF2-40B4-BE49-F238E27FC236}">
              <a16:creationId xmlns:a16="http://schemas.microsoft.com/office/drawing/2014/main" id="{49266EA6-DED2-4D01-B613-653A4E7DB343}"/>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49" name="AutoShape 6">
          <a:extLst>
            <a:ext uri="{FF2B5EF4-FFF2-40B4-BE49-F238E27FC236}">
              <a16:creationId xmlns:a16="http://schemas.microsoft.com/office/drawing/2014/main" id="{A40C9A31-D329-42A3-A7A5-BBA8DCDD28F0}"/>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50" name="Line 7">
          <a:extLst>
            <a:ext uri="{FF2B5EF4-FFF2-40B4-BE49-F238E27FC236}">
              <a16:creationId xmlns:a16="http://schemas.microsoft.com/office/drawing/2014/main" id="{005BA3D0-01A5-4951-A216-ED6B7934AEDF}"/>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506555</xdr:colOff>
      <xdr:row>14</xdr:row>
      <xdr:rowOff>98136</xdr:rowOff>
    </xdr:from>
    <xdr:to>
      <xdr:col>13</xdr:col>
      <xdr:colOff>581832</xdr:colOff>
      <xdr:row>14</xdr:row>
      <xdr:rowOff>98136</xdr:rowOff>
    </xdr:to>
    <xdr:sp macro="" textlink="">
      <xdr:nvSpPr>
        <xdr:cNvPr id="51" name="Line 8">
          <a:extLst>
            <a:ext uri="{FF2B5EF4-FFF2-40B4-BE49-F238E27FC236}">
              <a16:creationId xmlns:a16="http://schemas.microsoft.com/office/drawing/2014/main" id="{70410276-1135-4A3D-A8E8-DBFCECA2C14D}"/>
            </a:ext>
          </a:extLst>
        </xdr:cNvPr>
        <xdr:cNvSpPr>
          <a:spLocks noChangeShapeType="1"/>
        </xdr:cNvSpPr>
      </xdr:nvSpPr>
      <xdr:spPr bwMode="auto">
        <a:xfrm flipV="1">
          <a:off x="1738455" y="2441286"/>
          <a:ext cx="7390477"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52" name="AutoShape 6">
          <a:extLst>
            <a:ext uri="{FF2B5EF4-FFF2-40B4-BE49-F238E27FC236}">
              <a16:creationId xmlns:a16="http://schemas.microsoft.com/office/drawing/2014/main" id="{35227697-10EA-45BB-9686-A8CB1B25B068}"/>
            </a:ext>
          </a:extLst>
        </xdr:cNvPr>
        <xdr:cNvSpPr>
          <a:spLocks noChangeArrowheads="1"/>
        </xdr:cNvSpPr>
      </xdr:nvSpPr>
      <xdr:spPr bwMode="auto">
        <a:xfrm rot="5400000">
          <a:off x="5239515" y="2065870"/>
          <a:ext cx="791632" cy="751416"/>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53" name="Rectangle 1">
          <a:extLst>
            <a:ext uri="{FF2B5EF4-FFF2-40B4-BE49-F238E27FC236}">
              <a16:creationId xmlns:a16="http://schemas.microsoft.com/office/drawing/2014/main" id="{23F9C3BC-00D5-4B13-8AFD-FED568444D9B}"/>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54" name="Rectangle 1">
          <a:extLst>
            <a:ext uri="{FF2B5EF4-FFF2-40B4-BE49-F238E27FC236}">
              <a16:creationId xmlns:a16="http://schemas.microsoft.com/office/drawing/2014/main" id="{1A35C243-58A8-478B-B627-D48B32FA8A0E}"/>
            </a:ext>
          </a:extLst>
        </xdr:cNvPr>
        <xdr:cNvSpPr>
          <a:spLocks noChangeArrowheads="1"/>
        </xdr:cNvSpPr>
      </xdr:nvSpPr>
      <xdr:spPr bwMode="auto">
        <a:xfrm>
          <a:off x="4563245" y="2182280"/>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55" name="Line 7">
          <a:extLst>
            <a:ext uri="{FF2B5EF4-FFF2-40B4-BE49-F238E27FC236}">
              <a16:creationId xmlns:a16="http://schemas.microsoft.com/office/drawing/2014/main" id="{7ADECBF2-B821-4358-B5FD-FB26EFA4754A}"/>
            </a:ext>
          </a:extLst>
        </xdr:cNvPr>
        <xdr:cNvSpPr>
          <a:spLocks noChangeShapeType="1"/>
        </xdr:cNvSpPr>
      </xdr:nvSpPr>
      <xdr:spPr bwMode="auto">
        <a:xfrm>
          <a:off x="6009984" y="1430867"/>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56" name="TextBox 55">
          <a:extLst>
            <a:ext uri="{FF2B5EF4-FFF2-40B4-BE49-F238E27FC236}">
              <a16:creationId xmlns:a16="http://schemas.microsoft.com/office/drawing/2014/main" id="{2047351D-4189-4CEC-B530-3043B94D15D3}"/>
            </a:ext>
          </a:extLst>
        </xdr:cNvPr>
        <xdr:cNvSpPr txBox="1"/>
      </xdr:nvSpPr>
      <xdr:spPr>
        <a:xfrm>
          <a:off x="5986702" y="1402293"/>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59" name="Line 7">
          <a:extLst>
            <a:ext uri="{FF2B5EF4-FFF2-40B4-BE49-F238E27FC236}">
              <a16:creationId xmlns:a16="http://schemas.microsoft.com/office/drawing/2014/main" id="{62343F4A-6EB9-40BB-B7FD-13CEBFA75088}"/>
            </a:ext>
          </a:extLst>
        </xdr:cNvPr>
        <xdr:cNvSpPr>
          <a:spLocks noChangeShapeType="1"/>
        </xdr:cNvSpPr>
      </xdr:nvSpPr>
      <xdr:spPr bwMode="auto">
        <a:xfrm>
          <a:off x="6587833" y="1530351"/>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12</xdr:col>
      <xdr:colOff>428338</xdr:colOff>
      <xdr:row>12</xdr:row>
      <xdr:rowOff>107849</xdr:rowOff>
    </xdr:from>
    <xdr:to>
      <xdr:col>14</xdr:col>
      <xdr:colOff>244183</xdr:colOff>
      <xdr:row>16</xdr:row>
      <xdr:rowOff>80337</xdr:rowOff>
    </xdr:to>
    <xdr:sp macro="" textlink="">
      <xdr:nvSpPr>
        <xdr:cNvPr id="60" name="Rectangle 1">
          <a:extLst>
            <a:ext uri="{FF2B5EF4-FFF2-40B4-BE49-F238E27FC236}">
              <a16:creationId xmlns:a16="http://schemas.microsoft.com/office/drawing/2014/main" id="{32C4B5B9-E2E6-4C83-AF49-50B0075E00C9}"/>
            </a:ext>
          </a:extLst>
        </xdr:cNvPr>
        <xdr:cNvSpPr>
          <a:spLocks noChangeArrowheads="1"/>
        </xdr:cNvSpPr>
      </xdr:nvSpPr>
      <xdr:spPr bwMode="auto">
        <a:xfrm>
          <a:off x="8359488" y="2133499"/>
          <a:ext cx="1047745"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61" name="Text Box 24">
          <a:extLst>
            <a:ext uri="{FF2B5EF4-FFF2-40B4-BE49-F238E27FC236}">
              <a16:creationId xmlns:a16="http://schemas.microsoft.com/office/drawing/2014/main" id="{8C608DD7-791F-4D9F-A015-7F348F7A363B}"/>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62" name="Rectangle 1">
          <a:extLst>
            <a:ext uri="{FF2B5EF4-FFF2-40B4-BE49-F238E27FC236}">
              <a16:creationId xmlns:a16="http://schemas.microsoft.com/office/drawing/2014/main" id="{56F12069-1C6C-4A46-8585-C7F220316636}"/>
            </a:ext>
          </a:extLst>
        </xdr:cNvPr>
        <xdr:cNvSpPr>
          <a:spLocks noChangeArrowheads="1"/>
        </xdr:cNvSpPr>
      </xdr:nvSpPr>
      <xdr:spPr bwMode="auto">
        <a:xfrm>
          <a:off x="3745153" y="2178045"/>
          <a:ext cx="610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9</xdr:col>
      <xdr:colOff>335202</xdr:colOff>
      <xdr:row>13</xdr:row>
      <xdr:rowOff>4230</xdr:rowOff>
    </xdr:from>
    <xdr:to>
      <xdr:col>10</xdr:col>
      <xdr:colOff>144699</xdr:colOff>
      <xdr:row>16</xdr:row>
      <xdr:rowOff>39157</xdr:rowOff>
    </xdr:to>
    <xdr:sp macro="" textlink="">
      <xdr:nvSpPr>
        <xdr:cNvPr id="63" name="Rectangle 1">
          <a:extLst>
            <a:ext uri="{FF2B5EF4-FFF2-40B4-BE49-F238E27FC236}">
              <a16:creationId xmlns:a16="http://schemas.microsoft.com/office/drawing/2014/main" id="{ECCCF82F-D86A-47F9-88BF-CED1C3174F51}"/>
            </a:ext>
          </a:extLst>
        </xdr:cNvPr>
        <xdr:cNvSpPr>
          <a:spLocks noChangeArrowheads="1"/>
        </xdr:cNvSpPr>
      </xdr:nvSpPr>
      <xdr:spPr bwMode="auto">
        <a:xfrm>
          <a:off x="6335952" y="2188630"/>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4</xdr:col>
      <xdr:colOff>471727</xdr:colOff>
      <xdr:row>12</xdr:row>
      <xdr:rowOff>156628</xdr:rowOff>
    </xdr:from>
    <xdr:to>
      <xdr:col>5</xdr:col>
      <xdr:colOff>466724</xdr:colOff>
      <xdr:row>16</xdr:row>
      <xdr:rowOff>32805</xdr:rowOff>
    </xdr:to>
    <xdr:sp macro="" textlink="">
      <xdr:nvSpPr>
        <xdr:cNvPr id="64" name="Rectangle 1">
          <a:extLst>
            <a:ext uri="{FF2B5EF4-FFF2-40B4-BE49-F238E27FC236}">
              <a16:creationId xmlns:a16="http://schemas.microsoft.com/office/drawing/2014/main" id="{1980BDC7-8B0D-46B3-8312-7DC2B9E17C17}"/>
            </a:ext>
          </a:extLst>
        </xdr:cNvPr>
        <xdr:cNvSpPr>
          <a:spLocks noChangeArrowheads="1"/>
        </xdr:cNvSpPr>
      </xdr:nvSpPr>
      <xdr:spPr bwMode="auto">
        <a:xfrm>
          <a:off x="2935527" y="2182278"/>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10</xdr:col>
      <xdr:colOff>516942</xdr:colOff>
      <xdr:row>12</xdr:row>
      <xdr:rowOff>15302</xdr:rowOff>
    </xdr:from>
    <xdr:to>
      <xdr:col>12</xdr:col>
      <xdr:colOff>35304</xdr:colOff>
      <xdr:row>17</xdr:row>
      <xdr:rowOff>13184</xdr:rowOff>
    </xdr:to>
    <xdr:sp macro="" textlink="">
      <xdr:nvSpPr>
        <xdr:cNvPr id="65" name="AutoShape 6">
          <a:extLst>
            <a:ext uri="{FF2B5EF4-FFF2-40B4-BE49-F238E27FC236}">
              <a16:creationId xmlns:a16="http://schemas.microsoft.com/office/drawing/2014/main" id="{6785DAB9-7307-4057-B2FE-ECA255B1A69B}"/>
            </a:ext>
          </a:extLst>
        </xdr:cNvPr>
        <xdr:cNvSpPr>
          <a:spLocks noChangeArrowheads="1"/>
        </xdr:cNvSpPr>
      </xdr:nvSpPr>
      <xdr:spPr bwMode="auto">
        <a:xfrm rot="5400000">
          <a:off x="7195507" y="2061637"/>
          <a:ext cx="791632" cy="750262"/>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61" t="s">
        <v>1064</v>
      </c>
      <c r="H1" s="1062"/>
      <c r="I1" s="1058" t="s">
        <v>949</v>
      </c>
      <c r="J1" s="1059"/>
      <c r="K1" s="1059"/>
      <c r="L1" s="1059"/>
      <c r="M1" s="1060"/>
      <c r="N1" s="556"/>
      <c r="O1" s="127"/>
      <c r="P1" s="127"/>
    </row>
    <row r="2" spans="1:16" ht="25">
      <c r="A2" s="52"/>
      <c r="B2" s="57" t="s">
        <v>476</v>
      </c>
      <c r="C2" s="53"/>
      <c r="D2" s="53"/>
      <c r="E2" s="53"/>
      <c r="F2" s="56" t="s">
        <v>940</v>
      </c>
      <c r="G2" s="54"/>
      <c r="H2" s="55"/>
      <c r="I2" s="55"/>
      <c r="J2" s="55"/>
      <c r="K2" s="55"/>
      <c r="L2" s="55"/>
      <c r="M2" s="55"/>
      <c r="N2" s="44"/>
      <c r="O2" s="44"/>
      <c r="P2" s="44"/>
    </row>
    <row r="3" spans="1:16" ht="25">
      <c r="A3" s="52"/>
      <c r="B3" s="57" t="s">
        <v>832</v>
      </c>
      <c r="C3" s="53"/>
      <c r="D3" s="53"/>
      <c r="E3" s="53"/>
      <c r="F3" s="56" t="s">
        <v>1062</v>
      </c>
      <c r="G3" s="54"/>
      <c r="H3" s="55"/>
      <c r="I3" s="55"/>
      <c r="J3" s="55"/>
      <c r="K3" s="55"/>
      <c r="L3" s="55"/>
      <c r="M3" s="55"/>
      <c r="N3" s="44"/>
      <c r="O3" s="44"/>
      <c r="P3" s="44"/>
    </row>
    <row r="4" spans="1:16" ht="13">
      <c r="A4" s="1" t="s">
        <v>934</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938</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937</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936</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1060</v>
      </c>
      <c r="G16" s="3"/>
      <c r="H16" s="3"/>
      <c r="I16" s="3"/>
      <c r="J16" s="3"/>
      <c r="K16" s="3"/>
      <c r="L16" s="3"/>
      <c r="M16" s="3"/>
      <c r="N16" s="3"/>
      <c r="O16" s="3"/>
      <c r="P16" s="3"/>
    </row>
    <row r="17" spans="1:16" ht="16" thickBot="1">
      <c r="A17" s="3"/>
      <c r="B17" s="3"/>
      <c r="C17" s="3"/>
      <c r="D17" s="4" t="s">
        <v>829</v>
      </c>
      <c r="E17" s="3"/>
      <c r="F17" s="894" t="s">
        <v>939</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1063</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1065</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1008</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December 15</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38">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38">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28" zoomScale="120" zoomScaleNormal="120" workbookViewId="0">
      <selection activeCell="G53" sqref="G5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OreSat1</v>
      </c>
      <c r="F1" s="127"/>
      <c r="G1" s="610" t="str">
        <f>'Title Page'!F23</f>
        <v>2019 December 15</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964</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964</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965</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1052</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964</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964</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965</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1052</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4" t="s">
        <v>140</v>
      </c>
      <c r="C1" s="44"/>
      <c r="D1" s="617" t="str">
        <f>'Title Page'!F3</f>
        <v>OreSat1</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2.5.5a</v>
      </c>
      <c r="E2" s="58"/>
      <c r="F2" s="58" t="str">
        <f>'Title Page'!F23</f>
        <v>2019 December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0.98</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31.919999999999998</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-124.31854446284576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1.4</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264.20033694819472</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-26.589333671568141</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76.292121865586083</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16.292121865586083</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5.992121865586082</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1.4</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264.20033694819472</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-26.589333671568141</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-128.08854446284576</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-141.37036637179204</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13.281821908946284</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2.9818219089462836</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4" t="s">
        <v>140</v>
      </c>
      <c r="C1" s="44" t="s">
        <v>714</v>
      </c>
      <c r="D1" s="617" t="str">
        <f>'Title Page'!F3</f>
        <v>OreSat1</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2.5.5a</v>
      </c>
      <c r="E2" s="58"/>
      <c r="F2" s="59" t="str">
        <f>'Title Page'!F23</f>
        <v>2019 December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0.9</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-144.02660571079946</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0.93616653612079759</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15</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0.3</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206.92737847455561</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-8.4581795578794896</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75.179048195200252</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15.179048195200252</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4.8790481952002516</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0.93616653612079759</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15</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0.3</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206.92737847455561</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-8.4581795578794896</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-130.26277224692026</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-142.43152048548069</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12.168748238560426</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1.8687482385604248</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3"/>
  <sheetViews>
    <sheetView tabSelected="1" zoomScaleNormal="100" workbookViewId="0">
      <selection activeCell="Q4" sqref="Q4"/>
    </sheetView>
  </sheetViews>
  <sheetFormatPr defaultColWidth="8.81640625" defaultRowHeight="12.5"/>
  <cols>
    <col min="1" max="1" width="12.54296875" style="973" customWidth="1"/>
    <col min="2" max="2" width="8.81640625" style="973"/>
    <col min="3" max="3" width="9.453125" style="973" customWidth="1"/>
    <col min="4" max="4" width="12.36328125" style="973" bestFit="1" customWidth="1"/>
    <col min="5" max="5" width="10.1796875" style="973" customWidth="1"/>
    <col min="6" max="6" width="12.453125" style="973" customWidth="1"/>
    <col min="7" max="7" width="14.26953125" style="973" bestFit="1" customWidth="1"/>
    <col min="8" max="8" width="3.54296875" style="973" customWidth="1"/>
    <col min="9" max="9" width="3.81640625" style="973" customWidth="1"/>
    <col min="10" max="10" width="9.453125" style="973" customWidth="1"/>
    <col min="11" max="11" width="10.453125" style="973" customWidth="1"/>
    <col min="12" max="12" width="12.36328125" style="973" bestFit="1" customWidth="1"/>
    <col min="13" max="13" width="10.453125" style="973" customWidth="1"/>
    <col min="14" max="14" width="12.1796875" style="973" customWidth="1"/>
    <col min="15" max="15" width="12.453125" style="973" bestFit="1" customWidth="1"/>
    <col min="16" max="16384" width="8.81640625" style="973"/>
  </cols>
  <sheetData>
    <row r="1" spans="1:17" ht="13">
      <c r="I1" s="1047"/>
      <c r="J1" s="1047"/>
      <c r="K1" s="1047"/>
      <c r="L1" s="1047"/>
      <c r="M1" s="1047"/>
      <c r="N1" s="1047"/>
      <c r="O1" s="1047"/>
      <c r="P1" s="1047"/>
      <c r="Q1" s="1047" t="str">
        <f>'Title Page'!F23</f>
        <v>2019 December 15</v>
      </c>
    </row>
    <row r="2" spans="1:17" ht="18.5" thickBot="1">
      <c r="A2" s="971" t="s">
        <v>415</v>
      </c>
      <c r="B2" s="972"/>
      <c r="C2" s="972"/>
      <c r="D2" s="972"/>
      <c r="E2" s="972"/>
      <c r="F2" s="972"/>
      <c r="G2" s="972"/>
      <c r="H2" s="972"/>
      <c r="I2" s="1048" t="str">
        <f>'Title Page'!F3 &amp; "  /  " &amp; 'Title Page'!F16</f>
        <v>OreSat1  /  S Band 802.11b Bulk Mission Data Downlink using Handheld</v>
      </c>
      <c r="J2" s="972"/>
      <c r="K2" s="1046"/>
      <c r="L2" s="1046"/>
      <c r="M2" s="1046"/>
      <c r="N2" s="1046"/>
      <c r="O2" s="1046"/>
      <c r="P2" s="1046"/>
      <c r="Q2" s="1046"/>
    </row>
    <row r="3" spans="1:17" ht="13">
      <c r="A3" s="974"/>
      <c r="B3" s="1065" t="s">
        <v>1061</v>
      </c>
      <c r="C3" s="1065"/>
      <c r="D3" s="975"/>
      <c r="E3" s="975"/>
      <c r="F3" s="975"/>
      <c r="G3" s="975" t="s">
        <v>714</v>
      </c>
      <c r="H3" s="976"/>
      <c r="I3" s="977"/>
      <c r="J3" s="1065" t="s">
        <v>1061</v>
      </c>
      <c r="K3" s="1065"/>
      <c r="L3" s="975"/>
      <c r="M3" s="975"/>
      <c r="N3" s="975"/>
      <c r="O3" s="975"/>
      <c r="P3" s="975"/>
      <c r="Q3" s="976"/>
    </row>
    <row r="4" spans="1:17" ht="15" customHeight="1">
      <c r="A4" s="978"/>
      <c r="B4" s="1066" t="s">
        <v>999</v>
      </c>
      <c r="C4" s="1067"/>
      <c r="D4" s="979"/>
      <c r="E4" s="980" t="s">
        <v>752</v>
      </c>
      <c r="F4" s="981">
        <f>Frequency!M10</f>
        <v>2422</v>
      </c>
      <c r="G4" s="979"/>
      <c r="H4" s="982"/>
      <c r="I4" s="978"/>
      <c r="J4" s="1066" t="s">
        <v>422</v>
      </c>
      <c r="K4" s="1068"/>
      <c r="L4" s="979"/>
      <c r="M4" s="980" t="s">
        <v>752</v>
      </c>
      <c r="N4" s="981">
        <f>Frequency!M16</f>
        <v>2422</v>
      </c>
      <c r="O4" s="979"/>
      <c r="P4" s="979"/>
      <c r="Q4" s="982"/>
    </row>
    <row r="5" spans="1:17" ht="13" thickBot="1">
      <c r="A5" s="978"/>
      <c r="B5" s="979"/>
      <c r="C5" s="979"/>
      <c r="D5" s="979"/>
      <c r="E5" s="979"/>
      <c r="F5" s="979"/>
      <c r="G5" s="979"/>
      <c r="H5" s="982"/>
      <c r="I5" s="978"/>
      <c r="J5" s="979"/>
      <c r="K5" s="979"/>
      <c r="L5" s="979"/>
      <c r="M5" s="979"/>
      <c r="N5" s="979"/>
      <c r="O5" s="979"/>
      <c r="P5" s="979"/>
      <c r="Q5" s="982"/>
    </row>
    <row r="6" spans="1:17" ht="13.5" thickBot="1">
      <c r="A6" s="983" t="s">
        <v>1009</v>
      </c>
      <c r="B6" s="984" t="s">
        <v>1010</v>
      </c>
      <c r="C6" s="985">
        <f>'Uplink Budget'!B30</f>
        <v>16.292121865586083</v>
      </c>
      <c r="D6" s="979"/>
      <c r="E6" s="986" t="s">
        <v>417</v>
      </c>
      <c r="F6" s="987">
        <f>'Uplink Budget'!B43</f>
        <v>5.992121865586082</v>
      </c>
      <c r="G6" s="988" t="str">
        <f>IF(F6&lt;0,"NO LINK !",IF(F6&lt;6,"MARGINAL LINK",IF(F6&gt;6,"LINK CLOSES")))</f>
        <v>MARGINAL LINK</v>
      </c>
      <c r="H6" s="982"/>
      <c r="I6" s="978"/>
      <c r="J6" s="979"/>
      <c r="K6" s="984" t="s">
        <v>1000</v>
      </c>
      <c r="L6" s="989">
        <f>'Downlink Budget'!B28</f>
        <v>1000000</v>
      </c>
      <c r="M6" s="979"/>
      <c r="N6" s="979"/>
      <c r="O6" s="979"/>
      <c r="P6" s="979"/>
      <c r="Q6" s="982"/>
    </row>
    <row r="7" spans="1:17" ht="13" thickBot="1">
      <c r="A7" s="978"/>
      <c r="B7" s="979"/>
      <c r="C7" s="979"/>
      <c r="D7" s="979"/>
      <c r="E7" s="979"/>
      <c r="F7" s="979"/>
      <c r="G7" s="990" t="s">
        <v>714</v>
      </c>
      <c r="H7" s="982"/>
      <c r="I7" s="978"/>
      <c r="J7" s="979"/>
      <c r="K7" s="979"/>
      <c r="L7" s="979"/>
      <c r="M7" s="979"/>
      <c r="N7" s="1069" t="s">
        <v>1001</v>
      </c>
      <c r="O7" s="1070"/>
      <c r="P7" s="979"/>
      <c r="Q7" s="982"/>
    </row>
    <row r="8" spans="1:17" ht="13.5" thickBot="1">
      <c r="A8" s="983" t="s">
        <v>420</v>
      </c>
      <c r="B8" s="984" t="s">
        <v>1002</v>
      </c>
      <c r="C8" s="985">
        <f>'Uplink Budget'!B61</f>
        <v>13.281821908946284</v>
      </c>
      <c r="D8" s="979"/>
      <c r="E8" s="986" t="s">
        <v>417</v>
      </c>
      <c r="F8" s="987">
        <f>'Uplink Budget'!B65</f>
        <v>2.9818219089462836</v>
      </c>
      <c r="G8" s="988" t="str">
        <f>IF(F8&lt;0,"NO LINK !",IF(F8&lt;6,"MARGINAL LINK",IF(F8&gt;6,"LINK CLOSES")))</f>
        <v>MARGINAL LINK</v>
      </c>
      <c r="H8" s="982"/>
      <c r="I8" s="978"/>
      <c r="J8" s="979"/>
      <c r="K8" s="991"/>
      <c r="L8" s="979"/>
      <c r="M8" s="979"/>
      <c r="N8" s="1063" t="str">
        <f>'Downlink Budget'!B32</f>
        <v>DBPSK</v>
      </c>
      <c r="O8" s="1064"/>
      <c r="P8" s="979"/>
      <c r="Q8" s="982"/>
    </row>
    <row r="9" spans="1:17" ht="13">
      <c r="A9" s="978"/>
      <c r="B9" s="979"/>
      <c r="C9" s="992"/>
      <c r="D9" s="979"/>
      <c r="E9" s="979"/>
      <c r="F9" s="993"/>
      <c r="G9" s="979"/>
      <c r="H9" s="982"/>
      <c r="I9" s="978"/>
      <c r="J9" s="979"/>
      <c r="K9" s="991"/>
      <c r="L9" s="979"/>
      <c r="M9" s="979"/>
      <c r="N9" s="979"/>
      <c r="O9" s="979"/>
      <c r="P9" s="979"/>
      <c r="Q9" s="982"/>
    </row>
    <row r="10" spans="1:17" ht="13">
      <c r="A10" s="994" t="s">
        <v>140</v>
      </c>
      <c r="B10" s="979"/>
      <c r="C10" s="992"/>
      <c r="D10" s="979"/>
      <c r="E10" s="979"/>
      <c r="F10" s="993"/>
      <c r="G10" s="979"/>
      <c r="H10" s="982"/>
      <c r="I10" s="978"/>
      <c r="J10" s="979"/>
      <c r="K10" s="991"/>
      <c r="L10" s="979"/>
      <c r="M10" s="979"/>
      <c r="N10" s="1069" t="s">
        <v>1003</v>
      </c>
      <c r="O10" s="1070"/>
      <c r="P10" s="979"/>
      <c r="Q10" s="982"/>
    </row>
    <row r="11" spans="1:17">
      <c r="A11" s="978"/>
      <c r="B11" s="979"/>
      <c r="C11" s="984" t="s">
        <v>1000</v>
      </c>
      <c r="D11" s="989">
        <f>'Uplink Budget'!B28</f>
        <v>1000000</v>
      </c>
      <c r="E11" s="979"/>
      <c r="F11" s="979"/>
      <c r="G11" s="979"/>
      <c r="H11" s="982"/>
      <c r="I11" s="978"/>
      <c r="J11" s="979"/>
      <c r="K11" s="979"/>
      <c r="L11" s="979"/>
      <c r="M11" s="979"/>
      <c r="N11" s="1063" t="str">
        <f>'Downlink Budget'!B33</f>
        <v>None</v>
      </c>
      <c r="O11" s="1064"/>
      <c r="P11" s="979"/>
      <c r="Q11" s="982"/>
    </row>
    <row r="12" spans="1:17">
      <c r="A12" s="978"/>
      <c r="B12" s="979"/>
      <c r="C12" s="979"/>
      <c r="D12" s="979"/>
      <c r="E12" s="979"/>
      <c r="F12" s="979"/>
      <c r="G12" s="979"/>
      <c r="H12" s="982"/>
      <c r="I12" s="978"/>
      <c r="J12" s="979"/>
      <c r="K12" s="979"/>
      <c r="L12" s="979"/>
      <c r="M12" s="979"/>
      <c r="N12" s="979"/>
      <c r="O12" s="979"/>
      <c r="P12" s="979"/>
      <c r="Q12" s="982"/>
    </row>
    <row r="13" spans="1:17">
      <c r="A13" s="978"/>
      <c r="B13" s="979"/>
      <c r="C13" s="979"/>
      <c r="D13" s="979"/>
      <c r="E13" s="979"/>
      <c r="F13" s="979"/>
      <c r="G13" s="979"/>
      <c r="H13" s="982"/>
      <c r="I13" s="978"/>
      <c r="J13" s="979"/>
      <c r="K13" s="979"/>
      <c r="L13" s="979"/>
      <c r="M13" s="979"/>
      <c r="N13" s="979"/>
      <c r="O13" s="979"/>
      <c r="P13" s="979"/>
      <c r="Q13" s="982"/>
    </row>
    <row r="14" spans="1:17" ht="15.5">
      <c r="A14" s="978"/>
      <c r="B14" s="979"/>
      <c r="C14" s="979"/>
      <c r="D14" s="979" t="s">
        <v>714</v>
      </c>
      <c r="E14" s="979"/>
      <c r="F14" s="1069" t="s">
        <v>1004</v>
      </c>
      <c r="G14" s="1070"/>
      <c r="H14" s="982"/>
      <c r="I14" s="978"/>
      <c r="J14" s="979"/>
      <c r="K14" s="979"/>
      <c r="L14" s="979"/>
      <c r="M14" s="979"/>
      <c r="N14" s="995" t="s">
        <v>1011</v>
      </c>
      <c r="O14" s="996">
        <v>0.36</v>
      </c>
      <c r="P14" s="979"/>
      <c r="Q14" s="982"/>
    </row>
    <row r="15" spans="1:17">
      <c r="A15" s="978"/>
      <c r="B15" s="979"/>
      <c r="C15" s="979"/>
      <c r="D15" s="979"/>
      <c r="E15" s="979"/>
      <c r="F15" s="1063" t="str">
        <f>'Uplink Budget'!B33</f>
        <v>None</v>
      </c>
      <c r="G15" s="1064"/>
      <c r="H15" s="982"/>
      <c r="I15" s="978"/>
      <c r="J15" s="979"/>
      <c r="K15" s="979"/>
      <c r="L15" s="979"/>
      <c r="M15" s="979"/>
      <c r="N15" s="979"/>
      <c r="O15" s="979"/>
      <c r="P15" s="979"/>
      <c r="Q15" s="982"/>
    </row>
    <row r="16" spans="1:17" ht="15.5">
      <c r="A16" s="978"/>
      <c r="B16" s="979"/>
      <c r="C16" s="979"/>
      <c r="D16" s="979"/>
      <c r="E16" s="979"/>
      <c r="F16" s="979"/>
      <c r="G16" s="979"/>
      <c r="H16" s="982"/>
      <c r="I16" s="978"/>
      <c r="J16" s="979"/>
      <c r="K16" s="979"/>
      <c r="L16" s="979"/>
      <c r="M16" s="979"/>
      <c r="N16" s="984" t="s">
        <v>1035</v>
      </c>
      <c r="O16" s="1036">
        <f>O20/O14</f>
        <v>4.3055555555555562</v>
      </c>
      <c r="P16" s="979"/>
      <c r="Q16" s="982"/>
    </row>
    <row r="17" spans="1:17">
      <c r="A17" s="978"/>
      <c r="B17" s="979"/>
      <c r="C17" s="979"/>
      <c r="D17" s="979"/>
      <c r="E17" s="979"/>
      <c r="F17" s="979"/>
      <c r="G17" s="979"/>
      <c r="H17" s="982"/>
      <c r="I17" s="978"/>
      <c r="J17" s="979"/>
      <c r="K17" s="979"/>
      <c r="L17" s="979"/>
      <c r="M17" s="979"/>
      <c r="N17" s="979"/>
      <c r="O17" s="979"/>
      <c r="P17" s="979"/>
      <c r="Q17" s="982"/>
    </row>
    <row r="18" spans="1:17" ht="13.5">
      <c r="A18" s="978"/>
      <c r="B18" s="979"/>
      <c r="C18" s="979"/>
      <c r="D18" s="979"/>
      <c r="E18" s="979"/>
      <c r="F18" s="979"/>
      <c r="G18" s="979"/>
      <c r="H18" s="982"/>
      <c r="I18" s="978"/>
      <c r="J18" s="997" t="s">
        <v>714</v>
      </c>
      <c r="K18" s="979"/>
      <c r="L18" s="979"/>
      <c r="M18" s="979"/>
      <c r="N18" s="1034" t="s">
        <v>1034</v>
      </c>
      <c r="O18" s="1036">
        <f>O16-O20</f>
        <v>2.7555555555555564</v>
      </c>
      <c r="P18" s="979"/>
      <c r="Q18" s="982"/>
    </row>
    <row r="19" spans="1:17">
      <c r="A19" s="978"/>
      <c r="B19" s="979"/>
      <c r="C19" s="979"/>
      <c r="D19" s="979"/>
      <c r="E19" s="979"/>
      <c r="F19" s="998" t="s">
        <v>421</v>
      </c>
      <c r="G19" s="999">
        <f>'Uplink Budget'!B35</f>
        <v>1E-4</v>
      </c>
      <c r="H19" s="982"/>
      <c r="I19" s="978"/>
      <c r="J19" s="979"/>
      <c r="K19" s="979"/>
      <c r="L19" s="979"/>
      <c r="M19" s="979"/>
      <c r="N19" s="979"/>
      <c r="O19" s="1000"/>
      <c r="P19" s="979"/>
      <c r="Q19" s="982"/>
    </row>
    <row r="20" spans="1:17">
      <c r="A20" s="978"/>
      <c r="B20" s="979"/>
      <c r="C20" s="979"/>
      <c r="D20" s="979"/>
      <c r="E20" s="979"/>
      <c r="F20" s="1069" t="s">
        <v>1005</v>
      </c>
      <c r="G20" s="1070"/>
      <c r="H20" s="982"/>
      <c r="I20" s="978"/>
      <c r="J20" s="979"/>
      <c r="K20" s="979"/>
      <c r="L20" s="979"/>
      <c r="M20" s="979"/>
      <c r="N20" s="1009" t="s">
        <v>1033</v>
      </c>
      <c r="O20" s="1035">
        <f>Transmitters!E60</f>
        <v>1.55</v>
      </c>
      <c r="P20" s="979"/>
      <c r="Q20" s="982"/>
    </row>
    <row r="21" spans="1:17">
      <c r="A21" s="978"/>
      <c r="B21" s="979"/>
      <c r="C21" s="979"/>
      <c r="D21" s="979"/>
      <c r="E21" s="979"/>
      <c r="F21" s="1063" t="str">
        <f>'Uplink Budget'!B32</f>
        <v>DBPSK</v>
      </c>
      <c r="G21" s="1064"/>
      <c r="H21" s="982"/>
      <c r="I21" s="978"/>
      <c r="J21" s="979"/>
      <c r="K21" s="979"/>
      <c r="L21" s="979"/>
      <c r="M21" s="979"/>
      <c r="N21" s="979"/>
      <c r="O21" s="979"/>
      <c r="P21" s="979"/>
      <c r="Q21" s="982"/>
    </row>
    <row r="22" spans="1:17">
      <c r="A22" s="978"/>
      <c r="B22" s="979"/>
      <c r="C22" s="979"/>
      <c r="D22" s="979"/>
      <c r="E22" s="979"/>
      <c r="F22" s="1001" t="s">
        <v>333</v>
      </c>
      <c r="G22" s="1002">
        <f>'Uplink Budget'!B41</f>
        <v>10.3</v>
      </c>
      <c r="H22" s="982"/>
      <c r="I22" s="978"/>
      <c r="J22" s="979"/>
      <c r="K22" s="979"/>
      <c r="L22" s="979"/>
      <c r="M22" s="979"/>
      <c r="N22" s="979"/>
      <c r="O22" s="979"/>
      <c r="P22" s="979"/>
      <c r="Q22" s="982"/>
    </row>
    <row r="23" spans="1:17">
      <c r="A23" s="978"/>
      <c r="B23" s="979"/>
      <c r="C23" s="979"/>
      <c r="D23" s="979"/>
      <c r="E23" s="979"/>
      <c r="F23" s="979"/>
      <c r="G23" s="979"/>
      <c r="H23" s="982"/>
      <c r="I23" s="978"/>
      <c r="J23" s="979"/>
      <c r="K23" s="979"/>
      <c r="L23" s="979"/>
      <c r="M23" s="979"/>
      <c r="N23" s="979"/>
      <c r="O23" s="979"/>
      <c r="P23" s="979"/>
      <c r="Q23" s="982"/>
    </row>
    <row r="24" spans="1:17">
      <c r="A24" s="978"/>
      <c r="B24" s="979"/>
      <c r="C24" s="979"/>
      <c r="D24" s="979"/>
      <c r="E24" s="979"/>
      <c r="F24" s="979"/>
      <c r="G24" s="979"/>
      <c r="H24" s="982"/>
      <c r="I24" s="978"/>
      <c r="J24" s="997" t="s">
        <v>714</v>
      </c>
      <c r="K24" s="979"/>
      <c r="L24" s="979"/>
      <c r="M24" s="979"/>
      <c r="N24" s="984" t="s">
        <v>1012</v>
      </c>
      <c r="O24" s="1003">
        <f>Transmitters!I74</f>
        <v>4.4400000000000002E-2</v>
      </c>
      <c r="P24" s="979"/>
      <c r="Q24" s="982"/>
    </row>
    <row r="25" spans="1:17">
      <c r="A25" s="978"/>
      <c r="B25" s="979"/>
      <c r="C25" s="979"/>
      <c r="D25" s="979"/>
      <c r="E25" s="979"/>
      <c r="F25" s="979"/>
      <c r="G25" s="979"/>
      <c r="H25" s="982"/>
      <c r="I25" s="978"/>
      <c r="J25" s="979"/>
      <c r="K25" s="979"/>
      <c r="L25" s="979"/>
      <c r="M25" s="979"/>
      <c r="N25" s="979"/>
      <c r="O25" s="979"/>
      <c r="P25" s="979"/>
      <c r="Q25" s="982"/>
    </row>
    <row r="26" spans="1:17">
      <c r="A26" s="978"/>
      <c r="B26" s="979"/>
      <c r="C26" s="979"/>
      <c r="D26" s="979"/>
      <c r="E26" s="979"/>
      <c r="F26" s="984" t="s">
        <v>1013</v>
      </c>
      <c r="G26" s="1004">
        <f>'Uplink Budget'!B57</f>
        <v>2000000</v>
      </c>
      <c r="H26" s="982"/>
      <c r="I26" s="978"/>
      <c r="J26" s="979"/>
      <c r="K26" s="979"/>
      <c r="L26" s="979"/>
      <c r="M26" s="979"/>
      <c r="N26" s="984" t="s">
        <v>1014</v>
      </c>
      <c r="O26" s="1005">
        <f>Transmitters!I78</f>
        <v>0.89999999999999991</v>
      </c>
      <c r="P26" s="979"/>
      <c r="Q26" s="982"/>
    </row>
    <row r="27" spans="1:17">
      <c r="A27" s="978"/>
      <c r="B27" s="979"/>
      <c r="C27" s="979"/>
      <c r="D27" s="979"/>
      <c r="E27" s="979"/>
      <c r="F27" s="1072" t="s">
        <v>419</v>
      </c>
      <c r="G27" s="1073"/>
      <c r="H27" s="982"/>
      <c r="I27" s="978"/>
      <c r="J27" s="979"/>
      <c r="K27" s="979"/>
      <c r="L27" s="979"/>
      <c r="M27" s="979"/>
      <c r="N27" s="979"/>
      <c r="O27" s="979"/>
      <c r="P27" s="979"/>
      <c r="Q27" s="982"/>
    </row>
    <row r="28" spans="1:17">
      <c r="A28" s="978"/>
      <c r="B28" s="979"/>
      <c r="C28" s="979"/>
      <c r="D28" s="979"/>
      <c r="E28" s="979"/>
      <c r="F28" s="979"/>
      <c r="G28" s="979"/>
      <c r="H28" s="982"/>
      <c r="I28" s="978"/>
      <c r="J28" s="979"/>
      <c r="K28" s="979"/>
      <c r="L28" s="979"/>
      <c r="M28" s="979"/>
      <c r="N28" s="984" t="s">
        <v>1015</v>
      </c>
      <c r="O28" s="1005">
        <f>SUM(Transmitters!I79:I81)</f>
        <v>0.52</v>
      </c>
      <c r="P28" s="979"/>
      <c r="Q28" s="982"/>
    </row>
    <row r="29" spans="1:17">
      <c r="A29" s="978"/>
      <c r="B29" s="979"/>
      <c r="C29" s="979"/>
      <c r="D29" s="979"/>
      <c r="E29" s="979"/>
      <c r="F29" s="979"/>
      <c r="G29" s="979"/>
      <c r="H29" s="982"/>
      <c r="I29" s="978"/>
      <c r="J29" s="979"/>
      <c r="K29" s="979"/>
      <c r="L29" s="979"/>
      <c r="M29" s="979"/>
      <c r="N29" s="979"/>
      <c r="O29" s="979"/>
      <c r="P29" s="979"/>
      <c r="Q29" s="982"/>
    </row>
    <row r="30" spans="1:17" ht="15.5">
      <c r="A30" s="978"/>
      <c r="B30" s="979"/>
      <c r="C30" s="979"/>
      <c r="D30" s="979"/>
      <c r="E30" s="979"/>
      <c r="F30" s="979"/>
      <c r="G30" s="979"/>
      <c r="H30" s="982"/>
      <c r="I30" s="978"/>
      <c r="J30" s="979"/>
      <c r="K30" s="979"/>
      <c r="L30" s="979"/>
      <c r="M30" s="979"/>
      <c r="N30" s="984" t="s">
        <v>1006</v>
      </c>
      <c r="O30" s="1005">
        <f>Transmitters!I83</f>
        <v>0.04</v>
      </c>
      <c r="P30" s="979"/>
      <c r="Q30" s="982"/>
    </row>
    <row r="31" spans="1:17">
      <c r="A31" s="978"/>
      <c r="B31" s="979"/>
      <c r="C31" s="979"/>
      <c r="D31" s="979"/>
      <c r="E31" s="979"/>
      <c r="F31" s="979"/>
      <c r="G31" s="979"/>
      <c r="H31" s="982"/>
      <c r="I31" s="978"/>
      <c r="J31" s="997" t="s">
        <v>714</v>
      </c>
      <c r="K31" s="979"/>
      <c r="L31" s="979"/>
      <c r="M31" s="979"/>
      <c r="N31" s="979"/>
      <c r="O31" s="979"/>
      <c r="P31" s="979"/>
      <c r="Q31" s="982"/>
    </row>
    <row r="32" spans="1:17">
      <c r="A32" s="978"/>
      <c r="B32" s="979"/>
      <c r="C32" s="979"/>
      <c r="D32" s="979"/>
      <c r="E32" s="979"/>
      <c r="F32" s="979"/>
      <c r="G32" s="979"/>
      <c r="H32" s="982"/>
      <c r="I32" s="978"/>
      <c r="J32" s="979"/>
      <c r="K32" s="979"/>
      <c r="L32" s="979"/>
      <c r="M32" s="979"/>
      <c r="N32" s="979"/>
      <c r="O32" s="979"/>
      <c r="P32" s="979"/>
      <c r="Q32" s="982"/>
    </row>
    <row r="33" spans="1:17">
      <c r="A33" s="978"/>
      <c r="B33" s="979"/>
      <c r="C33" s="979"/>
      <c r="D33" s="979"/>
      <c r="E33" s="979"/>
      <c r="F33" s="979"/>
      <c r="G33" s="979"/>
      <c r="H33" s="982"/>
      <c r="I33" s="978"/>
      <c r="J33" s="979"/>
      <c r="K33" s="979"/>
      <c r="L33" s="979"/>
      <c r="M33" s="979"/>
      <c r="N33" s="984" t="s">
        <v>1016</v>
      </c>
      <c r="O33" s="1006">
        <f>Transmitters!I85</f>
        <v>1.5044</v>
      </c>
      <c r="P33" s="979"/>
      <c r="Q33" s="982"/>
    </row>
    <row r="34" spans="1:17" ht="13">
      <c r="A34" s="978"/>
      <c r="B34" s="979"/>
      <c r="C34" s="979"/>
      <c r="D34" s="979"/>
      <c r="E34" s="979"/>
      <c r="F34" s="1007" t="s">
        <v>418</v>
      </c>
      <c r="G34" s="1008">
        <f>'Uplink Budget'!B26</f>
        <v>-26.589333671568141</v>
      </c>
      <c r="H34" s="982"/>
      <c r="I34" s="978"/>
      <c r="J34" s="979"/>
      <c r="K34" s="979"/>
      <c r="L34" s="979"/>
      <c r="M34" s="979"/>
      <c r="N34" s="979"/>
      <c r="O34" s="979"/>
      <c r="P34" s="979"/>
      <c r="Q34" s="982"/>
    </row>
    <row r="35" spans="1:17" ht="15.5">
      <c r="A35" s="978"/>
      <c r="B35" s="979"/>
      <c r="C35" s="979"/>
      <c r="D35" s="979"/>
      <c r="E35" s="979"/>
      <c r="F35" s="979"/>
      <c r="G35" s="979"/>
      <c r="H35" s="982"/>
      <c r="I35" s="978"/>
      <c r="J35" s="979"/>
      <c r="K35" s="979"/>
      <c r="L35" s="979"/>
      <c r="M35" s="979"/>
      <c r="N35" s="1009" t="s">
        <v>1007</v>
      </c>
      <c r="O35" s="1010">
        <f>Transmitters!I87+30</f>
        <v>30.398916981702914</v>
      </c>
      <c r="P35" s="979"/>
      <c r="Q35" s="982"/>
    </row>
    <row r="36" spans="1:17">
      <c r="A36" s="978"/>
      <c r="B36" s="979"/>
      <c r="C36" s="979"/>
      <c r="D36" s="979"/>
      <c r="E36" s="979"/>
      <c r="F36" s="1007" t="s">
        <v>1072</v>
      </c>
      <c r="G36" s="1011">
        <f>'Uplink Budget'!B25</f>
        <v>264.20033694819472</v>
      </c>
      <c r="H36" s="982"/>
      <c r="I36" s="978"/>
      <c r="J36" s="979"/>
      <c r="K36" s="979"/>
      <c r="L36" s="979"/>
      <c r="M36" s="979"/>
      <c r="N36" s="979"/>
      <c r="O36" s="979"/>
      <c r="P36" s="979"/>
      <c r="Q36" s="982"/>
    </row>
    <row r="37" spans="1:17" ht="13">
      <c r="A37" s="978"/>
      <c r="B37" s="979"/>
      <c r="C37" s="979"/>
      <c r="D37" s="979"/>
      <c r="E37" s="979"/>
      <c r="F37" s="979"/>
      <c r="G37" s="979"/>
      <c r="H37" s="982"/>
      <c r="I37" s="978"/>
      <c r="J37" s="979"/>
      <c r="K37" s="979"/>
      <c r="L37" s="979"/>
      <c r="M37" s="1012" t="s">
        <v>875</v>
      </c>
      <c r="N37" s="979"/>
      <c r="O37" s="979"/>
      <c r="P37" s="979"/>
      <c r="Q37" s="982"/>
    </row>
    <row r="38" spans="1:17">
      <c r="A38" s="978"/>
      <c r="B38" s="979"/>
      <c r="C38" s="979"/>
      <c r="D38" s="979"/>
      <c r="E38" s="979"/>
      <c r="F38" s="979"/>
      <c r="G38" s="979"/>
      <c r="H38" s="982"/>
      <c r="I38" s="978"/>
      <c r="J38" s="979"/>
      <c r="K38" s="979"/>
      <c r="L38" s="979"/>
      <c r="M38" s="979"/>
      <c r="N38" s="979"/>
      <c r="O38" s="979"/>
      <c r="P38" s="979"/>
      <c r="Q38" s="982"/>
    </row>
    <row r="39" spans="1:17">
      <c r="A39" s="978"/>
      <c r="B39" s="979"/>
      <c r="C39" s="979"/>
      <c r="D39" s="979"/>
      <c r="E39" s="979"/>
      <c r="F39" s="979"/>
      <c r="G39" s="979"/>
      <c r="H39" s="982"/>
      <c r="I39" s="978"/>
      <c r="J39" s="979"/>
      <c r="K39" s="979"/>
      <c r="L39" s="979"/>
      <c r="M39" s="979"/>
      <c r="N39" s="1013" t="s">
        <v>1017</v>
      </c>
      <c r="O39" s="1014">
        <f>'Downlink Budget'!B10</f>
        <v>12</v>
      </c>
      <c r="P39" s="979"/>
      <c r="Q39" s="982"/>
    </row>
    <row r="40" spans="1:17">
      <c r="A40" s="978"/>
      <c r="B40" s="979"/>
      <c r="C40" s="979"/>
      <c r="D40" s="979"/>
      <c r="E40" s="979"/>
      <c r="F40" s="979"/>
      <c r="G40" s="979"/>
      <c r="H40" s="982"/>
      <c r="I40" s="978"/>
      <c r="J40" s="979"/>
      <c r="K40" s="979"/>
      <c r="L40" s="979"/>
      <c r="M40" s="979"/>
      <c r="N40" s="998" t="s">
        <v>60</v>
      </c>
      <c r="O40" s="1015" t="str">
        <f>'Antenna Gain'!K41</f>
        <v>RHCP</v>
      </c>
      <c r="P40" s="979"/>
      <c r="Q40" s="982"/>
    </row>
    <row r="41" spans="1:17">
      <c r="A41" s="978"/>
      <c r="B41" s="979"/>
      <c r="C41" s="979"/>
      <c r="D41" s="979"/>
      <c r="E41" s="979"/>
      <c r="F41" s="984" t="s">
        <v>981</v>
      </c>
      <c r="G41" s="1016">
        <f>Receivers!J67</f>
        <v>245.61891309701244</v>
      </c>
      <c r="H41" s="982"/>
      <c r="I41" s="978"/>
      <c r="J41" s="1074" t="str">
        <f>'Antenna Gain'!F41</f>
        <v>OreSat Helix</v>
      </c>
      <c r="K41" s="1074"/>
      <c r="L41" s="979"/>
      <c r="M41" s="979"/>
      <c r="N41" s="998" t="s">
        <v>1018</v>
      </c>
      <c r="O41" s="1017">
        <f>'Antenna Pointing Losses'!G85</f>
        <v>10</v>
      </c>
      <c r="P41" s="979"/>
      <c r="Q41" s="982"/>
    </row>
    <row r="42" spans="1:17">
      <c r="A42" s="978"/>
      <c r="B42" s="979"/>
      <c r="C42" s="979"/>
      <c r="D42" s="979"/>
      <c r="E42" s="979"/>
      <c r="F42" s="979"/>
      <c r="G42" s="979"/>
      <c r="H42" s="982"/>
      <c r="I42" s="978"/>
      <c r="J42" s="979"/>
      <c r="K42" s="979"/>
      <c r="L42" s="979"/>
      <c r="M42" s="979"/>
      <c r="N42" s="979"/>
      <c r="O42" s="979"/>
      <c r="P42" s="979"/>
      <c r="Q42" s="982"/>
    </row>
    <row r="43" spans="1:17" ht="13">
      <c r="A43" s="978"/>
      <c r="B43" s="979"/>
      <c r="C43" s="979"/>
      <c r="D43" s="979"/>
      <c r="E43" s="979"/>
      <c r="F43" s="979"/>
      <c r="G43" s="979"/>
      <c r="H43" s="982"/>
      <c r="I43" s="978"/>
      <c r="J43" s="979"/>
      <c r="K43" s="979"/>
      <c r="L43" s="979"/>
      <c r="M43" s="979"/>
      <c r="N43" s="1018" t="s">
        <v>1019</v>
      </c>
      <c r="O43" s="1019">
        <f>'Downlink Budget'!B11+30</f>
        <v>42.398916981702911</v>
      </c>
      <c r="P43" s="979"/>
      <c r="Q43" s="982"/>
    </row>
    <row r="44" spans="1:17">
      <c r="A44" s="978"/>
      <c r="B44" s="979"/>
      <c r="C44" s="979"/>
      <c r="D44" s="979"/>
      <c r="E44" s="979"/>
      <c r="F44" s="979"/>
      <c r="G44" s="979"/>
      <c r="H44" s="982"/>
      <c r="I44" s="978"/>
      <c r="J44" s="979"/>
      <c r="K44" s="979"/>
      <c r="L44" s="979"/>
      <c r="M44" s="979"/>
      <c r="N44" s="979"/>
      <c r="O44" s="979"/>
      <c r="P44" s="979"/>
      <c r="Q44" s="982"/>
    </row>
    <row r="45" spans="1:17">
      <c r="A45" s="978"/>
      <c r="B45" s="979"/>
      <c r="C45" s="979"/>
      <c r="D45" s="979"/>
      <c r="E45" s="979"/>
      <c r="F45" s="979"/>
      <c r="G45" s="979"/>
      <c r="H45" s="982"/>
      <c r="I45" s="978"/>
      <c r="J45" s="979"/>
      <c r="K45" s="979"/>
      <c r="L45" s="979"/>
      <c r="M45" s="979"/>
      <c r="N45" s="1043" t="s">
        <v>1057</v>
      </c>
      <c r="O45" s="1044" t="s">
        <v>1058</v>
      </c>
      <c r="P45" s="979"/>
      <c r="Q45" s="982"/>
    </row>
    <row r="46" spans="1:17" ht="13">
      <c r="A46" s="978"/>
      <c r="B46" s="979"/>
      <c r="C46" s="979"/>
      <c r="D46" s="979"/>
      <c r="E46" s="979"/>
      <c r="F46" s="1020" t="s">
        <v>1020</v>
      </c>
      <c r="G46" s="985">
        <f>Receivers!F65</f>
        <v>18.899999999999999</v>
      </c>
      <c r="H46" s="982"/>
      <c r="I46" s="978"/>
      <c r="J46" s="979"/>
      <c r="K46" s="979"/>
      <c r="L46" s="979"/>
      <c r="M46" s="979"/>
      <c r="N46" s="1042">
        <f>SUM('Downlink Budget'!B13:B18)+'Downlink Budget'!B22</f>
        <v>157.36168922862316</v>
      </c>
      <c r="O46" s="1045">
        <f>Orbit!B34</f>
        <v>45</v>
      </c>
      <c r="P46" s="979"/>
      <c r="Q46" s="982"/>
    </row>
    <row r="47" spans="1:17">
      <c r="A47" s="978"/>
      <c r="B47" s="979"/>
      <c r="C47" s="979"/>
      <c r="D47" s="979"/>
      <c r="E47" s="979"/>
      <c r="F47" s="979"/>
      <c r="G47" s="979"/>
      <c r="H47" s="982"/>
      <c r="I47" s="978"/>
      <c r="J47" s="979"/>
      <c r="K47" s="979"/>
      <c r="L47" s="979"/>
      <c r="M47" s="979"/>
      <c r="N47" s="979"/>
      <c r="O47" s="979"/>
      <c r="P47" s="979"/>
      <c r="Q47" s="982"/>
    </row>
    <row r="48" spans="1:17" ht="15.5">
      <c r="A48" s="978"/>
      <c r="B48" s="979"/>
      <c r="C48" s="979"/>
      <c r="D48" s="979"/>
      <c r="E48" s="979"/>
      <c r="F48" s="1020" t="s">
        <v>1021</v>
      </c>
      <c r="G48" s="1016">
        <f>Receivers!J63</f>
        <v>34</v>
      </c>
      <c r="H48" s="982"/>
      <c r="I48" s="978"/>
      <c r="J48" s="979"/>
      <c r="K48" s="979"/>
      <c r="L48" s="979"/>
      <c r="M48" s="979"/>
      <c r="N48" s="984" t="s">
        <v>1022</v>
      </c>
      <c r="O48" s="1021">
        <f>'Downlink Budget'!B19+30</f>
        <v>-114.02660571079946</v>
      </c>
      <c r="P48" s="979"/>
      <c r="Q48" s="982"/>
    </row>
    <row r="49" spans="1:17">
      <c r="A49" s="978"/>
      <c r="B49" s="979"/>
      <c r="C49" s="979"/>
      <c r="D49" s="979"/>
      <c r="E49" s="979"/>
      <c r="F49" s="979"/>
      <c r="G49" s="979"/>
      <c r="H49" s="982"/>
      <c r="I49" s="978"/>
      <c r="J49" s="979"/>
      <c r="K49" s="979"/>
      <c r="L49" s="979"/>
      <c r="M49" s="979"/>
      <c r="N49" s="979"/>
      <c r="O49" s="979"/>
      <c r="P49" s="979"/>
      <c r="Q49" s="982"/>
    </row>
    <row r="50" spans="1:17">
      <c r="A50" s="978"/>
      <c r="B50" s="979"/>
      <c r="C50" s="979"/>
      <c r="D50" s="979"/>
      <c r="E50" s="979"/>
      <c r="F50" s="979"/>
      <c r="G50" s="979"/>
      <c r="H50" s="982"/>
      <c r="I50" s="978"/>
      <c r="J50" s="1074" t="str">
        <f>'Antenna Gain'!F58</f>
        <v>Quad Helix / Patch</v>
      </c>
      <c r="K50" s="1074"/>
      <c r="L50" s="979"/>
      <c r="M50" s="979"/>
      <c r="N50" s="984" t="s">
        <v>1023</v>
      </c>
      <c r="O50" s="1022">
        <f>'Downlink Budget'!B23</f>
        <v>15</v>
      </c>
      <c r="P50" s="979"/>
      <c r="Q50" s="982"/>
    </row>
    <row r="51" spans="1:17">
      <c r="A51" s="978"/>
      <c r="B51" s="979"/>
      <c r="C51" s="979"/>
      <c r="D51" s="979"/>
      <c r="E51" s="979"/>
      <c r="F51" s="979"/>
      <c r="G51" s="979"/>
      <c r="H51" s="982"/>
      <c r="I51" s="978"/>
      <c r="J51" s="979"/>
      <c r="K51" s="979"/>
      <c r="L51" s="979"/>
      <c r="M51" s="979"/>
      <c r="N51" s="998" t="s">
        <v>60</v>
      </c>
      <c r="O51" s="1015" t="str">
        <f>'Antenna Gain'!K58</f>
        <v>RHCP</v>
      </c>
      <c r="P51" s="979"/>
      <c r="Q51" s="982"/>
    </row>
    <row r="52" spans="1:17">
      <c r="A52" s="978"/>
      <c r="B52" s="979"/>
      <c r="C52" s="979"/>
      <c r="D52" s="979"/>
      <c r="E52" s="979"/>
      <c r="F52" s="984" t="s">
        <v>1024</v>
      </c>
      <c r="G52" s="1023">
        <f>Receivers!J55</f>
        <v>3.77</v>
      </c>
      <c r="H52" s="982"/>
      <c r="I52" s="978"/>
      <c r="J52" s="979"/>
      <c r="K52" s="979"/>
      <c r="L52" s="979"/>
      <c r="M52" s="979"/>
      <c r="N52" s="998" t="s">
        <v>1018</v>
      </c>
      <c r="O52" s="1017">
        <f>'Antenna Pointing Losses'!F102</f>
        <v>10</v>
      </c>
      <c r="P52" s="979"/>
      <c r="Q52" s="982"/>
    </row>
    <row r="53" spans="1:17">
      <c r="A53" s="978"/>
      <c r="B53" s="979"/>
      <c r="C53" s="979"/>
      <c r="D53" s="979"/>
      <c r="E53" s="979"/>
      <c r="F53" s="979"/>
      <c r="G53" s="979"/>
      <c r="H53" s="982"/>
      <c r="I53" s="978"/>
      <c r="J53" s="979"/>
      <c r="K53" s="979"/>
      <c r="L53" s="979"/>
      <c r="M53" s="979"/>
      <c r="N53" s="979"/>
      <c r="O53" s="979"/>
      <c r="P53" s="979"/>
      <c r="Q53" s="982"/>
    </row>
    <row r="54" spans="1:17" ht="13">
      <c r="A54" s="978"/>
      <c r="B54" s="979"/>
      <c r="C54" s="979"/>
      <c r="D54" s="979"/>
      <c r="E54" s="979"/>
      <c r="F54" s="979"/>
      <c r="G54" s="979"/>
      <c r="H54" s="982"/>
      <c r="I54" s="978"/>
      <c r="J54" s="979"/>
      <c r="K54" s="979"/>
      <c r="L54" s="979"/>
      <c r="M54" s="1012" t="s">
        <v>880</v>
      </c>
      <c r="N54" s="979"/>
      <c r="O54" s="979"/>
      <c r="P54" s="979"/>
      <c r="Q54" s="982"/>
    </row>
    <row r="55" spans="1:17">
      <c r="A55" s="978"/>
      <c r="B55" s="979"/>
      <c r="C55" s="979"/>
      <c r="D55" s="979"/>
      <c r="E55" s="979"/>
      <c r="F55" s="984" t="s">
        <v>1015</v>
      </c>
      <c r="G55" s="1005">
        <f>SUM(Receivers!J50:J52)</f>
        <v>2.52</v>
      </c>
      <c r="H55" s="982"/>
      <c r="I55" s="978"/>
      <c r="J55" s="979"/>
      <c r="K55" s="979"/>
      <c r="L55" s="979"/>
      <c r="M55" s="979"/>
      <c r="N55" s="979"/>
      <c r="O55" s="979"/>
      <c r="P55" s="979"/>
      <c r="Q55" s="982"/>
    </row>
    <row r="56" spans="1:17">
      <c r="A56" s="978"/>
      <c r="B56" s="979"/>
      <c r="C56" s="979"/>
      <c r="D56" s="979"/>
      <c r="E56" s="979"/>
      <c r="F56" s="979"/>
      <c r="G56" s="979"/>
      <c r="H56" s="982"/>
      <c r="I56" s="978"/>
      <c r="J56" s="979"/>
      <c r="K56" s="979"/>
      <c r="L56" s="979"/>
      <c r="M56" s="979"/>
      <c r="N56" s="1007" t="s">
        <v>1025</v>
      </c>
      <c r="O56" s="1011">
        <f>Receivers!J130</f>
        <v>150</v>
      </c>
      <c r="P56" s="979"/>
      <c r="Q56" s="982"/>
    </row>
    <row r="57" spans="1:17">
      <c r="A57" s="978"/>
      <c r="B57" s="979"/>
      <c r="C57" s="979"/>
      <c r="D57" s="979"/>
      <c r="E57" s="979"/>
      <c r="F57" s="984" t="s">
        <v>1014</v>
      </c>
      <c r="G57" s="1005">
        <f>Receivers!J53</f>
        <v>0.89999999999999991</v>
      </c>
      <c r="H57" s="982"/>
      <c r="I57" s="978"/>
      <c r="J57" s="979"/>
      <c r="K57" s="979"/>
      <c r="L57" s="979"/>
      <c r="M57" s="979"/>
      <c r="N57" s="979"/>
      <c r="O57" s="979"/>
      <c r="P57" s="979"/>
      <c r="Q57" s="982"/>
    </row>
    <row r="58" spans="1:17">
      <c r="A58" s="978"/>
      <c r="B58" s="979"/>
      <c r="C58" s="979"/>
      <c r="D58" s="979"/>
      <c r="E58" s="979"/>
      <c r="F58" s="979"/>
      <c r="G58" s="979"/>
      <c r="H58" s="982"/>
      <c r="I58" s="978"/>
      <c r="J58" s="979"/>
      <c r="K58" s="979"/>
      <c r="L58" s="979"/>
      <c r="M58" s="979"/>
      <c r="N58" s="979"/>
      <c r="O58" s="979"/>
      <c r="P58" s="979"/>
      <c r="Q58" s="982"/>
    </row>
    <row r="59" spans="1:17">
      <c r="A59" s="978"/>
      <c r="B59" s="979"/>
      <c r="C59" s="979"/>
      <c r="D59" s="979"/>
      <c r="E59" s="979"/>
      <c r="F59" s="984" t="s">
        <v>1012</v>
      </c>
      <c r="G59" s="1003">
        <f>SUM(Receivers!J47:J49)</f>
        <v>0.35</v>
      </c>
      <c r="H59" s="982"/>
      <c r="I59" s="978"/>
      <c r="J59" s="979"/>
      <c r="K59" s="979"/>
      <c r="L59" s="979"/>
      <c r="M59" s="979"/>
      <c r="N59" s="984" t="s">
        <v>1012</v>
      </c>
      <c r="O59" s="1003">
        <f>SUM(Receivers!J118:J120)</f>
        <v>0</v>
      </c>
      <c r="P59" s="979"/>
      <c r="Q59" s="982"/>
    </row>
    <row r="60" spans="1:17">
      <c r="A60" s="978"/>
      <c r="B60" s="979"/>
      <c r="C60" s="979"/>
      <c r="D60" s="979"/>
      <c r="E60" s="979"/>
      <c r="F60" s="979"/>
      <c r="G60" s="979"/>
      <c r="H60" s="982"/>
      <c r="I60" s="978"/>
      <c r="J60" s="979"/>
      <c r="K60" s="979"/>
      <c r="L60" s="979"/>
      <c r="M60" s="979"/>
      <c r="N60" s="979"/>
      <c r="O60" s="979"/>
      <c r="P60" s="979"/>
      <c r="Q60" s="982"/>
    </row>
    <row r="61" spans="1:17">
      <c r="A61" s="978"/>
      <c r="B61" s="979"/>
      <c r="C61" s="979"/>
      <c r="D61" s="979"/>
      <c r="E61" s="979"/>
      <c r="F61" s="979"/>
      <c r="G61" s="979"/>
      <c r="H61" s="982"/>
      <c r="I61" s="978"/>
      <c r="J61" s="979"/>
      <c r="K61" s="979"/>
      <c r="L61" s="979"/>
      <c r="M61" s="979"/>
      <c r="N61" s="984" t="s">
        <v>1014</v>
      </c>
      <c r="O61" s="1005">
        <f>Receivers!J123</f>
        <v>0.3</v>
      </c>
      <c r="P61" s="979"/>
      <c r="Q61" s="982"/>
    </row>
    <row r="62" spans="1:17">
      <c r="A62" s="978"/>
      <c r="B62" s="979"/>
      <c r="C62" s="979"/>
      <c r="D62" s="979"/>
      <c r="E62" s="979"/>
      <c r="F62" s="1007" t="s">
        <v>1025</v>
      </c>
      <c r="G62" s="1011">
        <f>Receivers!J59</f>
        <v>140</v>
      </c>
      <c r="H62" s="982"/>
      <c r="I62" s="978"/>
      <c r="J62" s="979"/>
      <c r="K62" s="979"/>
      <c r="L62" s="979"/>
      <c r="M62" s="979"/>
      <c r="N62" s="979"/>
      <c r="O62" s="979"/>
      <c r="P62" s="979"/>
      <c r="Q62" s="982"/>
    </row>
    <row r="63" spans="1:17">
      <c r="A63" s="978"/>
      <c r="B63" s="979"/>
      <c r="C63" s="979"/>
      <c r="D63" s="979"/>
      <c r="E63" s="979"/>
      <c r="F63" s="979"/>
      <c r="G63" s="979"/>
      <c r="H63" s="982"/>
      <c r="I63" s="978"/>
      <c r="J63" s="979"/>
      <c r="K63" s="979"/>
      <c r="L63" s="979"/>
      <c r="M63" s="979"/>
      <c r="N63" s="984" t="s">
        <v>1015</v>
      </c>
      <c r="O63" s="1005">
        <f>SUM(Receivers!J121:J122)</f>
        <v>0</v>
      </c>
      <c r="P63" s="979"/>
      <c r="Q63" s="982"/>
    </row>
    <row r="64" spans="1:17" ht="13">
      <c r="A64" s="978"/>
      <c r="B64" s="979"/>
      <c r="C64" s="979"/>
      <c r="D64" s="979"/>
      <c r="E64" s="1012" t="s">
        <v>880</v>
      </c>
      <c r="F64" s="979"/>
      <c r="G64" s="979"/>
      <c r="H64" s="982"/>
      <c r="I64" s="978"/>
      <c r="J64" s="979"/>
      <c r="K64" s="979"/>
      <c r="L64" s="979"/>
      <c r="M64" s="979"/>
      <c r="N64" s="979"/>
      <c r="O64" s="979"/>
      <c r="P64" s="979"/>
      <c r="Q64" s="982"/>
    </row>
    <row r="65" spans="1:17">
      <c r="A65" s="978"/>
      <c r="B65" s="979"/>
      <c r="C65" s="979"/>
      <c r="D65" s="979"/>
      <c r="E65" s="979"/>
      <c r="F65" s="979"/>
      <c r="G65" s="979"/>
      <c r="H65" s="982"/>
      <c r="I65" s="978"/>
      <c r="J65" s="979"/>
      <c r="K65" s="979"/>
      <c r="L65" s="979"/>
      <c r="M65" s="979"/>
      <c r="N65" s="979"/>
      <c r="O65" s="979"/>
      <c r="P65" s="979"/>
      <c r="Q65" s="982"/>
    </row>
    <row r="66" spans="1:17">
      <c r="A66" s="978"/>
      <c r="B66" s="979"/>
      <c r="C66" s="979"/>
      <c r="D66" s="979"/>
      <c r="E66" s="979"/>
      <c r="F66" s="984" t="s">
        <v>1023</v>
      </c>
      <c r="G66" s="1022">
        <f>'Uplink Budget'!B23</f>
        <v>1.4</v>
      </c>
      <c r="H66" s="982"/>
      <c r="I66" s="978"/>
      <c r="J66" s="979"/>
      <c r="K66" s="979"/>
      <c r="L66" s="979"/>
      <c r="M66" s="979"/>
      <c r="N66" s="984" t="s">
        <v>1024</v>
      </c>
      <c r="O66" s="1023">
        <f>Receivers!J126</f>
        <v>0.3</v>
      </c>
      <c r="P66" s="979"/>
      <c r="Q66" s="982"/>
    </row>
    <row r="67" spans="1:17">
      <c r="A67" s="978"/>
      <c r="B67" s="979"/>
      <c r="C67" s="979"/>
      <c r="D67" s="979"/>
      <c r="E67" s="979"/>
      <c r="F67" s="998" t="s">
        <v>60</v>
      </c>
      <c r="G67" s="1024" t="str">
        <f>'Antenna Gain'!K11</f>
        <v>RHCP</v>
      </c>
      <c r="H67" s="982"/>
      <c r="I67" s="978"/>
      <c r="J67" s="979"/>
      <c r="K67" s="979"/>
      <c r="L67" s="979"/>
      <c r="M67" s="979"/>
      <c r="N67" s="979"/>
      <c r="O67" s="979"/>
      <c r="P67" s="979"/>
      <c r="Q67" s="982"/>
    </row>
    <row r="68" spans="1:17">
      <c r="A68" s="978"/>
      <c r="B68" s="1071" t="str">
        <f>'Antenna Gain'!F24</f>
        <v>Canted Turnstyle</v>
      </c>
      <c r="C68" s="1071"/>
      <c r="D68" s="979"/>
      <c r="E68" s="979"/>
      <c r="F68" s="998" t="s">
        <v>1018</v>
      </c>
      <c r="G68" s="1017">
        <f>'Antenna Pointing Losses'!G63</f>
        <v>90</v>
      </c>
      <c r="H68" s="982"/>
      <c r="I68" s="978"/>
      <c r="J68" s="979"/>
      <c r="K68" s="979"/>
      <c r="L68" s="979"/>
      <c r="M68" s="979"/>
      <c r="N68" s="979"/>
      <c r="O68" s="979"/>
      <c r="P68" s="979"/>
      <c r="Q68" s="982"/>
    </row>
    <row r="69" spans="1:17">
      <c r="A69" s="978"/>
      <c r="B69" s="979"/>
      <c r="C69" s="979"/>
      <c r="D69" s="979"/>
      <c r="E69" s="979"/>
      <c r="F69" s="979" t="s">
        <v>714</v>
      </c>
      <c r="G69" s="979"/>
      <c r="H69" s="982"/>
      <c r="I69" s="978"/>
      <c r="J69" s="979"/>
      <c r="K69" s="979"/>
      <c r="L69" s="979"/>
      <c r="M69" s="979"/>
      <c r="N69" s="979"/>
      <c r="O69" s="979"/>
      <c r="P69" s="979"/>
      <c r="Q69" s="982"/>
    </row>
    <row r="70" spans="1:17" ht="15.5">
      <c r="A70" s="978"/>
      <c r="B70" s="979"/>
      <c r="C70" s="979"/>
      <c r="D70" s="979"/>
      <c r="E70" s="979"/>
      <c r="F70" s="984" t="s">
        <v>1026</v>
      </c>
      <c r="G70" s="1021">
        <f>'Uplink Budget'!B19+30</f>
        <v>-94.318544462845765</v>
      </c>
      <c r="H70" s="982"/>
      <c r="I70" s="978"/>
      <c r="J70" s="979"/>
      <c r="K70" s="979"/>
      <c r="L70" s="979"/>
      <c r="M70" s="979"/>
      <c r="N70" s="1020" t="s">
        <v>1021</v>
      </c>
      <c r="O70" s="1016">
        <f>Receivers!J134</f>
        <v>44</v>
      </c>
      <c r="P70" s="979"/>
      <c r="Q70" s="982"/>
    </row>
    <row r="71" spans="1:17">
      <c r="A71" s="978"/>
      <c r="B71" s="979"/>
      <c r="C71" s="979"/>
      <c r="D71" s="979"/>
      <c r="E71" s="979"/>
      <c r="F71" s="979"/>
      <c r="G71" s="979"/>
      <c r="H71" s="982"/>
      <c r="I71" s="978"/>
      <c r="J71" s="979"/>
      <c r="K71" s="979"/>
      <c r="L71" s="979"/>
      <c r="M71" s="979"/>
      <c r="N71" s="979"/>
      <c r="O71" s="979"/>
      <c r="P71" s="979"/>
      <c r="Q71" s="982"/>
    </row>
    <row r="72" spans="1:17">
      <c r="A72" s="978"/>
      <c r="B72" s="979"/>
      <c r="C72" s="979"/>
      <c r="D72" s="979"/>
      <c r="E72" s="979"/>
      <c r="F72" s="1043" t="s">
        <v>1057</v>
      </c>
      <c r="G72" s="1044" t="s">
        <v>1058</v>
      </c>
      <c r="H72" s="982"/>
      <c r="I72" s="978"/>
      <c r="J72" s="979"/>
      <c r="K72" s="979"/>
      <c r="L72" s="979"/>
      <c r="M72" s="979"/>
      <c r="N72" s="1020" t="s">
        <v>1020</v>
      </c>
      <c r="O72" s="985">
        <f>Receivers!F136</f>
        <v>18.399999999999999</v>
      </c>
      <c r="P72" s="979"/>
      <c r="Q72" s="982"/>
    </row>
    <row r="73" spans="1:17" ht="13">
      <c r="A73" s="978"/>
      <c r="B73" s="979"/>
      <c r="C73" s="979"/>
      <c r="D73" s="979"/>
      <c r="E73" s="979"/>
      <c r="F73" s="1042">
        <f>SUM('Uplink Budget'!B13:B18)+'Uplink Budget'!B22</f>
        <v>157.63854446284577</v>
      </c>
      <c r="G73" s="1045">
        <f>Orbit!B34</f>
        <v>45</v>
      </c>
      <c r="H73" s="982"/>
      <c r="I73" s="978"/>
      <c r="J73" s="979"/>
      <c r="K73" s="979"/>
      <c r="L73" s="979"/>
      <c r="M73" s="979"/>
      <c r="N73" s="979"/>
      <c r="O73" s="979"/>
      <c r="P73" s="979"/>
      <c r="Q73" s="982"/>
    </row>
    <row r="74" spans="1:17">
      <c r="A74" s="978"/>
      <c r="B74" s="979"/>
      <c r="C74" s="979"/>
      <c r="D74" s="979"/>
      <c r="E74" s="979"/>
      <c r="F74" s="979"/>
      <c r="G74" s="979"/>
      <c r="H74" s="982"/>
      <c r="I74" s="978"/>
      <c r="J74" s="979"/>
      <c r="K74" s="979"/>
      <c r="L74" s="979"/>
      <c r="M74" s="979"/>
      <c r="N74" s="979"/>
      <c r="O74" s="979"/>
      <c r="P74" s="979"/>
      <c r="Q74" s="982"/>
    </row>
    <row r="75" spans="1:17" ht="13">
      <c r="A75" s="978"/>
      <c r="B75" s="979"/>
      <c r="C75" s="979"/>
      <c r="D75" s="979"/>
      <c r="E75" s="979"/>
      <c r="F75" s="1009" t="s">
        <v>1027</v>
      </c>
      <c r="G75" s="1025">
        <f>'Uplink Budget'!B11+30</f>
        <v>61.92</v>
      </c>
      <c r="H75" s="982"/>
      <c r="I75" s="978"/>
      <c r="J75" s="979"/>
      <c r="K75" s="979"/>
      <c r="L75" s="979"/>
      <c r="M75" s="979"/>
      <c r="N75" s="979"/>
      <c r="O75" s="979"/>
      <c r="P75" s="979"/>
      <c r="Q75" s="982"/>
    </row>
    <row r="76" spans="1:17">
      <c r="A76" s="978"/>
      <c r="B76" s="1075" t="str">
        <f>'Antenna Gain'!F11</f>
        <v>Parabolic Reflector</v>
      </c>
      <c r="C76" s="1075"/>
      <c r="D76" s="979"/>
      <c r="E76" s="979"/>
      <c r="F76" s="979"/>
      <c r="G76" s="979"/>
      <c r="H76" s="982"/>
      <c r="I76" s="978"/>
      <c r="J76" s="979"/>
      <c r="K76" s="979"/>
      <c r="L76" s="979"/>
      <c r="M76" s="979"/>
      <c r="N76" s="979"/>
      <c r="O76" s="979"/>
      <c r="P76" s="979"/>
      <c r="Q76" s="982"/>
    </row>
    <row r="77" spans="1:17">
      <c r="A77" s="978"/>
      <c r="B77" s="979"/>
      <c r="C77" s="979"/>
      <c r="D77" s="979"/>
      <c r="E77" s="979"/>
      <c r="F77" s="984" t="s">
        <v>1028</v>
      </c>
      <c r="G77" s="1022">
        <f>'Uplink Budget'!B10</f>
        <v>22.9</v>
      </c>
      <c r="H77" s="982"/>
      <c r="I77" s="978"/>
      <c r="J77" s="979"/>
      <c r="K77" s="979"/>
      <c r="L77" s="979"/>
      <c r="M77" s="979"/>
      <c r="N77" s="984" t="s">
        <v>981</v>
      </c>
      <c r="O77" s="1016">
        <f>Receivers!J146</f>
        <v>247.88169376890298</v>
      </c>
      <c r="P77" s="979"/>
      <c r="Q77" s="982"/>
    </row>
    <row r="78" spans="1:17">
      <c r="A78" s="978"/>
      <c r="B78" s="979"/>
      <c r="C78" s="979"/>
      <c r="D78" s="979"/>
      <c r="E78" s="979"/>
      <c r="F78" s="998" t="s">
        <v>60</v>
      </c>
      <c r="G78" s="1024" t="str">
        <f>'Antenna Gain'!K11</f>
        <v>RHCP</v>
      </c>
      <c r="H78" s="982"/>
      <c r="I78" s="978"/>
      <c r="J78" s="979"/>
      <c r="K78" s="979"/>
      <c r="L78" s="979"/>
      <c r="M78" s="979"/>
      <c r="N78" s="979"/>
      <c r="O78" s="979"/>
      <c r="P78" s="979"/>
      <c r="Q78" s="982"/>
    </row>
    <row r="79" spans="1:17">
      <c r="A79" s="978"/>
      <c r="B79" s="979"/>
      <c r="C79" s="979"/>
      <c r="D79" s="979"/>
      <c r="E79" s="979"/>
      <c r="F79" s="998" t="s">
        <v>1018</v>
      </c>
      <c r="G79" s="1017">
        <f>'Antenna Pointing Losses'!F43</f>
        <v>5</v>
      </c>
      <c r="H79" s="982"/>
      <c r="I79" s="978"/>
      <c r="J79" s="979"/>
      <c r="K79" s="979"/>
      <c r="L79" s="979"/>
      <c r="M79" s="979"/>
      <c r="N79" s="979"/>
      <c r="O79" s="979"/>
      <c r="P79" s="979"/>
      <c r="Q79" s="982"/>
    </row>
    <row r="80" spans="1:17">
      <c r="A80" s="978"/>
      <c r="B80" s="979"/>
      <c r="C80" s="979"/>
      <c r="D80" s="979"/>
      <c r="E80" s="979"/>
      <c r="F80" s="979"/>
      <c r="G80" s="979"/>
      <c r="H80" s="982"/>
      <c r="I80" s="978"/>
      <c r="J80" s="979"/>
      <c r="K80" s="979"/>
      <c r="L80" s="979"/>
      <c r="M80" s="979"/>
      <c r="N80" s="979"/>
      <c r="O80" s="979"/>
      <c r="P80" s="979"/>
      <c r="Q80" s="982"/>
    </row>
    <row r="81" spans="1:17" ht="13">
      <c r="A81" s="978"/>
      <c r="B81" s="979"/>
      <c r="C81" s="979"/>
      <c r="D81" s="979"/>
      <c r="E81" s="1012" t="s">
        <v>875</v>
      </c>
      <c r="F81" s="979"/>
      <c r="G81" s="979"/>
      <c r="H81" s="982"/>
      <c r="I81" s="978"/>
      <c r="J81" s="979"/>
      <c r="K81" s="979"/>
      <c r="L81" s="979"/>
      <c r="M81" s="979"/>
      <c r="N81" s="979"/>
      <c r="O81" s="979"/>
      <c r="P81" s="979"/>
      <c r="Q81" s="982"/>
    </row>
    <row r="82" spans="1:17">
      <c r="A82" s="978"/>
      <c r="B82" s="979"/>
      <c r="C82" s="979"/>
      <c r="D82" s="979"/>
      <c r="E82" s="979"/>
      <c r="F82" s="979"/>
      <c r="G82" s="979"/>
      <c r="H82" s="982"/>
      <c r="I82" s="978"/>
      <c r="J82" s="979"/>
      <c r="K82" s="979"/>
      <c r="L82" s="979"/>
      <c r="M82" s="979"/>
      <c r="N82" s="1007" t="s">
        <v>1072</v>
      </c>
      <c r="O82" s="1011">
        <f>Receivers!J149</f>
        <v>206.92737847455561</v>
      </c>
      <c r="P82" s="979"/>
      <c r="Q82" s="982"/>
    </row>
    <row r="83" spans="1:17" ht="15.5">
      <c r="A83" s="978"/>
      <c r="B83" s="979"/>
      <c r="C83" s="979"/>
      <c r="D83" s="979"/>
      <c r="E83" s="979"/>
      <c r="F83" s="1009" t="s">
        <v>1007</v>
      </c>
      <c r="G83" s="1010">
        <f>Transmitters!I45+30</f>
        <v>39.019999999999996</v>
      </c>
      <c r="H83" s="982"/>
      <c r="I83" s="978"/>
      <c r="J83" s="979"/>
      <c r="K83" s="979"/>
      <c r="L83" s="979"/>
      <c r="M83" s="979"/>
      <c r="N83" s="979"/>
      <c r="O83" s="979"/>
      <c r="P83" s="979"/>
      <c r="Q83" s="982"/>
    </row>
    <row r="84" spans="1:17" ht="13">
      <c r="A84" s="978"/>
      <c r="B84" s="979"/>
      <c r="C84" s="979"/>
      <c r="D84" s="979"/>
      <c r="E84" s="979"/>
      <c r="F84" s="979"/>
      <c r="G84" s="979"/>
      <c r="H84" s="982"/>
      <c r="I84" s="978"/>
      <c r="J84" s="979"/>
      <c r="K84" s="979"/>
      <c r="L84" s="979"/>
      <c r="M84" s="979"/>
      <c r="N84" s="1007" t="s">
        <v>418</v>
      </c>
      <c r="O84" s="1008">
        <f>'Downlink Budget'!B26</f>
        <v>-8.4581795578794896</v>
      </c>
      <c r="P84" s="979"/>
      <c r="Q84" s="982"/>
    </row>
    <row r="85" spans="1:17">
      <c r="A85" s="978"/>
      <c r="B85" s="979"/>
      <c r="C85" s="979"/>
      <c r="D85" s="979"/>
      <c r="E85" s="979"/>
      <c r="F85" s="984" t="s">
        <v>1016</v>
      </c>
      <c r="G85" s="1006">
        <f>Transmitters!I43</f>
        <v>0.98</v>
      </c>
      <c r="H85" s="982"/>
      <c r="I85" s="978"/>
      <c r="J85" s="979"/>
      <c r="K85" s="979"/>
      <c r="L85" s="979"/>
      <c r="M85" s="979"/>
      <c r="N85" s="979"/>
      <c r="O85" s="979"/>
      <c r="P85" s="979"/>
      <c r="Q85" s="982"/>
    </row>
    <row r="86" spans="1:17">
      <c r="A86" s="978"/>
      <c r="B86" s="979"/>
      <c r="C86" s="979"/>
      <c r="D86" s="979"/>
      <c r="E86" s="979"/>
      <c r="F86" s="979"/>
      <c r="G86" s="979"/>
      <c r="H86" s="982"/>
      <c r="I86" s="978"/>
      <c r="J86" s="979"/>
      <c r="K86" s="979"/>
      <c r="L86" s="979"/>
      <c r="M86" s="979"/>
      <c r="N86" s="979"/>
      <c r="O86" s="979"/>
      <c r="P86" s="979"/>
      <c r="Q86" s="982"/>
    </row>
    <row r="87" spans="1:17">
      <c r="A87" s="978"/>
      <c r="B87" s="979"/>
      <c r="C87" s="979"/>
      <c r="D87" s="979"/>
      <c r="E87" s="979"/>
      <c r="F87" s="979"/>
      <c r="G87" s="979"/>
      <c r="H87" s="982"/>
      <c r="I87" s="978"/>
      <c r="J87" s="979"/>
      <c r="K87" s="979"/>
      <c r="L87" s="979"/>
      <c r="M87" s="979"/>
      <c r="N87" s="979"/>
      <c r="O87" s="979"/>
      <c r="P87" s="979"/>
      <c r="Q87" s="982"/>
    </row>
    <row r="88" spans="1:17" ht="15.5">
      <c r="A88" s="978"/>
      <c r="B88" s="979"/>
      <c r="C88" s="979"/>
      <c r="D88" s="979"/>
      <c r="E88" s="979"/>
      <c r="F88" s="984" t="s">
        <v>1006</v>
      </c>
      <c r="G88" s="1005">
        <f>Transmitters!I41</f>
        <v>0.18</v>
      </c>
      <c r="H88" s="982"/>
      <c r="I88" s="978"/>
      <c r="J88" s="979"/>
      <c r="K88" s="979"/>
      <c r="L88" s="979"/>
      <c r="M88" s="979"/>
      <c r="N88" s="979"/>
      <c r="O88" s="979"/>
      <c r="P88" s="979"/>
      <c r="Q88" s="982"/>
    </row>
    <row r="89" spans="1:17">
      <c r="A89" s="978"/>
      <c r="B89" s="979"/>
      <c r="C89" s="979"/>
      <c r="D89" s="979"/>
      <c r="E89" s="979"/>
      <c r="F89" s="979"/>
      <c r="G89" s="979"/>
      <c r="H89" s="982"/>
      <c r="I89" s="978"/>
      <c r="J89" s="979"/>
      <c r="K89" s="979"/>
      <c r="L89" s="979"/>
      <c r="M89" s="979"/>
      <c r="N89" s="984" t="s">
        <v>1029</v>
      </c>
      <c r="O89" s="1026">
        <f>'Downlink Budget'!B56</f>
        <v>2000000</v>
      </c>
      <c r="P89" s="979"/>
      <c r="Q89" s="982"/>
    </row>
    <row r="90" spans="1:17">
      <c r="A90" s="978"/>
      <c r="B90" s="979"/>
      <c r="C90" s="979"/>
      <c r="D90" s="979"/>
      <c r="E90" s="979"/>
      <c r="F90" s="984" t="s">
        <v>1015</v>
      </c>
      <c r="G90" s="1005">
        <f>SUM(Transmitters!I37:I39)</f>
        <v>0.3</v>
      </c>
      <c r="H90" s="982"/>
      <c r="I90" s="978"/>
      <c r="J90" s="979"/>
      <c r="K90" s="979"/>
      <c r="L90" s="979"/>
      <c r="M90" s="979"/>
      <c r="N90" s="1073" t="s">
        <v>426</v>
      </c>
      <c r="O90" s="1073"/>
      <c r="P90" s="979"/>
      <c r="Q90" s="982"/>
    </row>
    <row r="91" spans="1:17">
      <c r="A91" s="978"/>
      <c r="B91" s="979"/>
      <c r="C91" s="979"/>
      <c r="D91" s="979"/>
      <c r="E91" s="979"/>
      <c r="F91" s="979"/>
      <c r="G91" s="979"/>
      <c r="H91" s="982"/>
      <c r="I91" s="978"/>
      <c r="J91" s="979"/>
      <c r="K91" s="979"/>
      <c r="L91" s="979"/>
      <c r="M91" s="979"/>
      <c r="N91" s="979"/>
      <c r="O91" s="979"/>
      <c r="P91" s="979"/>
      <c r="Q91" s="982"/>
    </row>
    <row r="92" spans="1:17">
      <c r="A92" s="978"/>
      <c r="B92" s="979"/>
      <c r="C92" s="979"/>
      <c r="D92" s="979"/>
      <c r="E92" s="979"/>
      <c r="F92" s="984" t="s">
        <v>1014</v>
      </c>
      <c r="G92" s="1005">
        <f>Transmitters!I36</f>
        <v>0.3</v>
      </c>
      <c r="H92" s="982"/>
      <c r="I92" s="978"/>
      <c r="J92" s="979"/>
      <c r="K92" s="979"/>
      <c r="L92" s="979"/>
      <c r="M92" s="979"/>
      <c r="N92" s="979"/>
      <c r="O92" s="979"/>
      <c r="P92" s="979"/>
      <c r="Q92" s="982"/>
    </row>
    <row r="93" spans="1:17">
      <c r="A93" s="978"/>
      <c r="B93" s="979"/>
      <c r="C93" s="979"/>
      <c r="D93" s="979"/>
      <c r="E93" s="979"/>
      <c r="F93" s="979"/>
      <c r="G93" s="979"/>
      <c r="H93" s="982"/>
      <c r="I93" s="978"/>
      <c r="J93" s="979"/>
      <c r="K93" s="979"/>
      <c r="L93" s="979"/>
      <c r="M93" s="979"/>
      <c r="N93" s="979"/>
      <c r="O93" s="979"/>
      <c r="P93" s="979"/>
      <c r="Q93" s="982"/>
    </row>
    <row r="94" spans="1:17">
      <c r="A94" s="978"/>
      <c r="B94" s="979"/>
      <c r="C94" s="979"/>
      <c r="D94" s="979"/>
      <c r="E94" s="979"/>
      <c r="F94" s="984" t="s">
        <v>1012</v>
      </c>
      <c r="G94" s="1003">
        <f>Transmitters!I32</f>
        <v>0.2</v>
      </c>
      <c r="H94" s="982"/>
      <c r="I94" s="978"/>
      <c r="J94" s="979"/>
      <c r="K94" s="979"/>
      <c r="L94" s="979"/>
      <c r="M94" s="979"/>
      <c r="N94" s="1027" t="s">
        <v>421</v>
      </c>
      <c r="O94" s="999">
        <f>'Downlink Budget'!B35</f>
        <v>1E-4</v>
      </c>
      <c r="P94" s="979"/>
      <c r="Q94" s="982"/>
    </row>
    <row r="95" spans="1:17">
      <c r="A95" s="978"/>
      <c r="B95" s="979"/>
      <c r="C95" s="979"/>
      <c r="D95" s="979"/>
      <c r="E95" s="979"/>
      <c r="F95" s="979" t="s">
        <v>714</v>
      </c>
      <c r="G95" s="979"/>
      <c r="H95" s="982"/>
      <c r="I95" s="978"/>
      <c r="J95" s="979"/>
      <c r="K95" s="979"/>
      <c r="L95" s="979"/>
      <c r="M95" s="979"/>
      <c r="N95" s="1069" t="s">
        <v>1005</v>
      </c>
      <c r="O95" s="1070"/>
      <c r="P95" s="979"/>
      <c r="Q95" s="982"/>
    </row>
    <row r="96" spans="1:17">
      <c r="A96" s="978"/>
      <c r="B96" s="979"/>
      <c r="C96" s="979"/>
      <c r="D96" s="979"/>
      <c r="E96" s="979"/>
      <c r="F96" s="979" t="s">
        <v>714</v>
      </c>
      <c r="G96" s="979"/>
      <c r="H96" s="982"/>
      <c r="I96" s="978"/>
      <c r="J96" s="979"/>
      <c r="K96" s="979"/>
      <c r="L96" s="979"/>
      <c r="M96" s="979"/>
      <c r="N96" s="1063" t="str">
        <f>'Downlink Budget'!B32</f>
        <v>DBPSK</v>
      </c>
      <c r="O96" s="1064"/>
      <c r="P96" s="979"/>
      <c r="Q96" s="982"/>
    </row>
    <row r="97" spans="1:17">
      <c r="A97" s="978"/>
      <c r="B97" s="979"/>
      <c r="C97" s="979"/>
      <c r="D97" s="979"/>
      <c r="E97" s="979"/>
      <c r="F97" s="979" t="s">
        <v>714</v>
      </c>
      <c r="G97" s="979"/>
      <c r="H97" s="982"/>
      <c r="I97" s="978"/>
      <c r="J97" s="979"/>
      <c r="K97" s="979"/>
      <c r="L97" s="979"/>
      <c r="M97" s="979"/>
      <c r="N97" s="1028" t="s">
        <v>333</v>
      </c>
      <c r="O97" s="1002">
        <f>'Downlink Budget'!B41</f>
        <v>10.3</v>
      </c>
      <c r="P97" s="979"/>
      <c r="Q97" s="982"/>
    </row>
    <row r="98" spans="1:17">
      <c r="A98" s="978"/>
      <c r="B98" s="979"/>
      <c r="C98" s="979"/>
      <c r="D98" s="979"/>
      <c r="E98" s="979"/>
      <c r="F98" s="1009" t="s">
        <v>1032</v>
      </c>
      <c r="G98" s="1033">
        <f>Transmitters!E16</f>
        <v>10</v>
      </c>
      <c r="H98" s="982"/>
      <c r="I98" s="978"/>
      <c r="J98" s="979"/>
      <c r="K98" s="979"/>
      <c r="L98" s="979"/>
      <c r="M98" s="979"/>
      <c r="N98" s="979"/>
      <c r="O98" s="979"/>
      <c r="P98" s="979"/>
      <c r="Q98" s="982"/>
    </row>
    <row r="99" spans="1:17">
      <c r="A99" s="978"/>
      <c r="B99" s="979"/>
      <c r="C99" s="979"/>
      <c r="D99" s="979"/>
      <c r="E99" s="979"/>
      <c r="F99" s="979"/>
      <c r="G99" s="979"/>
      <c r="H99" s="982"/>
      <c r="I99" s="978"/>
      <c r="J99" s="979"/>
      <c r="K99" s="979"/>
      <c r="L99" s="979"/>
      <c r="M99" s="979"/>
      <c r="N99" s="979"/>
      <c r="O99" s="979"/>
      <c r="P99" s="979"/>
      <c r="Q99" s="982"/>
    </row>
    <row r="100" spans="1:17">
      <c r="A100" s="978"/>
      <c r="B100" s="979"/>
      <c r="C100" s="979"/>
      <c r="D100" s="979"/>
      <c r="E100" s="979"/>
      <c r="F100" s="979"/>
      <c r="G100" s="979"/>
      <c r="H100" s="982"/>
      <c r="I100" s="978"/>
      <c r="J100" s="979"/>
      <c r="K100" s="979"/>
      <c r="L100" s="979"/>
      <c r="M100" s="979"/>
      <c r="N100" s="979"/>
      <c r="O100" s="979"/>
      <c r="P100" s="979"/>
      <c r="Q100" s="982"/>
    </row>
    <row r="101" spans="1:17">
      <c r="A101" s="978"/>
      <c r="B101" s="979"/>
      <c r="C101" s="979"/>
      <c r="D101" s="979"/>
      <c r="E101" s="979"/>
      <c r="F101" s="979"/>
      <c r="G101" s="979"/>
      <c r="H101" s="982"/>
      <c r="I101" s="978"/>
      <c r="J101" s="979"/>
      <c r="K101" s="979"/>
      <c r="L101" s="979"/>
      <c r="M101" s="979"/>
      <c r="N101" s="1069" t="s">
        <v>1004</v>
      </c>
      <c r="O101" s="1070"/>
      <c r="P101" s="979"/>
      <c r="Q101" s="982"/>
    </row>
    <row r="102" spans="1:17">
      <c r="A102" s="978"/>
      <c r="B102" s="979"/>
      <c r="C102" s="979"/>
      <c r="D102" s="979"/>
      <c r="E102" s="979"/>
      <c r="F102" s="979"/>
      <c r="G102" s="979"/>
      <c r="H102" s="982"/>
      <c r="I102" s="978"/>
      <c r="J102" s="979"/>
      <c r="K102" s="979"/>
      <c r="L102" s="979"/>
      <c r="M102" s="979"/>
      <c r="N102" s="1063" t="str">
        <f>'Downlink Budget'!B33</f>
        <v>None</v>
      </c>
      <c r="O102" s="1064"/>
      <c r="P102" s="979"/>
      <c r="Q102" s="982"/>
    </row>
    <row r="103" spans="1:17">
      <c r="A103" s="978"/>
      <c r="B103" s="979"/>
      <c r="C103" s="979"/>
      <c r="D103" s="979"/>
      <c r="E103" s="979"/>
      <c r="F103" s="979"/>
      <c r="G103" s="979"/>
      <c r="H103" s="982"/>
      <c r="I103" s="978"/>
      <c r="J103" s="979"/>
      <c r="K103" s="979"/>
      <c r="L103" s="979"/>
      <c r="M103" s="979"/>
      <c r="N103" s="979"/>
      <c r="O103" s="979"/>
      <c r="P103" s="979"/>
      <c r="Q103" s="982"/>
    </row>
    <row r="104" spans="1:17">
      <c r="A104" s="978"/>
      <c r="B104" s="979"/>
      <c r="C104" s="979"/>
      <c r="D104" s="979"/>
      <c r="E104" s="979"/>
      <c r="F104" s="1069" t="s">
        <v>1001</v>
      </c>
      <c r="G104" s="1070"/>
      <c r="H104" s="982"/>
      <c r="I104" s="978"/>
      <c r="J104" s="979"/>
      <c r="K104" s="979"/>
      <c r="L104" s="979"/>
      <c r="M104" s="979"/>
      <c r="N104" s="979"/>
      <c r="O104" s="979"/>
      <c r="P104" s="979"/>
      <c r="Q104" s="982"/>
    </row>
    <row r="105" spans="1:17">
      <c r="A105" s="978"/>
      <c r="B105" s="979"/>
      <c r="C105" s="979"/>
      <c r="D105" s="979"/>
      <c r="E105" s="979"/>
      <c r="F105" s="1063" t="str">
        <f>'Uplink Budget'!B32</f>
        <v>DBPSK</v>
      </c>
      <c r="G105" s="1064"/>
      <c r="H105" s="982"/>
      <c r="I105" s="978"/>
      <c r="J105" s="979"/>
      <c r="K105" s="979"/>
      <c r="L105" s="979"/>
      <c r="M105" s="979"/>
      <c r="N105" s="979"/>
      <c r="O105" s="979"/>
      <c r="P105" s="979"/>
      <c r="Q105" s="982"/>
    </row>
    <row r="106" spans="1:17">
      <c r="A106" s="978"/>
      <c r="B106" s="979"/>
      <c r="C106" s="979"/>
      <c r="D106" s="979"/>
      <c r="E106" s="979"/>
      <c r="F106" s="979"/>
      <c r="G106" s="979"/>
      <c r="H106" s="982"/>
      <c r="I106" s="978"/>
      <c r="J106" s="979"/>
      <c r="K106" s="984" t="s">
        <v>1000</v>
      </c>
      <c r="L106" s="1026">
        <f>'Downlink Budget'!B28</f>
        <v>1000000</v>
      </c>
      <c r="M106" s="979"/>
      <c r="N106" s="979"/>
      <c r="O106" s="979" t="s">
        <v>714</v>
      </c>
      <c r="P106" s="979" t="s">
        <v>714</v>
      </c>
      <c r="Q106" s="982"/>
    </row>
    <row r="107" spans="1:17" ht="13" thickBot="1">
      <c r="A107" s="978"/>
      <c r="B107" s="979"/>
      <c r="C107" s="979"/>
      <c r="D107" s="979"/>
      <c r="E107" s="979"/>
      <c r="F107" s="1069" t="s">
        <v>1003</v>
      </c>
      <c r="G107" s="1070"/>
      <c r="H107" s="982"/>
      <c r="I107" s="978"/>
      <c r="J107" s="979"/>
      <c r="K107" s="979"/>
      <c r="L107" s="979"/>
      <c r="M107" s="979"/>
      <c r="N107" s="979"/>
      <c r="O107" s="979"/>
      <c r="P107" s="979"/>
      <c r="Q107" s="982"/>
    </row>
    <row r="108" spans="1:17" ht="13.5" thickBot="1">
      <c r="A108" s="978"/>
      <c r="B108" s="979"/>
      <c r="C108" s="979"/>
      <c r="D108" s="979"/>
      <c r="E108" s="979"/>
      <c r="F108" s="1063" t="str">
        <f>'Uplink Budget'!B33</f>
        <v>None</v>
      </c>
      <c r="G108" s="1064"/>
      <c r="H108" s="982"/>
      <c r="I108" s="1076" t="s">
        <v>1030</v>
      </c>
      <c r="J108" s="1077"/>
      <c r="K108" s="984" t="s">
        <v>1031</v>
      </c>
      <c r="L108" s="985">
        <f>'Downlink Budget'!B30</f>
        <v>15.179048195200252</v>
      </c>
      <c r="M108" s="979"/>
      <c r="N108" s="1029" t="s">
        <v>417</v>
      </c>
      <c r="O108" s="987">
        <f>'Downlink Budget'!B43</f>
        <v>4.8790481952002516</v>
      </c>
      <c r="P108" s="988" t="str">
        <f>IF(O108&lt;0,"NO LINK !",IF(O108&lt;6,"MARGINAL LINK",IF(O108&gt;6,"LINK CLOSES")))</f>
        <v>MARGINAL LINK</v>
      </c>
      <c r="Q108" s="982"/>
    </row>
    <row r="109" spans="1:17" ht="13" thickBot="1">
      <c r="A109" s="978"/>
      <c r="B109" s="979"/>
      <c r="C109" s="979"/>
      <c r="D109" s="979"/>
      <c r="E109" s="979"/>
      <c r="F109" s="979"/>
      <c r="G109" s="979"/>
      <c r="H109" s="982"/>
      <c r="I109" s="978"/>
      <c r="J109" s="979"/>
      <c r="K109" s="979"/>
      <c r="L109" s="979"/>
      <c r="M109" s="979"/>
      <c r="N109" s="979"/>
      <c r="O109" s="979"/>
      <c r="P109" s="979"/>
      <c r="Q109" s="982"/>
    </row>
    <row r="110" spans="1:17" ht="13.5" thickBot="1">
      <c r="A110" s="978"/>
      <c r="B110" s="979"/>
      <c r="C110" s="1020" t="s">
        <v>416</v>
      </c>
      <c r="D110" s="989">
        <f>'Uplink Budget'!B28</f>
        <v>1000000</v>
      </c>
      <c r="E110" s="979"/>
      <c r="F110" s="979"/>
      <c r="G110" s="979"/>
      <c r="H110" s="982"/>
      <c r="I110" s="1076" t="s">
        <v>420</v>
      </c>
      <c r="J110" s="1077"/>
      <c r="K110" s="984" t="s">
        <v>1002</v>
      </c>
      <c r="L110" s="985">
        <f>'Downlink Budget'!B60</f>
        <v>12.168748238560426</v>
      </c>
      <c r="M110" s="979"/>
      <c r="N110" s="1029" t="s">
        <v>428</v>
      </c>
      <c r="O110" s="987">
        <f>'Downlink Budget'!B64</f>
        <v>1.8687482385604248</v>
      </c>
      <c r="P110" s="988" t="str">
        <f>IF(O110&lt;0,"NO LINK !",IF(O110&lt;6,"MARGINAL LINK",IF(O110&gt;6,"LINK CLOSES")))</f>
        <v>MARGINAL LINK</v>
      </c>
      <c r="Q110" s="982"/>
    </row>
    <row r="111" spans="1:17">
      <c r="A111" s="978"/>
      <c r="B111" s="979"/>
      <c r="C111" s="979"/>
      <c r="D111" s="979"/>
      <c r="E111" s="979"/>
      <c r="F111" s="979"/>
      <c r="G111" s="979"/>
      <c r="H111" s="982"/>
      <c r="I111" s="978"/>
      <c r="J111" s="979"/>
      <c r="K111" s="979"/>
      <c r="L111" s="979"/>
      <c r="M111" s="979"/>
      <c r="N111" s="979"/>
      <c r="O111" s="979"/>
      <c r="P111" s="979"/>
      <c r="Q111" s="982"/>
    </row>
    <row r="112" spans="1:17">
      <c r="A112" s="978"/>
      <c r="B112" s="979"/>
      <c r="C112" s="979"/>
      <c r="D112" s="979"/>
      <c r="E112" s="979"/>
      <c r="F112" s="979"/>
      <c r="G112" s="979"/>
      <c r="H112" s="982"/>
      <c r="I112" s="979"/>
      <c r="J112" s="979"/>
      <c r="K112" s="979"/>
      <c r="L112" s="979"/>
      <c r="M112" s="979"/>
      <c r="N112" s="979"/>
      <c r="O112" s="979" t="s">
        <v>714</v>
      </c>
      <c r="P112" s="979"/>
      <c r="Q112" s="982"/>
    </row>
    <row r="113" spans="1:17" ht="13" thickBot="1">
      <c r="A113" s="1030"/>
      <c r="B113" s="1031"/>
      <c r="C113" s="1031"/>
      <c r="D113" s="1031"/>
      <c r="E113" s="1031"/>
      <c r="F113" s="1031"/>
      <c r="G113" s="1031"/>
      <c r="H113" s="1032"/>
      <c r="I113" s="1031"/>
      <c r="J113" s="1031"/>
      <c r="K113" s="1031"/>
      <c r="L113" s="1031"/>
      <c r="M113" s="1031"/>
      <c r="N113" s="1031"/>
      <c r="O113" s="1031"/>
      <c r="P113" s="1031"/>
      <c r="Q113" s="1032"/>
    </row>
  </sheetData>
  <mergeCells count="28">
    <mergeCell ref="B76:C76"/>
    <mergeCell ref="N90:O90"/>
    <mergeCell ref="N95:O95"/>
    <mergeCell ref="I110:J110"/>
    <mergeCell ref="N101:O101"/>
    <mergeCell ref="N102:O102"/>
    <mergeCell ref="F104:G104"/>
    <mergeCell ref="F105:G105"/>
    <mergeCell ref="F107:G107"/>
    <mergeCell ref="F108:G108"/>
    <mergeCell ref="I108:J108"/>
    <mergeCell ref="N96:O96"/>
    <mergeCell ref="B68:C68"/>
    <mergeCell ref="N10:O10"/>
    <mergeCell ref="N11:O11"/>
    <mergeCell ref="F14:G14"/>
    <mergeCell ref="F15:G15"/>
    <mergeCell ref="F20:G20"/>
    <mergeCell ref="F21:G21"/>
    <mergeCell ref="F27:G27"/>
    <mergeCell ref="J41:K41"/>
    <mergeCell ref="J50:K50"/>
    <mergeCell ref="N8:O8"/>
    <mergeCell ref="B3:C3"/>
    <mergeCell ref="J3:K3"/>
    <mergeCell ref="B4:C4"/>
    <mergeCell ref="J4:K4"/>
    <mergeCell ref="N7:O7"/>
  </mergeCells>
  <conditionalFormatting sqref="F6 F8">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8 O110">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932</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932</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932</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December 15</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55"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1.2</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1.6528925619834701E-2</v>
      </c>
      <c r="I10" s="185" t="s">
        <v>780</v>
      </c>
      <c r="J10" s="3"/>
      <c r="K10" s="464">
        <f>H10/H6</f>
        <v>8.2644628099173504E-3</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1.9834710743801653</v>
      </c>
      <c r="I12" s="185" t="s">
        <v>780</v>
      </c>
      <c r="J12" s="3"/>
      <c r="K12" s="463">
        <f>1-K10</f>
        <v>0.99173553719008267</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3.6041242688252415E-2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OreSat1</v>
      </c>
      <c r="K1" s="127"/>
      <c r="L1" s="127"/>
      <c r="M1" s="610" t="str">
        <f>'Title Page'!F23</f>
        <v>2019 December 15</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933</v>
      </c>
      <c r="C150" s="887">
        <v>42663</v>
      </c>
      <c r="D150" s="607" t="s">
        <v>935</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OreSat1</v>
      </c>
      <c r="F1" s="24"/>
      <c r="G1" s="51" t="s">
        <v>714</v>
      </c>
      <c r="H1" s="24"/>
      <c r="I1" s="51" t="str">
        <f>'Title Page'!F23</f>
        <v>2019 December 15</v>
      </c>
      <c r="J1" s="51"/>
      <c r="K1" s="51" t="str">
        <f>'Title Page'!G1</f>
        <v xml:space="preserve"> Version: 2.5.5a</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1.4</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0.9</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15.179048195200252</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16.292121865586083</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3" sqref="C1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49" zoomScale="110" zoomScaleNormal="110" workbookViewId="0">
      <selection activeCell="K60" sqref="K60"/>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December 15</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963</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947</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966</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968</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941</v>
      </c>
      <c r="E26" s="331"/>
      <c r="F26" s="331"/>
      <c r="G26" s="331"/>
      <c r="H26" s="331"/>
      <c r="I26" s="331"/>
      <c r="J26" s="331"/>
      <c r="K26" s="323"/>
      <c r="L26" s="3"/>
      <c r="M26" s="3"/>
      <c r="N26" s="3"/>
      <c r="O26" s="3"/>
      <c r="P26" s="3"/>
    </row>
    <row r="27" spans="1:16">
      <c r="A27" s="3"/>
      <c r="B27" s="3"/>
      <c r="C27" s="330"/>
      <c r="D27" s="331" t="s">
        <v>942</v>
      </c>
      <c r="E27" s="906">
        <v>0.2</v>
      </c>
      <c r="F27" s="907" t="s">
        <v>948</v>
      </c>
      <c r="G27" s="631">
        <f>Frequency!$M$10</f>
        <v>2422</v>
      </c>
      <c r="H27" s="331" t="s">
        <v>172</v>
      </c>
      <c r="I27" s="967">
        <f>I19*E27</f>
        <v>0.2</v>
      </c>
      <c r="J27" s="331" t="s">
        <v>756</v>
      </c>
      <c r="K27" s="323"/>
      <c r="L27" s="3"/>
      <c r="M27" s="3"/>
      <c r="N27" s="3"/>
      <c r="O27" s="3"/>
      <c r="P27" s="3"/>
    </row>
    <row r="28" spans="1:16">
      <c r="A28" s="3"/>
      <c r="B28" s="3"/>
      <c r="C28" s="330"/>
      <c r="D28" s="899" t="s">
        <v>943</v>
      </c>
      <c r="E28" s="906"/>
      <c r="F28" s="907" t="s">
        <v>948</v>
      </c>
      <c r="G28" s="631">
        <f>Frequency!$M$10</f>
        <v>2422</v>
      </c>
      <c r="H28" s="331" t="s">
        <v>172</v>
      </c>
      <c r="I28" s="967">
        <f>I20*E28</f>
        <v>0</v>
      </c>
      <c r="J28" s="331" t="s">
        <v>756</v>
      </c>
      <c r="K28" s="323"/>
      <c r="L28" s="3"/>
      <c r="M28" s="3"/>
      <c r="N28" s="3"/>
      <c r="O28" s="3"/>
      <c r="P28" s="3"/>
    </row>
    <row r="29" spans="1:16">
      <c r="A29" s="3"/>
      <c r="B29" s="3"/>
      <c r="C29" s="330"/>
      <c r="D29" s="899" t="s">
        <v>944</v>
      </c>
      <c r="E29" s="906"/>
      <c r="F29" s="907" t="s">
        <v>948</v>
      </c>
      <c r="G29" s="631">
        <f>Frequency!$M$10</f>
        <v>2422</v>
      </c>
      <c r="H29" s="331" t="s">
        <v>172</v>
      </c>
      <c r="I29" s="967">
        <f>I21*E29</f>
        <v>0</v>
      </c>
      <c r="J29" s="331" t="s">
        <v>756</v>
      </c>
      <c r="K29" s="323"/>
      <c r="L29" s="3"/>
      <c r="M29" s="3"/>
      <c r="N29" s="3"/>
      <c r="O29" s="3"/>
      <c r="P29" s="3"/>
    </row>
    <row r="30" spans="1:16">
      <c r="A30" s="3"/>
      <c r="B30" s="3"/>
      <c r="C30" s="330"/>
      <c r="D30" s="913" t="s">
        <v>967</v>
      </c>
      <c r="E30" s="906"/>
      <c r="F30" s="907" t="s">
        <v>948</v>
      </c>
      <c r="G30" s="631">
        <f>Frequency!$M$10</f>
        <v>2422</v>
      </c>
      <c r="H30" s="331" t="s">
        <v>172</v>
      </c>
      <c r="I30" s="967">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969</v>
      </c>
      <c r="E32" s="335"/>
      <c r="F32" s="331"/>
      <c r="G32" s="333"/>
      <c r="H32" s="331"/>
      <c r="I32" s="966">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1041</v>
      </c>
      <c r="G36" s="331"/>
      <c r="H36" s="331"/>
      <c r="I36" s="903">
        <f>E36*0.15</f>
        <v>0.3</v>
      </c>
      <c r="J36" s="331" t="s">
        <v>756</v>
      </c>
      <c r="K36" s="922"/>
      <c r="L36" s="79"/>
      <c r="M36" s="3"/>
      <c r="N36" s="3"/>
      <c r="O36" s="3"/>
      <c r="P36" s="3"/>
    </row>
    <row r="37" spans="1:16">
      <c r="A37" s="3"/>
      <c r="B37" s="3"/>
      <c r="C37" s="330"/>
      <c r="D37" s="331" t="s">
        <v>171</v>
      </c>
      <c r="E37" s="334" t="s">
        <v>183</v>
      </c>
      <c r="F37" s="459" t="s">
        <v>1050</v>
      </c>
      <c r="G37" s="366"/>
      <c r="H37" s="331"/>
      <c r="I37" s="342">
        <v>0.3</v>
      </c>
      <c r="J37" s="331" t="s">
        <v>756</v>
      </c>
      <c r="K37" s="912" t="s">
        <v>1066</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1036</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0.98</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9.02</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963</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1039</v>
      </c>
      <c r="F63" s="901"/>
      <c r="G63" s="141"/>
      <c r="H63" s="141"/>
      <c r="I63" s="916">
        <v>6.0000000000000001E-3</v>
      </c>
      <c r="J63" s="141" t="s">
        <v>754</v>
      </c>
      <c r="K63" s="1037"/>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946</v>
      </c>
      <c r="E69" s="141"/>
      <c r="F69" s="141"/>
      <c r="G69" s="141"/>
      <c r="H69" s="141"/>
      <c r="I69" s="634"/>
      <c r="J69" s="141"/>
      <c r="K69" s="182"/>
      <c r="L69" s="3"/>
      <c r="M69" s="3"/>
      <c r="N69" s="3"/>
      <c r="O69" s="3"/>
      <c r="P69" s="3"/>
    </row>
    <row r="70" spans="1:16">
      <c r="A70" s="3"/>
      <c r="B70" s="3"/>
      <c r="C70" s="177"/>
      <c r="D70" s="141" t="s">
        <v>942</v>
      </c>
      <c r="E70" s="917">
        <v>7.4</v>
      </c>
      <c r="F70" s="192" t="s">
        <v>948</v>
      </c>
      <c r="G70" s="407">
        <f>Frequency!$M$16</f>
        <v>2422</v>
      </c>
      <c r="H70" s="141" t="s">
        <v>172</v>
      </c>
      <c r="I70" s="968">
        <f>I63*E70</f>
        <v>4.4400000000000002E-2</v>
      </c>
      <c r="J70" s="141" t="s">
        <v>756</v>
      </c>
      <c r="K70" s="182"/>
      <c r="L70" s="3"/>
      <c r="M70" s="3"/>
      <c r="N70" s="3"/>
      <c r="O70" s="3"/>
      <c r="P70" s="3"/>
    </row>
    <row r="71" spans="1:16">
      <c r="A71" s="3"/>
      <c r="B71" s="3"/>
      <c r="C71" s="177"/>
      <c r="D71" s="141" t="s">
        <v>943</v>
      </c>
      <c r="E71" s="917"/>
      <c r="F71" s="192" t="s">
        <v>948</v>
      </c>
      <c r="G71" s="407">
        <f>Frequency!$M$16</f>
        <v>2422</v>
      </c>
      <c r="H71" s="141" t="s">
        <v>172</v>
      </c>
      <c r="I71" s="968">
        <f t="shared" ref="I71:I72" si="0">I64*E71</f>
        <v>0</v>
      </c>
      <c r="J71" s="141" t="s">
        <v>756</v>
      </c>
      <c r="K71" s="182"/>
      <c r="L71" s="3"/>
      <c r="M71" s="3"/>
      <c r="N71" s="3"/>
      <c r="O71" s="3"/>
      <c r="P71" s="3"/>
    </row>
    <row r="72" spans="1:16">
      <c r="A72" s="3"/>
      <c r="B72" s="3"/>
      <c r="C72" s="177"/>
      <c r="D72" s="141" t="s">
        <v>944</v>
      </c>
      <c r="E72" s="917"/>
      <c r="F72" s="192" t="s">
        <v>948</v>
      </c>
      <c r="G72" s="407">
        <f>Frequency!$M$16</f>
        <v>2422</v>
      </c>
      <c r="H72" s="141" t="s">
        <v>172</v>
      </c>
      <c r="I72" s="968">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945</v>
      </c>
      <c r="E74" s="918"/>
      <c r="F74" s="141"/>
      <c r="G74" s="192"/>
      <c r="H74" s="141"/>
      <c r="I74" s="968">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1038</v>
      </c>
      <c r="G78" s="141"/>
      <c r="H78" s="141"/>
      <c r="I78" s="902">
        <f>E78*0.15</f>
        <v>0.89999999999999991</v>
      </c>
      <c r="J78" s="141" t="s">
        <v>756</v>
      </c>
      <c r="K78" s="1037" t="s">
        <v>1037</v>
      </c>
      <c r="L78" s="3"/>
      <c r="M78" s="3"/>
      <c r="N78" s="3"/>
      <c r="O78" s="3"/>
      <c r="P78" s="3"/>
    </row>
    <row r="79" spans="1:16">
      <c r="A79" s="3"/>
      <c r="B79" s="3"/>
      <c r="C79" s="177"/>
      <c r="D79" s="141" t="s">
        <v>171</v>
      </c>
      <c r="E79" s="142" t="s">
        <v>183</v>
      </c>
      <c r="F79" s="890" t="s">
        <v>1048</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37" t="s">
        <v>1056</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B112" zoomScale="110" zoomScaleNormal="110" workbookViewId="0">
      <selection activeCell="J149" sqref="J149"/>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December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329"/>
      <c r="N8" s="329"/>
      <c r="O8" s="1049"/>
      <c r="P8" s="3"/>
      <c r="Q8" s="3"/>
      <c r="R8" s="3"/>
      <c r="S8" s="3"/>
      <c r="T8" s="3"/>
      <c r="U8" s="3"/>
      <c r="V8" s="3"/>
      <c r="W8" s="3"/>
      <c r="X8" s="3"/>
      <c r="Y8" s="3"/>
      <c r="Z8" s="3"/>
      <c r="AA8" s="3"/>
    </row>
    <row r="9" spans="1:27">
      <c r="A9" s="3"/>
      <c r="B9" s="3"/>
      <c r="C9" s="330"/>
      <c r="D9" s="573"/>
      <c r="E9" s="573"/>
      <c r="F9" s="573"/>
      <c r="G9" s="573"/>
      <c r="H9" s="573"/>
      <c r="I9" s="573"/>
      <c r="J9" s="573"/>
      <c r="K9" s="573"/>
      <c r="L9" s="573"/>
      <c r="M9" s="573"/>
      <c r="N9" s="573"/>
      <c r="O9" s="323"/>
      <c r="P9" s="3"/>
      <c r="Q9" s="3"/>
      <c r="R9" s="3"/>
      <c r="S9" s="3"/>
      <c r="T9" s="3"/>
      <c r="U9" s="3"/>
      <c r="V9" s="3"/>
      <c r="W9" s="3"/>
      <c r="X9" s="3"/>
      <c r="Y9" s="3"/>
      <c r="Z9" s="3"/>
      <c r="AA9" s="3"/>
    </row>
    <row r="10" spans="1:27">
      <c r="A10" s="3"/>
      <c r="B10" s="3"/>
      <c r="C10" s="330"/>
      <c r="D10" s="573"/>
      <c r="E10" s="573"/>
      <c r="F10" s="573"/>
      <c r="G10" s="573"/>
      <c r="H10" s="573"/>
      <c r="I10" s="573"/>
      <c r="J10" s="573"/>
      <c r="K10" s="573"/>
      <c r="L10" s="573"/>
      <c r="M10" s="573"/>
      <c r="N10" s="573"/>
      <c r="O10" s="323"/>
      <c r="P10" s="3"/>
      <c r="Q10" s="3"/>
      <c r="R10" s="3"/>
      <c r="S10" s="3"/>
      <c r="T10" s="3"/>
      <c r="U10" s="3"/>
      <c r="V10" s="3"/>
      <c r="W10" s="3"/>
      <c r="X10" s="3"/>
      <c r="Y10" s="3"/>
      <c r="Z10" s="3"/>
      <c r="AA10" s="3"/>
    </row>
    <row r="11" spans="1:27">
      <c r="A11" s="3"/>
      <c r="B11" s="3"/>
      <c r="C11" s="330"/>
      <c r="D11" s="573"/>
      <c r="E11" s="573"/>
      <c r="F11" s="573"/>
      <c r="G11" s="573"/>
      <c r="H11" s="573"/>
      <c r="I11" s="573"/>
      <c r="J11" s="573"/>
      <c r="K11" s="573"/>
      <c r="L11" s="573"/>
      <c r="M11" s="573"/>
      <c r="N11" s="573"/>
      <c r="O11" s="323"/>
      <c r="P11" s="3"/>
      <c r="Q11" s="3"/>
      <c r="R11" s="3"/>
      <c r="S11" s="3"/>
      <c r="T11" s="3"/>
      <c r="U11" s="3"/>
      <c r="V11" s="3"/>
      <c r="W11" s="3"/>
      <c r="X11" s="3"/>
      <c r="Y11" s="3"/>
      <c r="Z11" s="3"/>
      <c r="AA11" s="3"/>
    </row>
    <row r="12" spans="1:27">
      <c r="A12" s="3"/>
      <c r="B12" s="3"/>
      <c r="C12" s="330"/>
      <c r="D12" s="573"/>
      <c r="E12" s="573"/>
      <c r="F12" s="573"/>
      <c r="G12" s="573"/>
      <c r="H12" s="573"/>
      <c r="I12" s="573"/>
      <c r="J12" s="573"/>
      <c r="K12" s="573"/>
      <c r="L12" s="573"/>
      <c r="M12" s="573"/>
      <c r="N12" s="573"/>
      <c r="O12" s="323"/>
      <c r="P12" s="3"/>
      <c r="Q12" s="3"/>
      <c r="R12" s="3"/>
      <c r="S12" s="3"/>
      <c r="T12" s="3"/>
      <c r="U12" s="3"/>
      <c r="V12" s="3"/>
      <c r="W12" s="3"/>
      <c r="X12" s="3"/>
      <c r="Y12" s="3"/>
      <c r="Z12" s="3"/>
      <c r="AA12" s="3"/>
    </row>
    <row r="13" spans="1:27">
      <c r="A13" s="3"/>
      <c r="B13" s="3"/>
      <c r="C13" s="330"/>
      <c r="D13" s="573"/>
      <c r="E13" s="573"/>
      <c r="F13" s="573"/>
      <c r="G13" s="573"/>
      <c r="H13" s="573"/>
      <c r="I13" s="573"/>
      <c r="J13" s="573"/>
      <c r="K13" s="573"/>
      <c r="L13" s="573"/>
      <c r="M13" s="573"/>
      <c r="N13" s="573"/>
      <c r="O13" s="323"/>
      <c r="P13" s="3"/>
      <c r="Q13" s="3"/>
      <c r="R13" s="3"/>
      <c r="S13" s="3"/>
      <c r="T13" s="3"/>
      <c r="U13" s="3"/>
      <c r="V13" s="3"/>
      <c r="W13" s="3"/>
      <c r="X13" s="3"/>
      <c r="Y13" s="3"/>
      <c r="Z13" s="3"/>
      <c r="AA13" s="3"/>
    </row>
    <row r="14" spans="1:27">
      <c r="A14" s="3"/>
      <c r="B14" s="3"/>
      <c r="C14" s="330"/>
      <c r="D14" s="1050"/>
      <c r="E14" s="573"/>
      <c r="F14" s="1050"/>
      <c r="G14" s="573"/>
      <c r="H14" s="1050"/>
      <c r="I14" s="573"/>
      <c r="J14" s="573"/>
      <c r="K14" s="573"/>
      <c r="L14" s="573"/>
      <c r="M14" s="573"/>
      <c r="N14" s="573"/>
      <c r="O14" s="323"/>
      <c r="P14" s="3"/>
      <c r="Q14" s="3"/>
      <c r="R14" s="3"/>
      <c r="S14" s="3"/>
      <c r="T14" s="3"/>
      <c r="U14" s="3"/>
      <c r="V14" s="3"/>
      <c r="W14" s="3"/>
      <c r="X14" s="3"/>
      <c r="Y14" s="3"/>
      <c r="Z14" s="3"/>
      <c r="AA14" s="3"/>
    </row>
    <row r="15" spans="1:27">
      <c r="A15" s="3"/>
      <c r="B15" s="3"/>
      <c r="C15" s="330"/>
      <c r="D15" s="573"/>
      <c r="E15" s="573"/>
      <c r="F15" s="573"/>
      <c r="G15" s="573"/>
      <c r="H15" s="573"/>
      <c r="I15" s="573"/>
      <c r="J15" s="573"/>
      <c r="K15" s="573"/>
      <c r="L15" s="573"/>
      <c r="M15" s="573"/>
      <c r="N15" s="573"/>
      <c r="O15" s="323"/>
      <c r="P15" s="3"/>
      <c r="Q15" s="3"/>
      <c r="R15" s="3"/>
      <c r="S15" s="3"/>
      <c r="T15" s="3"/>
      <c r="U15" s="3"/>
      <c r="V15" s="3"/>
      <c r="W15" s="3"/>
      <c r="X15" s="3"/>
      <c r="Y15" s="3"/>
      <c r="Z15" s="3"/>
      <c r="AA15" s="3"/>
    </row>
    <row r="16" spans="1:27">
      <c r="A16" s="3"/>
      <c r="B16" s="3"/>
      <c r="C16" s="330"/>
      <c r="D16" s="1050"/>
      <c r="E16" s="573"/>
      <c r="F16" s="1050"/>
      <c r="G16" s="573"/>
      <c r="H16" s="573"/>
      <c r="I16" s="573"/>
      <c r="J16" s="573"/>
      <c r="K16" s="573"/>
      <c r="L16" s="573"/>
      <c r="M16" s="573"/>
      <c r="N16" s="573"/>
      <c r="O16" s="323"/>
      <c r="P16" s="3"/>
      <c r="Q16" s="3"/>
      <c r="R16" s="3"/>
      <c r="S16" s="3"/>
      <c r="T16" s="3"/>
      <c r="U16" s="3"/>
      <c r="V16" s="3"/>
      <c r="W16" s="3"/>
      <c r="X16" s="3"/>
      <c r="Y16" s="3"/>
      <c r="Z16" s="3"/>
      <c r="AA16" s="3"/>
    </row>
    <row r="17" spans="1:27">
      <c r="A17" s="3"/>
      <c r="B17" s="3"/>
      <c r="C17" s="330"/>
      <c r="D17" s="573"/>
      <c r="E17" s="573"/>
      <c r="F17" s="573"/>
      <c r="G17" s="573"/>
      <c r="H17" s="573"/>
      <c r="I17" s="573"/>
      <c r="J17" s="573"/>
      <c r="K17" s="1051"/>
      <c r="L17" s="573"/>
      <c r="M17" s="573"/>
      <c r="N17" s="1051"/>
      <c r="O17" s="323"/>
      <c r="P17" s="3"/>
      <c r="Q17" s="3"/>
      <c r="R17" s="3"/>
      <c r="S17" s="3"/>
      <c r="T17" s="3"/>
      <c r="U17" s="3"/>
      <c r="V17" s="3"/>
      <c r="W17" s="3"/>
      <c r="X17" s="3"/>
      <c r="Y17" s="3"/>
      <c r="Z17" s="3"/>
      <c r="AA17" s="3"/>
    </row>
    <row r="18" spans="1:27">
      <c r="A18" s="3"/>
      <c r="B18" s="3"/>
      <c r="C18" s="330"/>
      <c r="D18" s="573"/>
      <c r="E18" s="573"/>
      <c r="F18" s="573"/>
      <c r="G18" s="573"/>
      <c r="H18" s="573"/>
      <c r="I18" s="573"/>
      <c r="J18" s="573"/>
      <c r="K18" s="573"/>
      <c r="L18" s="573"/>
      <c r="M18" s="573"/>
      <c r="N18" s="573"/>
      <c r="O18" s="323"/>
      <c r="P18" s="3"/>
      <c r="Q18" s="3"/>
      <c r="R18" s="3"/>
      <c r="S18" s="3"/>
      <c r="T18" s="3"/>
      <c r="U18" s="3"/>
      <c r="V18" s="3"/>
      <c r="W18" s="3"/>
      <c r="X18" s="3"/>
      <c r="Y18" s="3"/>
      <c r="Z18" s="3"/>
      <c r="AA18" s="3"/>
    </row>
    <row r="19" spans="1:27">
      <c r="A19" s="3"/>
      <c r="B19" s="3"/>
      <c r="C19" s="330"/>
      <c r="D19" s="573"/>
      <c r="E19" s="573"/>
      <c r="F19" s="573"/>
      <c r="G19" s="573"/>
      <c r="H19" s="573"/>
      <c r="I19" s="573"/>
      <c r="J19" s="573"/>
      <c r="K19" s="573"/>
      <c r="L19" s="573"/>
      <c r="M19" s="573"/>
      <c r="N19" s="573"/>
      <c r="O19" s="323"/>
      <c r="P19" s="3"/>
      <c r="Q19" s="3"/>
      <c r="R19" s="3"/>
      <c r="S19" s="3"/>
      <c r="T19" s="3"/>
      <c r="U19" s="3"/>
      <c r="V19" s="3"/>
      <c r="W19" s="3"/>
      <c r="X19" s="3"/>
      <c r="Y19" s="3"/>
      <c r="Z19" s="3"/>
      <c r="AA19" s="3"/>
    </row>
    <row r="20" spans="1:27">
      <c r="A20" s="3"/>
      <c r="B20" s="3"/>
      <c r="C20" s="330"/>
      <c r="D20" s="573" t="s">
        <v>970</v>
      </c>
      <c r="E20" s="573"/>
      <c r="F20" s="573"/>
      <c r="G20" s="573"/>
      <c r="H20" s="573"/>
      <c r="I20" s="573"/>
      <c r="J20" s="573"/>
      <c r="K20" s="573"/>
      <c r="L20" s="573"/>
      <c r="M20" s="573"/>
      <c r="N20" s="339"/>
      <c r="O20" s="340"/>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971</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972</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973</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974</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975</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976</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977</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978</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979</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980</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1044</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946</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942</v>
      </c>
      <c r="F43" s="331"/>
      <c r="G43" s="331"/>
      <c r="H43" s="917">
        <v>2</v>
      </c>
      <c r="I43" s="907" t="s">
        <v>948</v>
      </c>
      <c r="J43" s="904">
        <f>Frequency!$M$10</f>
        <v>2422</v>
      </c>
      <c r="K43" s="331" t="s">
        <v>753</v>
      </c>
      <c r="L43" s="331"/>
      <c r="M43" s="922" t="s">
        <v>1040</v>
      </c>
      <c r="N43" s="3"/>
      <c r="O43" s="3"/>
      <c r="P43" s="3"/>
      <c r="Q43" s="3"/>
      <c r="R43" s="3"/>
      <c r="S43" s="3"/>
      <c r="T43" s="3"/>
      <c r="U43" s="3"/>
      <c r="V43" s="3"/>
      <c r="W43" s="3"/>
      <c r="X43" s="3"/>
      <c r="Y43" s="3"/>
      <c r="Z43" s="3"/>
      <c r="AA43" s="3"/>
    </row>
    <row r="44" spans="1:27">
      <c r="A44" s="3"/>
      <c r="B44" s="3"/>
      <c r="C44" s="330"/>
      <c r="D44" s="331"/>
      <c r="E44" s="899" t="s">
        <v>943</v>
      </c>
      <c r="F44" s="331"/>
      <c r="G44" s="331"/>
      <c r="H44" s="917"/>
      <c r="I44" s="907" t="s">
        <v>948</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944</v>
      </c>
      <c r="F45" s="331"/>
      <c r="G45" s="331"/>
      <c r="H45" s="917"/>
      <c r="I45" s="907" t="s">
        <v>948</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982</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983</v>
      </c>
      <c r="R49" s="297"/>
      <c r="S49" s="297"/>
      <c r="T49" s="683" t="s">
        <v>984</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1045</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1042</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985</v>
      </c>
      <c r="R52" s="128">
        <v>0.6</v>
      </c>
      <c r="S52" s="297" t="s">
        <v>756</v>
      </c>
      <c r="T52" s="358" t="s">
        <v>229</v>
      </c>
      <c r="U52" s="347">
        <f>J61*(10^(R52/10)-1)</f>
        <v>42.964550234096016</v>
      </c>
      <c r="V52" s="357" t="s">
        <v>784</v>
      </c>
      <c r="W52" s="3"/>
      <c r="X52" s="3"/>
      <c r="Y52" s="3"/>
      <c r="Z52" s="3"/>
      <c r="AA52" s="3"/>
    </row>
    <row r="53" spans="1:27">
      <c r="A53" s="3"/>
      <c r="B53" s="3"/>
      <c r="C53" s="330"/>
      <c r="D53" s="331"/>
      <c r="E53" s="331" t="s">
        <v>232</v>
      </c>
      <c r="F53" s="331"/>
      <c r="G53" s="331"/>
      <c r="H53" s="264">
        <v>6</v>
      </c>
      <c r="I53" s="913" t="s">
        <v>1043</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69">
        <f>SUM(J47:J53)</f>
        <v>3.77</v>
      </c>
      <c r="K55" s="331" t="s">
        <v>756</v>
      </c>
      <c r="L55" s="331"/>
      <c r="M55" s="323"/>
      <c r="N55" s="3"/>
      <c r="O55" s="295"/>
      <c r="P55" s="297"/>
      <c r="Q55" s="358" t="s">
        <v>229</v>
      </c>
      <c r="R55" s="129">
        <v>50</v>
      </c>
      <c r="S55" s="297" t="s">
        <v>784</v>
      </c>
      <c r="T55" s="358" t="s">
        <v>986</v>
      </c>
      <c r="U55" s="355">
        <f>10*LOG10(1+(R55/J61))</f>
        <v>0.6908091914329908</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962</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950</v>
      </c>
      <c r="P61" s="930" t="s">
        <v>951</v>
      </c>
      <c r="Q61" s="931"/>
      <c r="R61" s="929" t="s">
        <v>952</v>
      </c>
      <c r="S61" s="929" t="s">
        <v>953</v>
      </c>
      <c r="T61" s="929"/>
      <c r="U61" s="929" t="s">
        <v>954</v>
      </c>
      <c r="V61" s="929" t="s">
        <v>955</v>
      </c>
      <c r="W61" s="929" t="s">
        <v>956</v>
      </c>
      <c r="X61" s="929" t="s">
        <v>957</v>
      </c>
      <c r="Y61" s="929" t="s">
        <v>958</v>
      </c>
      <c r="Z61" s="929" t="s">
        <v>959</v>
      </c>
      <c r="AA61" s="929" t="s">
        <v>960</v>
      </c>
    </row>
    <row r="62" spans="1:27">
      <c r="A62" s="3"/>
      <c r="B62" s="3"/>
      <c r="C62" s="330"/>
      <c r="D62" s="331"/>
      <c r="E62" s="331"/>
      <c r="F62" s="331"/>
      <c r="G62" s="331"/>
      <c r="H62" s="331"/>
      <c r="I62" s="331"/>
      <c r="J62" s="331"/>
      <c r="K62" s="331"/>
      <c r="L62" s="331"/>
      <c r="M62" s="323"/>
      <c r="N62" s="3"/>
      <c r="O62" s="932">
        <v>1</v>
      </c>
      <c r="P62" s="1052" t="s">
        <v>1045</v>
      </c>
      <c r="Q62" s="1053"/>
      <c r="R62" s="933">
        <v>-2</v>
      </c>
      <c r="S62" s="933">
        <v>2</v>
      </c>
      <c r="T62" s="934"/>
      <c r="U62" s="935">
        <f>IF(R62,10^(R62/10), "")</f>
        <v>0.63095734448019325</v>
      </c>
      <c r="V62" s="935">
        <f>IF(S62,10^(S62/10), "")</f>
        <v>1.5848931924611136</v>
      </c>
      <c r="W62" s="935">
        <f>IF(S62,1,"")</f>
        <v>1</v>
      </c>
      <c r="X62" s="934">
        <f>IF(S62,290*(V62-1), "")</f>
        <v>169.61902581372294</v>
      </c>
      <c r="Y62" s="934">
        <f t="shared" ref="Y62:Y71" si="1">IF(S62,X62/W62, "")</f>
        <v>169.61902581372294</v>
      </c>
      <c r="Z62" s="935">
        <f>IF(S62,(V62-1)/W62, "")</f>
        <v>0.5848931924611136</v>
      </c>
      <c r="AA62" s="935">
        <f>IF(S62,Z62+1, "")</f>
        <v>1.5848931924611136</v>
      </c>
    </row>
    <row r="63" spans="1:27">
      <c r="A63" s="3"/>
      <c r="B63" s="3"/>
      <c r="C63" s="330"/>
      <c r="D63" s="331" t="s">
        <v>222</v>
      </c>
      <c r="E63" s="331"/>
      <c r="F63" s="331"/>
      <c r="G63" s="331"/>
      <c r="H63" s="331"/>
      <c r="I63" s="331" t="s">
        <v>223</v>
      </c>
      <c r="J63" s="343">
        <v>34</v>
      </c>
      <c r="K63" s="331" t="s">
        <v>784</v>
      </c>
      <c r="L63" s="331"/>
      <c r="M63" s="323"/>
      <c r="N63" s="3"/>
      <c r="O63" s="932">
        <v>2</v>
      </c>
      <c r="P63" s="1054" t="s">
        <v>1055</v>
      </c>
      <c r="Q63" s="1055"/>
      <c r="R63" s="933">
        <v>19.3</v>
      </c>
      <c r="S63" s="933">
        <v>0.61</v>
      </c>
      <c r="T63" s="934"/>
      <c r="U63" s="935">
        <f t="shared" ref="U63:V71" si="2">IF(R63,10^(R63/10), "")</f>
        <v>85.113803820237734</v>
      </c>
      <c r="V63" s="935">
        <f t="shared" si="2"/>
        <v>1.1508003889444358</v>
      </c>
      <c r="W63" s="935">
        <f t="shared" ref="W63:W71" si="3">IF(S63,W62*U62, "")</f>
        <v>0.63095734448019325</v>
      </c>
      <c r="X63" s="934">
        <f t="shared" ref="X63:X71" si="4">IF(S63,290*(V63-1), "")</f>
        <v>43.732112793886387</v>
      </c>
      <c r="Y63" s="934">
        <f t="shared" si="1"/>
        <v>69.310727858972101</v>
      </c>
      <c r="Z63" s="935">
        <f t="shared" ref="Z63:Z71" si="5">IF(S63,(V63-1)/W63, "")</f>
        <v>0.23900250985852448</v>
      </c>
      <c r="AA63" s="935">
        <f>IF(S63, AA62+Z63, "")</f>
        <v>1.823895702319638</v>
      </c>
    </row>
    <row r="64" spans="1:27">
      <c r="A64" s="3"/>
      <c r="B64" s="3"/>
      <c r="C64" s="330"/>
      <c r="D64" s="331"/>
      <c r="E64" s="331"/>
      <c r="F64" s="331"/>
      <c r="G64" s="331"/>
      <c r="H64" s="331"/>
      <c r="I64" s="331"/>
      <c r="J64" s="331"/>
      <c r="K64" s="331"/>
      <c r="L64" s="331"/>
      <c r="M64" s="912" t="s">
        <v>1067</v>
      </c>
      <c r="N64" s="3"/>
      <c r="O64" s="932">
        <v>3</v>
      </c>
      <c r="P64" s="1054" t="s">
        <v>1051</v>
      </c>
      <c r="Q64" s="1055"/>
      <c r="R64" s="933"/>
      <c r="S64" s="933">
        <v>3.5</v>
      </c>
      <c r="T64" s="934"/>
      <c r="U64" s="935" t="str">
        <f t="shared" si="2"/>
        <v/>
      </c>
      <c r="V64" s="935">
        <f t="shared" si="2"/>
        <v>2.2387211385683394</v>
      </c>
      <c r="W64" s="935">
        <f t="shared" si="3"/>
        <v>53.703179637025329</v>
      </c>
      <c r="X64" s="934">
        <f t="shared" si="4"/>
        <v>359.22913018481842</v>
      </c>
      <c r="Y64" s="934">
        <f t="shared" si="1"/>
        <v>6.6891594243174026</v>
      </c>
      <c r="Z64" s="935">
        <f t="shared" si="5"/>
        <v>2.3066066980404837E-2</v>
      </c>
      <c r="AA64" s="935">
        <f t="shared" ref="AA64:AA71" si="6">IF(S64, AA63+Z64, "")</f>
        <v>1.8469617693000429</v>
      </c>
    </row>
    <row r="65" spans="1:27">
      <c r="A65" s="3"/>
      <c r="B65" s="3"/>
      <c r="C65" s="330"/>
      <c r="D65" s="331" t="s">
        <v>224</v>
      </c>
      <c r="E65" s="331"/>
      <c r="F65" s="344">
        <v>18.899999999999999</v>
      </c>
      <c r="G65" s="331" t="s">
        <v>756</v>
      </c>
      <c r="H65" s="331"/>
      <c r="I65" s="331" t="s">
        <v>225</v>
      </c>
      <c r="J65" s="351">
        <f>10^(F65/10)</f>
        <v>77.624711662869217</v>
      </c>
      <c r="K65" s="331"/>
      <c r="L65" s="331"/>
      <c r="M65" s="912" t="s">
        <v>1068</v>
      </c>
      <c r="N65" s="3"/>
      <c r="O65" s="932">
        <v>4</v>
      </c>
      <c r="P65" s="1056"/>
      <c r="Q65" s="1055"/>
      <c r="R65" s="933"/>
      <c r="S65" s="933"/>
      <c r="T65" s="934"/>
      <c r="U65" s="935" t="str">
        <f t="shared" si="2"/>
        <v/>
      </c>
      <c r="V65" s="935" t="str">
        <f t="shared" si="2"/>
        <v/>
      </c>
      <c r="W65" s="935" t="str">
        <f t="shared" si="3"/>
        <v/>
      </c>
      <c r="X65" s="934" t="str">
        <f t="shared" si="4"/>
        <v/>
      </c>
      <c r="Y65" s="934" t="str">
        <f t="shared" si="1"/>
        <v/>
      </c>
      <c r="Z65" s="935" t="str">
        <f t="shared" si="5"/>
        <v/>
      </c>
      <c r="AA65" s="935" t="str">
        <f t="shared" si="6"/>
        <v/>
      </c>
    </row>
    <row r="66" spans="1:27">
      <c r="A66" s="3"/>
      <c r="B66" s="3"/>
      <c r="C66" s="330"/>
      <c r="D66" s="331"/>
      <c r="E66" s="331"/>
      <c r="F66" s="331"/>
      <c r="G66" s="331"/>
      <c r="H66" s="331"/>
      <c r="I66" s="331"/>
      <c r="J66" s="331"/>
      <c r="K66" s="331"/>
      <c r="L66" s="331"/>
      <c r="M66" s="323"/>
      <c r="N66" s="3"/>
      <c r="O66" s="932">
        <v>5</v>
      </c>
      <c r="P66" s="936"/>
      <c r="Q66" s="937"/>
      <c r="R66" s="933"/>
      <c r="S66" s="933"/>
      <c r="T66" s="934"/>
      <c r="U66" s="935" t="str">
        <f t="shared" si="2"/>
        <v/>
      </c>
      <c r="V66" s="935" t="str">
        <f t="shared" si="2"/>
        <v/>
      </c>
      <c r="W66" s="935" t="str">
        <f t="shared" si="3"/>
        <v/>
      </c>
      <c r="X66" s="934" t="str">
        <f t="shared" si="4"/>
        <v/>
      </c>
      <c r="Y66" s="934" t="str">
        <f t="shared" si="1"/>
        <v/>
      </c>
      <c r="Z66" s="935" t="str">
        <f t="shared" si="5"/>
        <v/>
      </c>
      <c r="AA66" s="935" t="str">
        <f t="shared" si="6"/>
        <v/>
      </c>
    </row>
    <row r="67" spans="1:27" ht="13">
      <c r="A67" s="3"/>
      <c r="B67" s="3"/>
      <c r="C67" s="330"/>
      <c r="D67" s="331" t="s">
        <v>108</v>
      </c>
      <c r="E67" s="331"/>
      <c r="F67" s="331"/>
      <c r="G67" s="331"/>
      <c r="H67" s="331"/>
      <c r="I67" s="331" t="s">
        <v>981</v>
      </c>
      <c r="J67" s="374">
        <f>Y73</f>
        <v>245.61891309701244</v>
      </c>
      <c r="K67" s="331" t="s">
        <v>784</v>
      </c>
      <c r="L67" s="331"/>
      <c r="M67" s="323"/>
      <c r="N67" s="3"/>
      <c r="O67" s="932">
        <v>8</v>
      </c>
      <c r="P67" s="936"/>
      <c r="Q67" s="937"/>
      <c r="R67" s="933"/>
      <c r="S67" s="933"/>
      <c r="T67" s="934"/>
      <c r="U67" s="935" t="str">
        <f t="shared" si="2"/>
        <v/>
      </c>
      <c r="V67" s="935" t="str">
        <f t="shared" si="2"/>
        <v/>
      </c>
      <c r="W67" s="935" t="str">
        <f t="shared" si="3"/>
        <v/>
      </c>
      <c r="X67" s="934" t="str">
        <f t="shared" si="4"/>
        <v/>
      </c>
      <c r="Y67" s="934" t="str">
        <f t="shared" si="1"/>
        <v/>
      </c>
      <c r="Z67" s="935" t="str">
        <f t="shared" si="5"/>
        <v/>
      </c>
      <c r="AA67" s="935" t="str">
        <f t="shared" si="6"/>
        <v/>
      </c>
    </row>
    <row r="68" spans="1:27">
      <c r="A68" s="3"/>
      <c r="B68" s="3"/>
      <c r="C68" s="330"/>
      <c r="D68" s="331"/>
      <c r="E68" s="331"/>
      <c r="F68" s="331"/>
      <c r="G68" s="331"/>
      <c r="H68" s="331"/>
      <c r="I68" s="331"/>
      <c r="J68" s="331"/>
      <c r="K68" s="331"/>
      <c r="L68" s="331"/>
      <c r="M68" s="323"/>
      <c r="N68" s="3"/>
      <c r="O68" s="932">
        <v>9</v>
      </c>
      <c r="P68" s="936"/>
      <c r="Q68" s="937"/>
      <c r="R68" s="933"/>
      <c r="S68" s="933"/>
      <c r="T68" s="934"/>
      <c r="U68" s="935" t="str">
        <f t="shared" si="2"/>
        <v/>
      </c>
      <c r="V68" s="935" t="str">
        <f t="shared" si="2"/>
        <v/>
      </c>
      <c r="W68" s="935" t="str">
        <f t="shared" si="3"/>
        <v/>
      </c>
      <c r="X68" s="934" t="str">
        <f t="shared" si="4"/>
        <v/>
      </c>
      <c r="Y68" s="934" t="str">
        <f t="shared" si="1"/>
        <v/>
      </c>
      <c r="Z68" s="935" t="str">
        <f t="shared" si="5"/>
        <v/>
      </c>
      <c r="AA68" s="935" t="str">
        <f t="shared" si="6"/>
        <v/>
      </c>
    </row>
    <row r="69" spans="1:27" ht="13">
      <c r="A69" s="3"/>
      <c r="B69" s="3"/>
      <c r="C69" s="330"/>
      <c r="D69" s="331"/>
      <c r="E69" s="331"/>
      <c r="F69" s="331"/>
      <c r="G69" s="331"/>
      <c r="H69" s="331"/>
      <c r="I69" s="331"/>
      <c r="J69" s="331"/>
      <c r="K69" s="331"/>
      <c r="L69" s="354"/>
      <c r="M69" s="323"/>
      <c r="N69" s="3"/>
      <c r="O69" s="932">
        <v>10</v>
      </c>
      <c r="P69" s="936"/>
      <c r="Q69" s="937"/>
      <c r="R69" s="933"/>
      <c r="S69" s="933"/>
      <c r="T69" s="934"/>
      <c r="U69" s="935" t="str">
        <f t="shared" si="2"/>
        <v/>
      </c>
      <c r="V69" s="935" t="str">
        <f t="shared" si="2"/>
        <v/>
      </c>
      <c r="W69" s="935" t="str">
        <f t="shared" si="3"/>
        <v/>
      </c>
      <c r="X69" s="934" t="str">
        <f t="shared" si="4"/>
        <v/>
      </c>
      <c r="Y69" s="934" t="str">
        <f t="shared" si="1"/>
        <v/>
      </c>
      <c r="Z69" s="935" t="str">
        <f t="shared" si="5"/>
        <v/>
      </c>
      <c r="AA69" s="935" t="str">
        <f t="shared" si="6"/>
        <v/>
      </c>
    </row>
    <row r="70" spans="1:27" ht="13">
      <c r="A70" s="3"/>
      <c r="B70" s="3"/>
      <c r="C70" s="330"/>
      <c r="D70" s="331" t="s">
        <v>226</v>
      </c>
      <c r="E70" s="331"/>
      <c r="F70" s="331"/>
      <c r="G70" s="331"/>
      <c r="H70" s="331"/>
      <c r="I70" s="331" t="s">
        <v>227</v>
      </c>
      <c r="J70" s="374">
        <f>J59*J57+J61*(1-J57)+J63+(J67/J65)</f>
        <v>264.20033694819472</v>
      </c>
      <c r="K70" s="331" t="s">
        <v>784</v>
      </c>
      <c r="L70" s="331"/>
      <c r="M70" s="323"/>
      <c r="N70" s="3"/>
      <c r="O70" s="932">
        <v>11</v>
      </c>
      <c r="P70" s="936"/>
      <c r="Q70" s="937"/>
      <c r="R70" s="933"/>
      <c r="S70" s="933"/>
      <c r="T70" s="934"/>
      <c r="U70" s="935" t="str">
        <f t="shared" si="2"/>
        <v/>
      </c>
      <c r="V70" s="935" t="str">
        <f t="shared" si="2"/>
        <v/>
      </c>
      <c r="W70" s="935" t="str">
        <f t="shared" si="3"/>
        <v/>
      </c>
      <c r="X70" s="934" t="str">
        <f t="shared" si="4"/>
        <v/>
      </c>
      <c r="Y70" s="934" t="str">
        <f t="shared" si="1"/>
        <v/>
      </c>
      <c r="Z70" s="935" t="str">
        <f t="shared" si="5"/>
        <v/>
      </c>
      <c r="AA70" s="935" t="str">
        <f t="shared" si="6"/>
        <v/>
      </c>
    </row>
    <row r="71" spans="1:27" ht="13" thickBot="1">
      <c r="A71" s="3"/>
      <c r="B71" s="3"/>
      <c r="C71" s="330"/>
      <c r="D71" s="331"/>
      <c r="E71" s="331"/>
      <c r="F71" s="331"/>
      <c r="G71" s="331"/>
      <c r="H71" s="331"/>
      <c r="I71" s="331"/>
      <c r="J71" s="331"/>
      <c r="K71" s="331"/>
      <c r="L71" s="331"/>
      <c r="M71" s="323"/>
      <c r="N71" s="3"/>
      <c r="O71" s="938">
        <v>12</v>
      </c>
      <c r="P71" s="939"/>
      <c r="Q71" s="940"/>
      <c r="R71" s="941"/>
      <c r="S71" s="941"/>
      <c r="T71" s="942"/>
      <c r="U71" s="943" t="str">
        <f t="shared" si="2"/>
        <v/>
      </c>
      <c r="V71" s="943" t="str">
        <f t="shared" si="2"/>
        <v/>
      </c>
      <c r="W71" s="943" t="str">
        <f t="shared" si="3"/>
        <v/>
      </c>
      <c r="X71" s="942" t="str">
        <f t="shared" si="4"/>
        <v/>
      </c>
      <c r="Y71" s="942" t="str">
        <f t="shared" si="1"/>
        <v/>
      </c>
      <c r="Z71" s="943" t="str">
        <f t="shared" si="5"/>
        <v/>
      </c>
      <c r="AA71" s="943" t="str">
        <f t="shared" si="6"/>
        <v/>
      </c>
    </row>
    <row r="72" spans="1:27">
      <c r="A72" s="3"/>
      <c r="B72" s="3"/>
      <c r="C72" s="330"/>
      <c r="D72" s="331"/>
      <c r="E72" s="331"/>
      <c r="F72" s="331"/>
      <c r="G72" s="331"/>
      <c r="H72" s="331"/>
      <c r="I72" s="331"/>
      <c r="J72" s="331"/>
      <c r="K72" s="331"/>
      <c r="L72" s="331"/>
      <c r="M72" s="323"/>
      <c r="N72" s="3"/>
      <c r="O72" s="944"/>
      <c r="P72" s="945"/>
      <c r="Q72" s="927"/>
      <c r="R72" s="946"/>
      <c r="S72" s="946"/>
      <c r="T72" s="946"/>
      <c r="U72" s="946"/>
      <c r="V72" s="946"/>
      <c r="W72" s="946"/>
      <c r="X72" s="946"/>
      <c r="Y72" s="946"/>
      <c r="Z72" s="946"/>
      <c r="AA72" s="947"/>
    </row>
    <row r="73" spans="1:27" ht="14.5">
      <c r="A73" s="3"/>
      <c r="B73" s="3"/>
      <c r="C73" s="338"/>
      <c r="D73" s="339"/>
      <c r="E73" s="339"/>
      <c r="F73" s="339"/>
      <c r="G73" s="339"/>
      <c r="H73" s="339"/>
      <c r="I73" s="339"/>
      <c r="J73" s="339"/>
      <c r="K73" s="339"/>
      <c r="L73" s="339"/>
      <c r="M73" s="340"/>
      <c r="N73" s="3"/>
      <c r="O73" s="948"/>
      <c r="P73" s="949"/>
      <c r="Q73" s="950"/>
      <c r="R73" s="951"/>
      <c r="S73" s="951"/>
      <c r="T73" s="951"/>
      <c r="U73" s="951"/>
      <c r="V73" s="951"/>
      <c r="W73" s="951"/>
      <c r="X73" s="952" t="s">
        <v>961</v>
      </c>
      <c r="Y73" s="953">
        <f>SUM(Y62:Y71)</f>
        <v>245.61891309701244</v>
      </c>
      <c r="Z73" s="954"/>
      <c r="AA73" s="955"/>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970</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6"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987</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973</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974</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975</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976</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988</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978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979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c r="H109" s="901"/>
      <c r="I109" s="141"/>
      <c r="J109" s="908"/>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7"/>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946</v>
      </c>
      <c r="F113" s="141"/>
      <c r="G113" s="141"/>
      <c r="H113" s="141"/>
      <c r="I113" s="141"/>
      <c r="J113" s="957"/>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942</v>
      </c>
      <c r="F114" s="141"/>
      <c r="G114" s="141"/>
      <c r="H114" s="917"/>
      <c r="I114" s="192" t="s">
        <v>948</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943</v>
      </c>
      <c r="F115" s="141"/>
      <c r="G115" s="141"/>
      <c r="H115" s="917"/>
      <c r="I115" s="192" t="s">
        <v>948</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944</v>
      </c>
      <c r="F116" s="141"/>
      <c r="G116" s="141"/>
      <c r="H116" s="917"/>
      <c r="I116" s="192" t="s">
        <v>948</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989</v>
      </c>
      <c r="J118" s="141">
        <f>J109*H114</f>
        <v>0</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990</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991</v>
      </c>
      <c r="J120" s="141">
        <f t="shared" si="7"/>
        <v>0</v>
      </c>
      <c r="K120" s="141" t="s">
        <v>756</v>
      </c>
      <c r="L120" s="141"/>
      <c r="M120" s="182"/>
      <c r="N120" s="3"/>
      <c r="O120" s="295"/>
      <c r="P120" s="297"/>
      <c r="Q120" s="297" t="s">
        <v>235</v>
      </c>
      <c r="R120" s="297"/>
      <c r="S120" s="297"/>
      <c r="T120" s="958">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992</v>
      </c>
      <c r="J121" s="908"/>
      <c r="K121" s="141" t="s">
        <v>756</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993</v>
      </c>
      <c r="J122" s="908"/>
      <c r="K122" s="141" t="s">
        <v>756</v>
      </c>
      <c r="L122" s="141"/>
      <c r="M122" s="182"/>
      <c r="N122" s="3"/>
      <c r="O122" s="295"/>
      <c r="P122" s="297"/>
      <c r="Q122" s="297" t="s">
        <v>236</v>
      </c>
      <c r="R122" s="297"/>
      <c r="S122" s="297"/>
      <c r="T122" s="958">
        <f>380*((T118/1000)/0.25)^-2.75+2.7</f>
        <v>84.765749145150451</v>
      </c>
      <c r="U122" s="369" t="s">
        <v>784</v>
      </c>
      <c r="V122" s="357"/>
      <c r="W122" s="3"/>
      <c r="X122" s="3"/>
      <c r="Y122" s="3"/>
      <c r="Z122" s="3"/>
      <c r="AA122" s="3"/>
    </row>
    <row r="123" spans="1:27">
      <c r="A123" s="3"/>
      <c r="B123" s="3"/>
      <c r="C123" s="177"/>
      <c r="D123" s="141"/>
      <c r="E123" s="141" t="s">
        <v>232</v>
      </c>
      <c r="F123" s="141"/>
      <c r="G123" s="141"/>
      <c r="H123" s="381">
        <v>2</v>
      </c>
      <c r="I123" s="659" t="s">
        <v>1046</v>
      </c>
      <c r="J123" s="911">
        <f>H123*0.15</f>
        <v>0.3</v>
      </c>
      <c r="K123" s="141" t="s">
        <v>756</v>
      </c>
      <c r="L123" s="141"/>
      <c r="M123" s="182" t="s">
        <v>1053</v>
      </c>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0">
        <f>SUM(J118:J123)</f>
        <v>0.3</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59">
        <v>10</v>
      </c>
      <c r="U127" s="366" t="s">
        <v>240</v>
      </c>
      <c r="V127" s="357"/>
      <c r="W127" s="3"/>
      <c r="X127" s="3"/>
      <c r="Y127" s="3"/>
      <c r="Z127" s="3"/>
      <c r="AA127" s="3"/>
    </row>
    <row r="128" spans="1:27">
      <c r="A128" s="3"/>
      <c r="B128" s="3"/>
      <c r="C128" s="177"/>
      <c r="D128" s="141" t="s">
        <v>216</v>
      </c>
      <c r="E128" s="141"/>
      <c r="F128" s="141"/>
      <c r="G128" s="141"/>
      <c r="H128" s="141"/>
      <c r="I128" s="363" t="s">
        <v>994</v>
      </c>
      <c r="J128" s="960">
        <f>10^-(J126/10)</f>
        <v>0.93325430079699101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995</v>
      </c>
      <c r="J130" s="961">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58">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984</v>
      </c>
      <c r="J132" s="961">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996</v>
      </c>
      <c r="J134" s="961">
        <v>44</v>
      </c>
      <c r="K134" s="141" t="s">
        <v>784</v>
      </c>
      <c r="L134" s="141"/>
      <c r="M134" s="1037"/>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057" t="s">
        <v>1070</v>
      </c>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2">
        <v>18.399999999999999</v>
      </c>
      <c r="G136" s="141" t="s">
        <v>756</v>
      </c>
      <c r="H136" s="141"/>
      <c r="I136" s="141" t="s">
        <v>997</v>
      </c>
      <c r="J136" s="302">
        <f>10^(F136/10)</f>
        <v>69.183097091893657</v>
      </c>
      <c r="K136" s="141"/>
      <c r="L136" s="141"/>
      <c r="M136" s="1037" t="s">
        <v>1069</v>
      </c>
      <c r="N136" s="3"/>
      <c r="O136" s="298"/>
      <c r="P136" s="299"/>
      <c r="Q136" s="299"/>
      <c r="R136" s="299"/>
      <c r="S136" s="299"/>
      <c r="T136" s="299"/>
      <c r="U136" s="299"/>
      <c r="V136" s="300"/>
      <c r="W136" s="3"/>
      <c r="X136" s="3"/>
      <c r="Y136" s="3"/>
      <c r="Z136" s="3"/>
      <c r="AA136" s="3"/>
    </row>
    <row r="137" spans="1:27">
      <c r="A137" s="3"/>
      <c r="B137" s="3"/>
      <c r="C137" s="177"/>
      <c r="D137" s="141"/>
      <c r="E137" s="141"/>
      <c r="F137" s="963"/>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3"/>
      <c r="G138" s="241" t="s">
        <v>140</v>
      </c>
      <c r="H138" s="141"/>
      <c r="I138" s="141"/>
      <c r="J138" s="908"/>
      <c r="K138" s="141" t="s">
        <v>664</v>
      </c>
      <c r="L138" s="141"/>
      <c r="M138" s="182" t="s">
        <v>1049</v>
      </c>
      <c r="N138" s="3"/>
      <c r="O138" s="923" t="s">
        <v>962</v>
      </c>
      <c r="P138" s="924"/>
      <c r="Q138" s="924"/>
      <c r="R138" s="924"/>
      <c r="S138" s="924"/>
      <c r="T138" s="924"/>
      <c r="U138" s="924"/>
      <c r="V138" s="924"/>
      <c r="W138" s="924"/>
      <c r="X138" s="924"/>
      <c r="Y138" s="924"/>
      <c r="Z138" s="924"/>
      <c r="AA138" s="925"/>
    </row>
    <row r="139" spans="1:27">
      <c r="A139" s="3"/>
      <c r="B139" s="3"/>
      <c r="C139" s="177"/>
      <c r="D139" s="141"/>
      <c r="E139" s="141"/>
      <c r="F139" s="963"/>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3"/>
      <c r="G140" s="141"/>
      <c r="H140" s="141"/>
      <c r="I140" s="141"/>
      <c r="J140" s="459"/>
      <c r="K140" s="366"/>
      <c r="L140" s="141"/>
      <c r="M140" s="182"/>
      <c r="N140" s="3"/>
      <c r="O140" s="929" t="s">
        <v>950</v>
      </c>
      <c r="P140" s="930" t="s">
        <v>951</v>
      </c>
      <c r="Q140" s="931"/>
      <c r="R140" s="929" t="s">
        <v>952</v>
      </c>
      <c r="S140" s="929" t="s">
        <v>953</v>
      </c>
      <c r="T140" s="929"/>
      <c r="U140" s="929" t="s">
        <v>954</v>
      </c>
      <c r="V140" s="929" t="s">
        <v>955</v>
      </c>
      <c r="W140" s="929" t="s">
        <v>956</v>
      </c>
      <c r="X140" s="929" t="s">
        <v>957</v>
      </c>
      <c r="Y140" s="929" t="s">
        <v>958</v>
      </c>
      <c r="Z140" s="929" t="s">
        <v>959</v>
      </c>
      <c r="AA140" s="929" t="s">
        <v>960</v>
      </c>
    </row>
    <row r="141" spans="1:27">
      <c r="A141" s="3"/>
      <c r="B141" s="3"/>
      <c r="C141" s="177"/>
      <c r="D141" s="141"/>
      <c r="E141" s="141"/>
      <c r="F141" s="963"/>
      <c r="G141" s="141"/>
      <c r="H141" s="141"/>
      <c r="I141" s="141"/>
      <c r="J141" s="302"/>
      <c r="K141" s="141"/>
      <c r="L141" s="141"/>
      <c r="M141" s="182"/>
      <c r="N141" s="3"/>
      <c r="O141" s="932">
        <v>1</v>
      </c>
      <c r="P141" s="1039" t="s">
        <v>1071</v>
      </c>
      <c r="Q141" s="937"/>
      <c r="R141" s="933">
        <v>-2</v>
      </c>
      <c r="S141" s="933">
        <v>2</v>
      </c>
      <c r="T141" s="934"/>
      <c r="U141" s="935">
        <f>IF(R141,10^(R141/10), "")</f>
        <v>0.63095734448019325</v>
      </c>
      <c r="V141" s="935">
        <f>IF(S141,10^(S141/10), "")</f>
        <v>1.5848931924611136</v>
      </c>
      <c r="W141" s="935">
        <f>IF(S141,1,"")</f>
        <v>1</v>
      </c>
      <c r="X141" s="934">
        <f>IF(S141,290*(V141-1), "")</f>
        <v>169.61902581372294</v>
      </c>
      <c r="Y141" s="934">
        <f t="shared" ref="Y141:Y150" si="8">IF(S141,X141/W141, "")</f>
        <v>169.61902581372294</v>
      </c>
      <c r="Z141" s="935">
        <f>IF(S141,(V141-1)/W141, "")</f>
        <v>0.5848931924611136</v>
      </c>
      <c r="AA141" s="935">
        <f>IF(S141,Z141+1, "")</f>
        <v>1.5848931924611136</v>
      </c>
    </row>
    <row r="142" spans="1:27">
      <c r="A142" s="3"/>
      <c r="B142" s="3"/>
      <c r="C142" s="177"/>
      <c r="D142" s="141" t="s">
        <v>667</v>
      </c>
      <c r="E142" s="141"/>
      <c r="F142" s="963"/>
      <c r="G142" s="141"/>
      <c r="H142" s="141"/>
      <c r="I142" s="141"/>
      <c r="J142" s="964"/>
      <c r="K142" s="659"/>
      <c r="L142" s="141"/>
      <c r="M142" s="182"/>
      <c r="N142" s="3"/>
      <c r="O142" s="932">
        <v>2</v>
      </c>
      <c r="P142" s="936" t="s">
        <v>1055</v>
      </c>
      <c r="Q142" s="937"/>
      <c r="R142" s="933">
        <v>18.899999999999999</v>
      </c>
      <c r="S142" s="933">
        <v>0.61</v>
      </c>
      <c r="T142" s="934"/>
      <c r="U142" s="935">
        <f t="shared" ref="U142:V150" si="9">IF(R142,10^(R142/10), "")</f>
        <v>77.624711662869217</v>
      </c>
      <c r="V142" s="935">
        <f t="shared" si="9"/>
        <v>1.1508003889444358</v>
      </c>
      <c r="W142" s="935">
        <f t="shared" ref="W142:W150" si="10">IF(S142,W141*U141, "")</f>
        <v>0.63095734448019325</v>
      </c>
      <c r="X142" s="934">
        <f t="shared" ref="X142:X150" si="11">IF(S142,290*(V142-1), "")</f>
        <v>43.732112793886387</v>
      </c>
      <c r="Y142" s="934">
        <f t="shared" si="8"/>
        <v>69.310727858972101</v>
      </c>
      <c r="Z142" s="935">
        <f t="shared" ref="Z142:Z150" si="12">IF(S142,(V142-1)/W142, "")</f>
        <v>0.23900250985852448</v>
      </c>
      <c r="AA142" s="935">
        <f>IF(S142, AA141+Z142, "")</f>
        <v>1.823895702319638</v>
      </c>
    </row>
    <row r="143" spans="1:27">
      <c r="A143" s="3"/>
      <c r="B143" s="3"/>
      <c r="C143" s="177"/>
      <c r="D143" s="141"/>
      <c r="E143" s="141"/>
      <c r="F143" s="963"/>
      <c r="G143" s="141"/>
      <c r="H143" s="141"/>
      <c r="I143" s="141"/>
      <c r="J143" s="302"/>
      <c r="K143" s="141"/>
      <c r="L143" s="141"/>
      <c r="M143" s="182"/>
      <c r="N143" s="3"/>
      <c r="O143" s="932">
        <v>3</v>
      </c>
      <c r="P143" s="936" t="s">
        <v>1054</v>
      </c>
      <c r="Q143" s="937"/>
      <c r="R143" s="933">
        <v>-0.5</v>
      </c>
      <c r="S143" s="933">
        <v>0.5</v>
      </c>
      <c r="T143" s="934"/>
      <c r="U143" s="935">
        <f t="shared" si="9"/>
        <v>0.89125093813374545</v>
      </c>
      <c r="V143" s="935">
        <f t="shared" si="9"/>
        <v>1.1220184543019636</v>
      </c>
      <c r="W143" s="935">
        <f t="shared" si="10"/>
        <v>48.977881936844646</v>
      </c>
      <c r="X143" s="934">
        <f t="shared" si="11"/>
        <v>35.38535174756943</v>
      </c>
      <c r="Y143" s="934">
        <f t="shared" si="8"/>
        <v>0.72247615348490712</v>
      </c>
      <c r="Z143" s="935">
        <f t="shared" si="12"/>
        <v>2.4912970809824386E-3</v>
      </c>
      <c r="AA143" s="935">
        <f t="shared" ref="AA143:AA150" si="13">IF(S143, AA142+Z143, "")</f>
        <v>1.8263869994006205</v>
      </c>
    </row>
    <row r="144" spans="1:27">
      <c r="A144" s="3"/>
      <c r="B144" s="3"/>
      <c r="C144" s="177"/>
      <c r="D144" s="141" t="s">
        <v>668</v>
      </c>
      <c r="E144" s="141"/>
      <c r="F144" s="963"/>
      <c r="G144" s="141"/>
      <c r="H144" s="141"/>
      <c r="I144" s="141"/>
      <c r="J144" s="965">
        <f>J138*J142</f>
        <v>0</v>
      </c>
      <c r="K144" s="141" t="s">
        <v>756</v>
      </c>
      <c r="L144" s="141"/>
      <c r="M144" s="182"/>
      <c r="N144" s="3"/>
      <c r="O144" s="932">
        <v>4</v>
      </c>
      <c r="P144" s="936" t="s">
        <v>1051</v>
      </c>
      <c r="Q144" s="937"/>
      <c r="R144" s="933"/>
      <c r="S144" s="933">
        <v>3.5</v>
      </c>
      <c r="T144" s="934"/>
      <c r="U144" s="935" t="str">
        <f t="shared" si="9"/>
        <v/>
      </c>
      <c r="V144" s="935">
        <f t="shared" si="9"/>
        <v>2.2387211385683394</v>
      </c>
      <c r="W144" s="935">
        <f t="shared" si="10"/>
        <v>43.651583224016619</v>
      </c>
      <c r="X144" s="934">
        <f t="shared" si="11"/>
        <v>359.22913018481842</v>
      </c>
      <c r="Y144" s="934">
        <f t="shared" si="8"/>
        <v>8.2294639427230329</v>
      </c>
      <c r="Z144" s="935">
        <f t="shared" si="12"/>
        <v>2.8377461871458738E-2</v>
      </c>
      <c r="AA144" s="935">
        <f t="shared" si="13"/>
        <v>1.8547644612720793</v>
      </c>
    </row>
    <row r="145" spans="1:27">
      <c r="A145" s="3"/>
      <c r="B145" s="3"/>
      <c r="C145" s="177"/>
      <c r="D145" s="141"/>
      <c r="E145" s="141"/>
      <c r="F145" s="141"/>
      <c r="G145" s="141"/>
      <c r="H145" s="141"/>
      <c r="I145" s="141"/>
      <c r="J145" s="141"/>
      <c r="K145" s="141"/>
      <c r="L145" s="141"/>
      <c r="M145" s="182"/>
      <c r="N145" s="3"/>
      <c r="O145" s="932">
        <v>5</v>
      </c>
      <c r="P145" s="936"/>
      <c r="Q145" s="937"/>
      <c r="R145" s="933"/>
      <c r="S145" s="933"/>
      <c r="T145" s="934"/>
      <c r="U145" s="935" t="str">
        <f t="shared" si="9"/>
        <v/>
      </c>
      <c r="V145" s="935" t="str">
        <f t="shared" si="9"/>
        <v/>
      </c>
      <c r="W145" s="935" t="str">
        <f t="shared" si="10"/>
        <v/>
      </c>
      <c r="X145" s="934" t="str">
        <f t="shared" si="11"/>
        <v/>
      </c>
      <c r="Y145" s="934" t="str">
        <f t="shared" si="8"/>
        <v/>
      </c>
      <c r="Z145" s="935" t="str">
        <f t="shared" si="12"/>
        <v/>
      </c>
      <c r="AA145" s="935" t="str">
        <f t="shared" si="13"/>
        <v/>
      </c>
    </row>
    <row r="146" spans="1:27" ht="13">
      <c r="A146" s="3"/>
      <c r="B146" s="3"/>
      <c r="C146" s="177"/>
      <c r="D146" s="141" t="s">
        <v>108</v>
      </c>
      <c r="E146" s="141"/>
      <c r="F146" s="141"/>
      <c r="G146" s="141"/>
      <c r="H146" s="141"/>
      <c r="I146" s="141" t="s">
        <v>981</v>
      </c>
      <c r="J146" s="374">
        <f>Y152</f>
        <v>247.88169376890298</v>
      </c>
      <c r="K146" s="141" t="s">
        <v>784</v>
      </c>
      <c r="L146" s="141"/>
      <c r="M146" s="182"/>
      <c r="N146" s="3"/>
      <c r="O146" s="932">
        <v>8</v>
      </c>
      <c r="P146" s="936"/>
      <c r="Q146" s="937"/>
      <c r="R146" s="933"/>
      <c r="S146" s="933"/>
      <c r="T146" s="934"/>
      <c r="U146" s="935" t="str">
        <f t="shared" si="9"/>
        <v/>
      </c>
      <c r="V146" s="935" t="str">
        <f t="shared" si="9"/>
        <v/>
      </c>
      <c r="W146" s="935" t="str">
        <f t="shared" si="10"/>
        <v/>
      </c>
      <c r="X146" s="934" t="str">
        <f t="shared" si="11"/>
        <v/>
      </c>
      <c r="Y146" s="934" t="str">
        <f t="shared" si="8"/>
        <v/>
      </c>
      <c r="Z146" s="935" t="str">
        <f t="shared" si="12"/>
        <v/>
      </c>
      <c r="AA146" s="935" t="str">
        <f t="shared" si="13"/>
        <v/>
      </c>
    </row>
    <row r="147" spans="1:27">
      <c r="A147" s="3"/>
      <c r="B147" s="3"/>
      <c r="C147" s="177"/>
      <c r="D147" s="141"/>
      <c r="E147" s="141"/>
      <c r="F147" s="141"/>
      <c r="G147" s="141"/>
      <c r="H147" s="141"/>
      <c r="I147" s="141"/>
      <c r="J147" s="141"/>
      <c r="K147" s="141"/>
      <c r="L147" s="141"/>
      <c r="M147" s="182"/>
      <c r="N147" s="3"/>
      <c r="O147" s="932">
        <v>9</v>
      </c>
      <c r="P147" s="936"/>
      <c r="Q147" s="937"/>
      <c r="R147" s="933"/>
      <c r="S147" s="933"/>
      <c r="T147" s="934"/>
      <c r="U147" s="935" t="str">
        <f t="shared" si="9"/>
        <v/>
      </c>
      <c r="V147" s="935" t="str">
        <f t="shared" si="9"/>
        <v/>
      </c>
      <c r="W147" s="935" t="str">
        <f t="shared" si="10"/>
        <v/>
      </c>
      <c r="X147" s="934" t="str">
        <f t="shared" si="11"/>
        <v/>
      </c>
      <c r="Y147" s="934" t="str">
        <f t="shared" si="8"/>
        <v/>
      </c>
      <c r="Z147" s="935" t="str">
        <f t="shared" si="12"/>
        <v/>
      </c>
      <c r="AA147" s="935" t="str">
        <f t="shared" si="13"/>
        <v/>
      </c>
    </row>
    <row r="148" spans="1:27" ht="13">
      <c r="A148" s="3"/>
      <c r="B148" s="3"/>
      <c r="C148" s="177"/>
      <c r="D148" s="141"/>
      <c r="E148" s="141"/>
      <c r="F148" s="141"/>
      <c r="G148" s="141"/>
      <c r="H148" s="141"/>
      <c r="I148" s="141"/>
      <c r="J148" s="141"/>
      <c r="K148" s="141"/>
      <c r="L148" s="364"/>
      <c r="M148" s="182"/>
      <c r="N148" s="3"/>
      <c r="O148" s="932">
        <v>10</v>
      </c>
      <c r="P148" s="936"/>
      <c r="Q148" s="937"/>
      <c r="R148" s="933"/>
      <c r="S148" s="933"/>
      <c r="T148" s="934"/>
      <c r="U148" s="935" t="str">
        <f t="shared" si="9"/>
        <v/>
      </c>
      <c r="V148" s="935" t="str">
        <f t="shared" si="9"/>
        <v/>
      </c>
      <c r="W148" s="935" t="str">
        <f t="shared" si="10"/>
        <v/>
      </c>
      <c r="X148" s="934" t="str">
        <f t="shared" si="11"/>
        <v/>
      </c>
      <c r="Y148" s="934" t="str">
        <f t="shared" si="8"/>
        <v/>
      </c>
      <c r="Z148" s="935" t="str">
        <f t="shared" si="12"/>
        <v/>
      </c>
      <c r="AA148" s="935" t="str">
        <f t="shared" si="13"/>
        <v/>
      </c>
    </row>
    <row r="149" spans="1:27" ht="13">
      <c r="A149" s="3"/>
      <c r="B149" s="3"/>
      <c r="C149" s="177"/>
      <c r="D149" s="141" t="s">
        <v>226</v>
      </c>
      <c r="E149" s="141"/>
      <c r="F149" s="141"/>
      <c r="G149" s="141"/>
      <c r="H149" s="141"/>
      <c r="I149" s="141" t="s">
        <v>998</v>
      </c>
      <c r="J149" s="374">
        <f>J130*J128+J132*(1-J128)+J134+(J146/(J136/(10^(J144/10))))</f>
        <v>206.92737847455561</v>
      </c>
      <c r="K149" s="141" t="s">
        <v>784</v>
      </c>
      <c r="L149" s="141"/>
      <c r="M149" s="182"/>
      <c r="N149" s="3"/>
      <c r="O149" s="932">
        <v>11</v>
      </c>
      <c r="P149" s="936"/>
      <c r="Q149" s="937"/>
      <c r="R149" s="933"/>
      <c r="S149" s="933"/>
      <c r="T149" s="934"/>
      <c r="U149" s="935" t="str">
        <f t="shared" si="9"/>
        <v/>
      </c>
      <c r="V149" s="935" t="str">
        <f t="shared" si="9"/>
        <v/>
      </c>
      <c r="W149" s="935" t="str">
        <f t="shared" si="10"/>
        <v/>
      </c>
      <c r="X149" s="934" t="str">
        <f t="shared" si="11"/>
        <v/>
      </c>
      <c r="Y149" s="934" t="str">
        <f t="shared" si="8"/>
        <v/>
      </c>
      <c r="Z149" s="935" t="str">
        <f t="shared" si="12"/>
        <v/>
      </c>
      <c r="AA149" s="935" t="str">
        <f t="shared" si="13"/>
        <v/>
      </c>
    </row>
    <row r="150" spans="1:27" ht="13" thickBot="1">
      <c r="A150" s="3"/>
      <c r="B150" s="3"/>
      <c r="C150" s="177"/>
      <c r="D150" s="141"/>
      <c r="E150" s="141"/>
      <c r="F150" s="141"/>
      <c r="G150" s="141"/>
      <c r="H150" s="141"/>
      <c r="I150" s="141"/>
      <c r="J150" s="141"/>
      <c r="K150" s="141"/>
      <c r="L150" s="141"/>
      <c r="M150" s="182"/>
      <c r="N150" s="3"/>
      <c r="O150" s="938">
        <v>12</v>
      </c>
      <c r="P150" s="939"/>
      <c r="Q150" s="940"/>
      <c r="R150" s="941"/>
      <c r="S150" s="941"/>
      <c r="T150" s="942"/>
      <c r="U150" s="943" t="str">
        <f t="shared" si="9"/>
        <v/>
      </c>
      <c r="V150" s="943" t="str">
        <f t="shared" si="9"/>
        <v/>
      </c>
      <c r="W150" s="943" t="str">
        <f t="shared" si="10"/>
        <v/>
      </c>
      <c r="X150" s="942" t="str">
        <f t="shared" si="11"/>
        <v/>
      </c>
      <c r="Y150" s="942" t="str">
        <f t="shared" si="8"/>
        <v/>
      </c>
      <c r="Z150" s="943" t="str">
        <f t="shared" si="12"/>
        <v/>
      </c>
      <c r="AA150" s="943" t="str">
        <f t="shared" si="13"/>
        <v/>
      </c>
    </row>
    <row r="151" spans="1:27">
      <c r="A151" s="3"/>
      <c r="B151" s="3"/>
      <c r="C151" s="177"/>
      <c r="D151" s="141"/>
      <c r="E151" s="141"/>
      <c r="F151" s="141"/>
      <c r="G151" s="141"/>
      <c r="H151" s="141"/>
      <c r="I151" s="141"/>
      <c r="J151" s="141"/>
      <c r="K151" s="141"/>
      <c r="L151" s="141"/>
      <c r="M151" s="182"/>
      <c r="N151" s="3"/>
      <c r="O151" s="944"/>
      <c r="P151" s="945"/>
      <c r="Q151" s="927"/>
      <c r="R151" s="946"/>
      <c r="S151" s="946"/>
      <c r="T151" s="946"/>
      <c r="U151" s="946"/>
      <c r="V151" s="946"/>
      <c r="W151" s="946"/>
      <c r="X151" s="946"/>
      <c r="Y151" s="946"/>
      <c r="Z151" s="946"/>
      <c r="AA151" s="947"/>
    </row>
    <row r="152" spans="1:27" ht="14.5">
      <c r="A152" s="3"/>
      <c r="B152" s="3"/>
      <c r="C152" s="235"/>
      <c r="D152" s="236"/>
      <c r="E152" s="236"/>
      <c r="F152" s="236"/>
      <c r="G152" s="236"/>
      <c r="H152" s="236"/>
      <c r="I152" s="236"/>
      <c r="J152" s="236"/>
      <c r="K152" s="236"/>
      <c r="L152" s="236"/>
      <c r="M152" s="237"/>
      <c r="N152" s="3"/>
      <c r="O152" s="948"/>
      <c r="P152" s="949"/>
      <c r="Q152" s="950"/>
      <c r="R152" s="951"/>
      <c r="S152" s="951"/>
      <c r="T152" s="951"/>
      <c r="U152" s="951"/>
      <c r="V152" s="951"/>
      <c r="W152" s="951"/>
      <c r="X152" s="952" t="s">
        <v>961</v>
      </c>
      <c r="Y152" s="953">
        <f>SUM(Y141:Y150)</f>
        <v>247.88169376890298</v>
      </c>
      <c r="Z152" s="954"/>
      <c r="AA152" s="955"/>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topLeftCell="A16" zoomScale="120" zoomScaleNormal="120" workbookViewId="0">
      <selection activeCell="I18" sqref="I18"/>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OreSat1</v>
      </c>
      <c r="H1" s="127"/>
      <c r="I1" s="127"/>
      <c r="J1" s="127"/>
      <c r="K1" s="127"/>
      <c r="L1" s="610" t="str">
        <f>'Title Page'!F23</f>
        <v>2019 December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0"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1"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1047</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Quad Helix / Patch</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4</v>
      </c>
      <c r="F61" s="158"/>
      <c r="G61" s="160" t="s">
        <v>66</v>
      </c>
      <c r="H61" s="159">
        <v>0.25</v>
      </c>
      <c r="I61" s="158"/>
      <c r="J61" s="160" t="s">
        <v>64</v>
      </c>
      <c r="K61" s="161">
        <v>1</v>
      </c>
      <c r="L61" s="158"/>
      <c r="M61" s="158" t="s">
        <v>59</v>
      </c>
      <c r="N61" s="162">
        <f>10*LOG10(15*K61^2*E61*H61)</f>
        <v>11.760912590556813</v>
      </c>
      <c r="O61" s="158" t="s">
        <v>783</v>
      </c>
      <c r="P61" s="158" t="s">
        <v>61</v>
      </c>
      <c r="Q61" s="163">
        <f>115/(K61*((E61*H61)^0.5))</f>
        <v>115</v>
      </c>
      <c r="R61" s="158" t="s">
        <v>4</v>
      </c>
      <c r="S61" s="376" t="s">
        <v>89</v>
      </c>
      <c r="T61" s="376"/>
      <c r="U61" s="375">
        <f>H61*E61*K55</f>
        <v>0.12378199834847234</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0" t="s">
        <v>1059</v>
      </c>
      <c r="C63" s="146"/>
      <c r="D63" s="146"/>
      <c r="E63" s="624"/>
      <c r="F63" s="889"/>
      <c r="G63" s="624"/>
      <c r="H63" s="898"/>
      <c r="I63" s="898"/>
      <c r="J63" s="898"/>
      <c r="K63" s="147"/>
      <c r="L63" s="146"/>
      <c r="M63" s="146" t="s">
        <v>59</v>
      </c>
      <c r="N63" s="148">
        <v>15</v>
      </c>
      <c r="O63" s="146" t="s">
        <v>783</v>
      </c>
      <c r="P63" s="146" t="s">
        <v>61</v>
      </c>
      <c r="Q63" s="149">
        <v>35</v>
      </c>
      <c r="R63" s="146" t="s">
        <v>4</v>
      </c>
      <c r="S63" s="681" t="s">
        <v>465</v>
      </c>
      <c r="T63" s="146"/>
      <c r="U63" s="1041"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topLeftCell="A43" zoomScale="120" zoomScaleNormal="120" workbookViewId="0">
      <selection activeCell="E29" sqref="E29"/>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OreSat1</v>
      </c>
      <c r="H1" s="127"/>
      <c r="I1" s="127"/>
      <c r="J1" s="127"/>
      <c r="K1" s="610" t="str">
        <f>'Title Page'!F23</f>
        <v>2019 December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0</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162.12841279011377</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6.0750000000000002</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4.5151554089823396</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18.013611843476788</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45.243411691620906</v>
      </c>
      <c r="S59" s="667" t="s">
        <v>756</v>
      </c>
      <c r="T59" s="3"/>
      <c r="U59" s="670">
        <f>2*(G63*(79.76/K59))</f>
        <v>8941.4150400000017</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1.4</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90</v>
      </c>
      <c r="H63" s="287" t="s">
        <v>4</v>
      </c>
      <c r="I63" s="310" t="s">
        <v>139</v>
      </c>
      <c r="J63" s="310"/>
      <c r="K63" s="285">
        <f>INDEX(R54:R60,E52, 1)</f>
        <v>1.4</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7.603297699883993</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6.6485410300645031E-2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7.4999999999999997E-2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4.9378693497650117E-2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0.13896893270839988</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33.327210181952978</v>
      </c>
      <c r="S81" s="667" t="s">
        <v>756</v>
      </c>
      <c r="T81" s="3"/>
      <c r="U81" s="670">
        <f>2*(G85*(79.76/K81))</f>
        <v>367.95946666666674</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0.9</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10</v>
      </c>
      <c r="H85" s="287" t="s">
        <v>4</v>
      </c>
      <c r="I85" s="310" t="s">
        <v>139</v>
      </c>
      <c r="J85" s="310"/>
      <c r="K85" s="285">
        <f>INDEX(R76:R82,E74, 1)</f>
        <v>0.9</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Quad Helix / Patch</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45.57714285714286</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11.760912590556813</v>
      </c>
      <c r="H98" s="158" t="s">
        <v>783</v>
      </c>
      <c r="I98" s="266" t="s">
        <v>61</v>
      </c>
      <c r="J98" s="275">
        <f>'Antenna Gain'!Q61</f>
        <v>115</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35</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10</v>
      </c>
      <c r="G102" s="287" t="s">
        <v>135</v>
      </c>
      <c r="H102" s="296" t="s">
        <v>133</v>
      </c>
      <c r="I102" s="297"/>
      <c r="J102" s="297"/>
      <c r="K102" s="285">
        <f>-10*LOG10(3282.81*((SIN(RADIANS(R97))^2/(R97^2))))</f>
        <v>0.93616653612079759</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OreSat1</v>
      </c>
      <c r="K1" s="127"/>
      <c r="L1" s="127"/>
      <c r="M1" s="127"/>
      <c r="N1" s="610" t="str">
        <f>'Title Page'!F23</f>
        <v>2019 December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2019-09-14T06:50:31Z</cp:lastPrinted>
  <dcterms:created xsi:type="dcterms:W3CDTF">2003-03-25T04:05:57Z</dcterms:created>
  <dcterms:modified xsi:type="dcterms:W3CDTF">2019-12-16T08:01:32Z</dcterms:modified>
</cp:coreProperties>
</file>